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16140" windowHeight="10080" tabRatio="805" firstSheet="3" activeTab="3" xr2:uid="{00000000-000D-0000-FFFF-FFFF00000000}"/>
  </bookViews>
  <sheets>
    <sheet name="HEALTH_template_Q" sheetId="50" r:id="rId1"/>
    <sheet name="LIFE_template_Q" sheetId="49" r:id="rId2"/>
    <sheet name="Illiq_MPL_Q" sheetId="48" r:id="rId3"/>
    <sheet name="Liq_MPL_Q" sheetId="47" r:id="rId4"/>
    <sheet name="PC_template_Q" sheetId="46" r:id="rId5"/>
    <sheet name="Illiq_MPL" sheetId="30" r:id="rId6"/>
    <sheet name="Liq_MPL" sheetId="29" r:id="rId7"/>
    <sheet name="Sector_Info" sheetId="36" r:id="rId8"/>
    <sheet name="HEALTH_template" sheetId="26" r:id="rId9"/>
    <sheet name="LIFE_template" sheetId="27" r:id="rId10"/>
    <sheet name="PC_template" sheetId="28" r:id="rId11"/>
    <sheet name="Assets" sheetId="5" r:id="rId12"/>
    <sheet name="Asset_Alloc" sheetId="40" r:id="rId13"/>
    <sheet name="CashFlow" sheetId="6" r:id="rId14"/>
    <sheet name="SI01" sheetId="1" r:id="rId15"/>
    <sheet name="SI05_07" sheetId="7" r:id="rId16"/>
    <sheet name="E10" sheetId="19" r:id="rId17"/>
    <sheet name="E07" sheetId="39" r:id="rId18"/>
    <sheet name="BA_Disp" sheetId="43" r:id="rId19"/>
    <sheet name="BA_Acq" sheetId="42" r:id="rId20"/>
    <sheet name="Liq_Acq" sheetId="44" r:id="rId21"/>
    <sheet name="Liq_Disp" sheetId="45" r:id="rId22"/>
    <sheet name="Liquid_Assets" sheetId="32" r:id="rId23"/>
    <sheet name="Real_Estate" sheetId="35" r:id="rId24"/>
    <sheet name="SoI" sheetId="4" r:id="rId25"/>
    <sheet name="SoO" sheetId="8" r:id="rId26"/>
    <sheet name="SoR" sheetId="11" r:id="rId27"/>
    <sheet name="IRIS1" sheetId="10" r:id="rId28"/>
    <sheet name="IRIS2" sheetId="9" r:id="rId29"/>
    <sheet name="Liab1" sheetId="15" r:id="rId30"/>
    <sheet name="Liab2" sheetId="17" r:id="rId31"/>
    <sheet name="Liab3" sheetId="18" r:id="rId32"/>
    <sheet name="Sheet1" sheetId="41" r:id="rId33"/>
    <sheet name="CR" sheetId="16" r:id="rId34"/>
  </sheets>
  <definedNames>
    <definedName name="_xlnm._FilterDatabase" localSheetId="12" hidden="1">Asset_Alloc!$A$3:$AA$76</definedName>
    <definedName name="_xlnm._FilterDatabase" localSheetId="11" hidden="1">Assets!$A$1:$S$87</definedName>
    <definedName name="_xlnm._FilterDatabase" localSheetId="19" hidden="1">BA_Acq!$A$2:$AC$49</definedName>
    <definedName name="_xlnm._FilterDatabase" localSheetId="18" hidden="1">BA_Disp!$A$2:$AC$49</definedName>
    <definedName name="_xlnm._FilterDatabase" localSheetId="13" hidden="1">CashFlow!$A$2:$Q$48</definedName>
    <definedName name="_xlnm._FilterDatabase" localSheetId="17" hidden="1">'E07'!$A$2:$AD$49</definedName>
    <definedName name="_xlnm._FilterDatabase" localSheetId="16">'E10'!$A$2:$S$2</definedName>
    <definedName name="_xlnm._FilterDatabase" localSheetId="5" hidden="1">Illiq_MPL!$A$3:$BS$3</definedName>
    <definedName name="_xlnm._FilterDatabase" localSheetId="2" hidden="1">Illiq_MPL_Q!$A$3:$CT$3</definedName>
    <definedName name="_xlnm._FilterDatabase" localSheetId="20" hidden="1">Liq_Acq!$A$2:$AA$60</definedName>
    <definedName name="_xlnm._FilterDatabase" localSheetId="21" hidden="1">Liq_Disp!$A$2:$AA$60</definedName>
    <definedName name="_xlnm._FilterDatabase" localSheetId="6" hidden="1">Liq_MPL!$A$3:$CE$3</definedName>
    <definedName name="_xlnm._FilterDatabase" localSheetId="3" hidden="1">Liq_MPL_Q!$A$3:$DL$3</definedName>
    <definedName name="_xlnm._FilterDatabase" localSheetId="22" hidden="1">Liquid_Assets!$A$2:$AA$60</definedName>
    <definedName name="_xlnm._FilterDatabase" localSheetId="14" hidden="1">'SI01'!$A$1:$S$1</definedName>
    <definedName name="_xlnm._FilterDatabase" localSheetId="15" hidden="1">SI05_07!$A$2:$S$2</definedName>
    <definedName name="_xlnm._FilterDatabase" localSheetId="24" hidden="1">SoI!$A$2:$Q$69</definedName>
    <definedName name="_xlnm._FilterDatabase" localSheetId="25" hidden="1">SoO!$A$2:$N$2</definedName>
    <definedName name="_xlnm._FilterDatabase" localSheetId="26" hidden="1">SoR!$A$2:$Q$2</definedName>
    <definedName name="_xlnm.Print_Area" localSheetId="8">HEALTH_template!$A$1:$K$97</definedName>
    <definedName name="_xlnm.Print_Area" localSheetId="0">HEALTH_template_Q!$A$1:$K$97</definedName>
    <definedName name="_xlnm.Print_Area" localSheetId="9">LIFE_template!$A$1:$K$97</definedName>
    <definedName name="_xlnm.Print_Area" localSheetId="1">LIFE_template_Q!$A$1:$K$97</definedName>
    <definedName name="_xlnm.Print_Area" localSheetId="10">PC_template!$A$1:$K$97</definedName>
    <definedName name="_xlnm.Print_Area" localSheetId="4">PC_template_Q!$A$1:$K$97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46" l="1"/>
  <c r="E81" i="46"/>
  <c r="G80" i="46"/>
  <c r="E80" i="46"/>
  <c r="G79" i="46"/>
  <c r="E79" i="46"/>
  <c r="G78" i="46"/>
  <c r="E78" i="46"/>
  <c r="G77" i="46"/>
  <c r="E77" i="46"/>
  <c r="G76" i="46"/>
  <c r="E76" i="46"/>
  <c r="G75" i="46"/>
  <c r="E75" i="46"/>
  <c r="G74" i="46"/>
  <c r="E74" i="46"/>
  <c r="G73" i="46"/>
  <c r="E73" i="46"/>
  <c r="G72" i="46"/>
  <c r="E72" i="46"/>
  <c r="G71" i="46"/>
  <c r="E71" i="46"/>
  <c r="G70" i="46"/>
  <c r="E70" i="46"/>
  <c r="G69" i="46"/>
  <c r="E69" i="46"/>
  <c r="G68" i="46"/>
  <c r="E68" i="46"/>
  <c r="G67" i="46"/>
  <c r="G81" i="46" s="1"/>
  <c r="E67" i="46"/>
  <c r="G66" i="46"/>
  <c r="E66" i="46"/>
  <c r="G65" i="46"/>
  <c r="E65" i="46"/>
  <c r="G64" i="46"/>
  <c r="E64" i="46"/>
  <c r="G63" i="46"/>
  <c r="E63" i="46"/>
  <c r="G62" i="46"/>
  <c r="E62" i="46"/>
  <c r="G61" i="46"/>
  <c r="E61" i="46"/>
  <c r="G60" i="46"/>
  <c r="E60" i="46"/>
  <c r="G59" i="46"/>
  <c r="E59" i="46"/>
  <c r="G58" i="46"/>
  <c r="E58" i="46"/>
  <c r="F55" i="46"/>
  <c r="I8" i="5"/>
  <c r="I37" i="32"/>
  <c r="I36" i="32"/>
  <c r="I4" i="5"/>
  <c r="I53" i="32"/>
  <c r="I37" i="44"/>
  <c r="I37" i="45"/>
  <c r="I5" i="5"/>
  <c r="E63" i="32" l="1"/>
  <c r="D63" i="32"/>
  <c r="I49" i="39"/>
  <c r="I78" i="5"/>
  <c r="I73" i="5"/>
  <c r="I58" i="32"/>
  <c r="I48" i="39"/>
  <c r="I47" i="39"/>
  <c r="I17" i="5"/>
  <c r="I74" i="5"/>
  <c r="I56" i="32"/>
  <c r="I77" i="5"/>
  <c r="U4" i="44" l="1"/>
  <c r="S5" i="44"/>
  <c r="S6" i="44" s="1"/>
  <c r="I7" i="42"/>
  <c r="T40" i="32"/>
  <c r="I27" i="32"/>
  <c r="I51" i="32"/>
  <c r="S8" i="32"/>
  <c r="I15" i="32"/>
  <c r="I23" i="43"/>
  <c r="I23" i="44"/>
  <c r="T36" i="32"/>
  <c r="I4" i="39"/>
  <c r="I28" i="39"/>
  <c r="I34" i="43"/>
  <c r="I16" i="39"/>
  <c r="I20" i="43"/>
  <c r="U25" i="32"/>
  <c r="I46" i="44"/>
  <c r="I21" i="43"/>
  <c r="I10" i="39"/>
  <c r="H7" i="35"/>
  <c r="T21" i="32"/>
  <c r="I26" i="39"/>
  <c r="I9" i="43"/>
  <c r="I28" i="44"/>
  <c r="I13" i="45"/>
  <c r="I6" i="45"/>
  <c r="S5" i="32"/>
  <c r="I4" i="45"/>
  <c r="I36" i="45"/>
  <c r="I13" i="39"/>
  <c r="U8" i="32"/>
  <c r="I11" i="42"/>
  <c r="I25" i="32"/>
  <c r="I35" i="45"/>
  <c r="I32" i="44"/>
  <c r="I34" i="45"/>
  <c r="S34" i="32"/>
  <c r="T4" i="32"/>
  <c r="H38" i="11"/>
  <c r="I9" i="39"/>
  <c r="I50" i="32"/>
  <c r="H54" i="32"/>
  <c r="T24" i="32"/>
  <c r="U42" i="32"/>
  <c r="I6" i="42"/>
  <c r="I7" i="45"/>
  <c r="I25" i="39"/>
  <c r="H6" i="35"/>
  <c r="S13" i="32"/>
  <c r="I26" i="43"/>
  <c r="I15" i="44"/>
  <c r="I13" i="44"/>
  <c r="S29" i="32"/>
  <c r="I48" i="32"/>
  <c r="I30" i="42"/>
  <c r="I11" i="43"/>
  <c r="I31" i="32"/>
  <c r="I14" i="44"/>
  <c r="U29" i="32"/>
  <c r="I44" i="43"/>
  <c r="I48" i="44"/>
  <c r="I41" i="43"/>
  <c r="I49" i="32"/>
  <c r="U31" i="32"/>
  <c r="I17" i="44"/>
  <c r="S22" i="32"/>
  <c r="S23" i="32"/>
  <c r="I46" i="32"/>
  <c r="I17" i="39"/>
  <c r="I49" i="44"/>
  <c r="S14" i="32"/>
  <c r="S27" i="32"/>
  <c r="T9" i="32"/>
  <c r="I12" i="43"/>
  <c r="U11" i="32"/>
  <c r="I31" i="45"/>
  <c r="I32" i="42"/>
  <c r="I26" i="42"/>
  <c r="I19" i="39"/>
  <c r="I38" i="42"/>
  <c r="U27" i="32"/>
  <c r="I10" i="32"/>
  <c r="U21" i="32"/>
  <c r="I21" i="32"/>
  <c r="I35" i="42"/>
  <c r="I16" i="45"/>
  <c r="I34" i="42"/>
  <c r="I14" i="39"/>
  <c r="I18" i="39"/>
  <c r="I46" i="43"/>
  <c r="I9" i="44"/>
  <c r="U28" i="32"/>
  <c r="I41" i="39"/>
  <c r="I54" i="32"/>
  <c r="S11" i="32"/>
  <c r="U16" i="32"/>
  <c r="I6" i="32"/>
  <c r="I7" i="35"/>
  <c r="T15" i="32"/>
  <c r="S32" i="32"/>
  <c r="U35" i="32"/>
  <c r="I5" i="42"/>
  <c r="U24" i="32"/>
  <c r="I42" i="8"/>
  <c r="I8" i="45"/>
  <c r="T12" i="32"/>
  <c r="I10" i="43"/>
  <c r="I8" i="43"/>
  <c r="I9" i="45"/>
  <c r="I34" i="39"/>
  <c r="I21" i="44"/>
  <c r="I46" i="45"/>
  <c r="I20" i="42"/>
  <c r="I24" i="42"/>
  <c r="I47" i="32"/>
  <c r="I32" i="39"/>
  <c r="U4" i="32"/>
  <c r="I4" i="4"/>
  <c r="I20" i="32"/>
  <c r="S12" i="32"/>
  <c r="T28" i="32"/>
  <c r="I4" i="44"/>
  <c r="T51" i="32"/>
  <c r="U51" i="32"/>
  <c r="I43" i="43"/>
  <c r="U44" i="32"/>
  <c r="I45" i="32"/>
  <c r="I32" i="43"/>
  <c r="T17" i="32"/>
  <c r="I36" i="44"/>
  <c r="I4" i="42"/>
  <c r="S51" i="32"/>
  <c r="I10" i="4"/>
  <c r="T20" i="32"/>
  <c r="I6" i="43"/>
  <c r="I23" i="45"/>
  <c r="I12" i="44"/>
  <c r="I42" i="44"/>
  <c r="I38" i="43"/>
  <c r="I14" i="32"/>
  <c r="I34" i="32"/>
  <c r="I40" i="42"/>
  <c r="I37" i="42"/>
  <c r="U14" i="32"/>
  <c r="S40" i="32"/>
  <c r="I23" i="42"/>
  <c r="H39" i="4"/>
  <c r="I41" i="42"/>
  <c r="U9" i="32"/>
  <c r="I25" i="42"/>
  <c r="U32" i="32"/>
  <c r="I7" i="32"/>
  <c r="U22" i="32"/>
  <c r="T16" i="32"/>
  <c r="I28" i="45"/>
  <c r="I5" i="32"/>
  <c r="I49" i="45"/>
  <c r="I18" i="32"/>
  <c r="I40" i="39"/>
  <c r="I12" i="39"/>
  <c r="I32" i="32"/>
  <c r="T10" i="32"/>
  <c r="I40" i="45"/>
  <c r="I35" i="32"/>
  <c r="I45" i="43"/>
  <c r="I16" i="44"/>
  <c r="U13" i="32"/>
  <c r="I12" i="42"/>
  <c r="I29" i="45"/>
  <c r="U5" i="32"/>
  <c r="I38" i="39"/>
  <c r="H5" i="35"/>
  <c r="I27" i="42"/>
  <c r="I29" i="44"/>
  <c r="S9" i="32"/>
  <c r="I16" i="43"/>
  <c r="I38" i="11"/>
  <c r="I31" i="39"/>
  <c r="T44" i="32"/>
  <c r="I20" i="44"/>
  <c r="I44" i="45"/>
  <c r="I35" i="39"/>
  <c r="I22" i="45"/>
  <c r="I22" i="43"/>
  <c r="S18" i="32"/>
  <c r="I11" i="45"/>
  <c r="I51" i="45"/>
  <c r="I10" i="45"/>
  <c r="I22" i="44"/>
  <c r="I17" i="32"/>
  <c r="U17" i="32"/>
  <c r="I46" i="42"/>
  <c r="T42" i="32"/>
  <c r="I5" i="43"/>
  <c r="I22" i="42"/>
  <c r="S25" i="32"/>
  <c r="T27" i="32"/>
  <c r="S36" i="32"/>
  <c r="I15" i="42"/>
  <c r="I42" i="42"/>
  <c r="T7" i="32"/>
  <c r="I40" i="32"/>
  <c r="I11" i="32"/>
  <c r="S46" i="32"/>
  <c r="T34" i="32"/>
  <c r="I25" i="43"/>
  <c r="T18" i="32"/>
  <c r="I15" i="45"/>
  <c r="I15" i="43"/>
  <c r="I44" i="44"/>
  <c r="I31" i="43"/>
  <c r="S16" i="32"/>
  <c r="I29" i="42"/>
  <c r="U18" i="32"/>
  <c r="S20" i="32"/>
  <c r="I28" i="43"/>
  <c r="S6" i="32"/>
  <c r="S42" i="32"/>
  <c r="S7" i="32"/>
  <c r="I33" i="32"/>
  <c r="I33" i="44"/>
  <c r="S21" i="32"/>
  <c r="I44" i="39"/>
  <c r="I17" i="42"/>
  <c r="U15" i="32"/>
  <c r="U7" i="32"/>
  <c r="I13" i="43"/>
  <c r="T46" i="32"/>
  <c r="U36" i="32"/>
  <c r="T25" i="32"/>
  <c r="I31" i="44"/>
  <c r="I18" i="45"/>
  <c r="I6" i="39"/>
  <c r="I33" i="45"/>
  <c r="S33" i="32"/>
  <c r="I39" i="39"/>
  <c r="I15" i="39"/>
  <c r="I35" i="43"/>
  <c r="I27" i="45"/>
  <c r="H4" i="4"/>
  <c r="I29" i="43"/>
  <c r="S4" i="32"/>
  <c r="I39" i="43"/>
  <c r="H45" i="32"/>
  <c r="T29" i="32"/>
  <c r="T8" i="32"/>
  <c r="I13" i="42"/>
  <c r="H10" i="4"/>
  <c r="U40" i="32"/>
  <c r="I23" i="32"/>
  <c r="I9" i="32"/>
  <c r="S17" i="32"/>
  <c r="I6" i="35"/>
  <c r="U6" i="32"/>
  <c r="I40" i="43"/>
  <c r="I21" i="42"/>
  <c r="I30" i="43"/>
  <c r="I19" i="4"/>
  <c r="T6" i="32"/>
  <c r="I16" i="32"/>
  <c r="I44" i="42"/>
  <c r="S10" i="32"/>
  <c r="I48" i="45"/>
  <c r="I31" i="42"/>
  <c r="U34" i="32"/>
  <c r="I27" i="39"/>
  <c r="I33" i="39"/>
  <c r="I16" i="42"/>
  <c r="I5" i="39"/>
  <c r="I25" i="44"/>
  <c r="I42" i="43"/>
  <c r="I14" i="43"/>
  <c r="I45" i="39"/>
  <c r="I33" i="43"/>
  <c r="I18" i="42"/>
  <c r="I25" i="45"/>
  <c r="I17" i="45"/>
  <c r="I23" i="39"/>
  <c r="I10" i="44"/>
  <c r="S44" i="32"/>
  <c r="I21" i="45"/>
  <c r="H4" i="35"/>
  <c r="I8" i="42"/>
  <c r="I24" i="44"/>
  <c r="I11" i="39"/>
  <c r="I13" i="32"/>
  <c r="I29" i="39"/>
  <c r="I18" i="44"/>
  <c r="S31" i="32"/>
  <c r="S15" i="32"/>
  <c r="I20" i="39"/>
  <c r="S28" i="32"/>
  <c r="I28" i="32"/>
  <c r="I42" i="39"/>
  <c r="I22" i="39"/>
  <c r="I5" i="35"/>
  <c r="I8" i="39"/>
  <c r="I19" i="42"/>
  <c r="U23" i="32"/>
  <c r="I10" i="42"/>
  <c r="I7" i="43"/>
  <c r="U33" i="32"/>
  <c r="I27" i="43"/>
  <c r="I36" i="42"/>
  <c r="I29" i="32"/>
  <c r="U12" i="32"/>
  <c r="I37" i="39"/>
  <c r="I7" i="44"/>
  <c r="H42" i="8"/>
  <c r="I24" i="32"/>
  <c r="I9" i="42"/>
  <c r="I6" i="44"/>
  <c r="I12" i="45"/>
  <c r="I39" i="42"/>
  <c r="I4" i="35"/>
  <c r="I42" i="32"/>
  <c r="T11" i="32"/>
  <c r="I44" i="32"/>
  <c r="T31" i="32"/>
  <c r="T23" i="32"/>
  <c r="I12" i="32"/>
  <c r="I33" i="42"/>
  <c r="I36" i="39"/>
  <c r="I36" i="43"/>
  <c r="I24" i="39"/>
  <c r="I4" i="32"/>
  <c r="I30" i="39"/>
  <c r="H19" i="4"/>
  <c r="I43" i="39"/>
  <c r="I42" i="45"/>
  <c r="I8" i="32"/>
  <c r="I35" i="44"/>
  <c r="S35" i="32"/>
  <c r="I43" i="42"/>
  <c r="I11" i="44"/>
  <c r="U20" i="32"/>
  <c r="I21" i="39"/>
  <c r="I45" i="42"/>
  <c r="T22" i="32"/>
  <c r="I7" i="39"/>
  <c r="U10" i="32"/>
  <c r="I14" i="45"/>
  <c r="I39" i="4"/>
  <c r="I22" i="32"/>
  <c r="I24" i="43"/>
  <c r="I18" i="43"/>
  <c r="T33" i="32"/>
  <c r="I14" i="42"/>
  <c r="I28" i="42"/>
  <c r="S24" i="32"/>
  <c r="I17" i="43"/>
  <c r="I24" i="45"/>
  <c r="I4" i="43"/>
  <c r="I34" i="44"/>
  <c r="I8" i="44"/>
  <c r="I20" i="45"/>
  <c r="T13" i="32"/>
  <c r="I27" i="44"/>
  <c r="T32" i="32"/>
  <c r="I5" i="45"/>
  <c r="U46" i="32"/>
  <c r="I46" i="39"/>
  <c r="I40" i="44"/>
  <c r="T35" i="32"/>
  <c r="I37" i="43"/>
  <c r="I19" i="43"/>
  <c r="I32" i="45"/>
  <c r="T14" i="32"/>
  <c r="T5" i="32"/>
  <c r="I51" i="44"/>
  <c r="I5" i="44"/>
  <c r="S7" i="44" l="1"/>
  <c r="U6" i="44"/>
  <c r="U5" i="44"/>
  <c r="AC4" i="39"/>
  <c r="AB5" i="39"/>
  <c r="AC5" i="39" s="1"/>
  <c r="AA5" i="43"/>
  <c r="AA6" i="43"/>
  <c r="AA7" i="43" s="1"/>
  <c r="Z5" i="43"/>
  <c r="Z4" i="43"/>
  <c r="Z4" i="42"/>
  <c r="AA5" i="42"/>
  <c r="Z5" i="42" s="1"/>
  <c r="E81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F55" i="28"/>
  <c r="H55" i="28"/>
  <c r="I55" i="28"/>
  <c r="I81" i="28"/>
  <c r="H81" i="28"/>
  <c r="G55" i="28"/>
  <c r="F81" i="28"/>
  <c r="G81" i="28"/>
  <c r="J81" i="28"/>
  <c r="H13" i="32"/>
  <c r="I33" i="5"/>
  <c r="H42" i="32"/>
  <c r="H12" i="7"/>
  <c r="H60" i="32"/>
  <c r="I85" i="5"/>
  <c r="H22" i="40"/>
  <c r="H41" i="7"/>
  <c r="H68" i="40"/>
  <c r="H42" i="7"/>
  <c r="H16" i="32"/>
  <c r="H17" i="5"/>
  <c r="H41" i="40"/>
  <c r="H4" i="5"/>
  <c r="H29" i="5"/>
  <c r="H56" i="1"/>
  <c r="H40" i="40"/>
  <c r="H46" i="32"/>
  <c r="H22" i="32"/>
  <c r="H14" i="40"/>
  <c r="H43" i="32"/>
  <c r="H60" i="40"/>
  <c r="H78" i="5"/>
  <c r="H37" i="40"/>
  <c r="H55" i="32"/>
  <c r="H30" i="40"/>
  <c r="H41" i="32"/>
  <c r="H7" i="5"/>
  <c r="H18" i="32"/>
  <c r="H14" i="5"/>
  <c r="H32" i="7"/>
  <c r="H52" i="40"/>
  <c r="H29" i="1"/>
  <c r="I34" i="5"/>
  <c r="H59" i="32"/>
  <c r="H8" i="32"/>
  <c r="H26" i="32"/>
  <c r="H48" i="40"/>
  <c r="H31" i="1"/>
  <c r="H5" i="40"/>
  <c r="H71" i="40"/>
  <c r="H51" i="32"/>
  <c r="H69" i="5"/>
  <c r="H44" i="32"/>
  <c r="H74" i="40"/>
  <c r="H15" i="32"/>
  <c r="H40" i="32"/>
  <c r="H67" i="40"/>
  <c r="H24" i="32"/>
  <c r="I68" i="5"/>
  <c r="H40" i="5"/>
  <c r="H11" i="40"/>
  <c r="H6" i="32"/>
  <c r="H64" i="40"/>
  <c r="H9" i="1"/>
  <c r="H5" i="32"/>
  <c r="H71" i="5"/>
  <c r="H7" i="40"/>
  <c r="H58" i="32"/>
  <c r="H58" i="40"/>
  <c r="I80" i="5"/>
  <c r="H56" i="40"/>
  <c r="H27" i="32"/>
  <c r="H27" i="40"/>
  <c r="I35" i="5"/>
  <c r="H71" i="1"/>
  <c r="H9" i="32"/>
  <c r="H49" i="40"/>
  <c r="H76" i="5"/>
  <c r="H77" i="5"/>
  <c r="H70" i="40"/>
  <c r="H28" i="40"/>
  <c r="I30" i="5"/>
  <c r="H37" i="1"/>
  <c r="H85" i="5"/>
  <c r="H105" i="7"/>
  <c r="H48" i="32"/>
  <c r="H70" i="5"/>
  <c r="I37" i="5"/>
  <c r="H31" i="32"/>
  <c r="I36" i="5"/>
  <c r="H63" i="40"/>
  <c r="H95" i="7"/>
  <c r="I32" i="5"/>
  <c r="H105" i="1"/>
  <c r="H84" i="7"/>
  <c r="H43" i="40"/>
  <c r="H99" i="1"/>
  <c r="H82" i="7"/>
  <c r="H72" i="7"/>
  <c r="H17" i="1"/>
  <c r="H45" i="40"/>
  <c r="H64" i="1"/>
  <c r="H75" i="40"/>
  <c r="H73" i="5"/>
  <c r="H31" i="7"/>
  <c r="H94" i="7"/>
  <c r="H11" i="7"/>
  <c r="I79" i="5"/>
  <c r="H17" i="32"/>
  <c r="H132" i="1"/>
  <c r="H74" i="5"/>
  <c r="H18" i="40"/>
  <c r="H32" i="40"/>
  <c r="H32" i="5"/>
  <c r="H21" i="32"/>
  <c r="H93" i="1"/>
  <c r="H84" i="5"/>
  <c r="H52" i="32"/>
  <c r="H127" i="1"/>
  <c r="H21" i="7"/>
  <c r="H8" i="40"/>
  <c r="H85" i="1"/>
  <c r="H53" i="32"/>
  <c r="H61" i="7"/>
  <c r="I39" i="5"/>
  <c r="H81" i="7"/>
  <c r="I71" i="5"/>
  <c r="H9" i="5"/>
  <c r="H19" i="40"/>
  <c r="H28" i="32"/>
  <c r="H140" i="1"/>
  <c r="H23" i="40"/>
  <c r="I72" i="5"/>
  <c r="H107" i="1"/>
  <c r="H131" i="1"/>
  <c r="H62" i="7"/>
  <c r="H71" i="7"/>
  <c r="I69" i="5"/>
  <c r="H57" i="32"/>
  <c r="H37" i="32"/>
  <c r="H47" i="32"/>
  <c r="I31" i="5"/>
  <c r="H13" i="40"/>
  <c r="H66" i="40"/>
  <c r="H9" i="40"/>
  <c r="H29" i="40"/>
  <c r="H44" i="40"/>
  <c r="H8" i="5"/>
  <c r="H38" i="5"/>
  <c r="H12" i="40"/>
  <c r="I14" i="5"/>
  <c r="H33" i="40"/>
  <c r="H20" i="40"/>
  <c r="H38" i="32"/>
  <c r="H123" i="1"/>
  <c r="H7" i="32"/>
  <c r="H47" i="1"/>
  <c r="H35" i="32"/>
  <c r="H39" i="32"/>
  <c r="H4" i="40"/>
  <c r="H80" i="5"/>
  <c r="H119" i="1"/>
  <c r="H26" i="40"/>
  <c r="H51" i="40"/>
  <c r="H33" i="32"/>
  <c r="I76" i="5"/>
  <c r="I75" i="5"/>
  <c r="H55" i="1"/>
  <c r="H79" i="5"/>
  <c r="H23" i="1"/>
  <c r="I29" i="5"/>
  <c r="H25" i="32"/>
  <c r="H113" i="1"/>
  <c r="H34" i="40"/>
  <c r="H56" i="32"/>
  <c r="H51" i="1"/>
  <c r="H34" i="32"/>
  <c r="H16" i="40"/>
  <c r="I86" i="5"/>
  <c r="H51" i="7"/>
  <c r="H50" i="40"/>
  <c r="H59" i="40"/>
  <c r="H21" i="40"/>
  <c r="H49" i="32"/>
  <c r="H34" i="5"/>
  <c r="H37" i="5"/>
  <c r="H85" i="7"/>
  <c r="H31" i="5"/>
  <c r="H76" i="40"/>
  <c r="H86" i="7"/>
  <c r="H23" i="32"/>
  <c r="H86" i="5"/>
  <c r="H17" i="40"/>
  <c r="H57" i="40"/>
  <c r="I11" i="5"/>
  <c r="I70" i="5"/>
  <c r="H35" i="40"/>
  <c r="I9" i="5"/>
  <c r="H36" i="5"/>
  <c r="H39" i="5"/>
  <c r="I87" i="5"/>
  <c r="H39" i="40"/>
  <c r="H10" i="40"/>
  <c r="H10" i="32"/>
  <c r="H36" i="40"/>
  <c r="H22" i="7"/>
  <c r="H87" i="5"/>
  <c r="H75" i="5"/>
  <c r="H31" i="40"/>
  <c r="H53" i="40"/>
  <c r="H65" i="40"/>
  <c r="H69" i="40"/>
  <c r="H25" i="40"/>
  <c r="I84" i="5"/>
  <c r="H29" i="32"/>
  <c r="H43" i="1"/>
  <c r="H30" i="5"/>
  <c r="H20" i="32"/>
  <c r="H35" i="5"/>
  <c r="H33" i="5"/>
  <c r="H11" i="5"/>
  <c r="I6" i="5"/>
  <c r="H72" i="40"/>
  <c r="H6" i="40"/>
  <c r="H46" i="40"/>
  <c r="H14" i="32"/>
  <c r="H42" i="40"/>
  <c r="H72" i="5"/>
  <c r="H12" i="32"/>
  <c r="H38" i="40"/>
  <c r="H106" i="1"/>
  <c r="I38" i="5"/>
  <c r="H54" i="40"/>
  <c r="H68" i="5"/>
  <c r="H11" i="32"/>
  <c r="H55" i="40"/>
  <c r="H47" i="40"/>
  <c r="I40" i="5"/>
  <c r="H5" i="5"/>
  <c r="H32" i="32"/>
  <c r="H15" i="40"/>
  <c r="H104" i="7"/>
  <c r="H147" i="1"/>
  <c r="H19" i="32"/>
  <c r="H30" i="32"/>
  <c r="H30" i="1"/>
  <c r="H61" i="40"/>
  <c r="H73" i="40"/>
  <c r="H62" i="40"/>
  <c r="H50" i="32"/>
  <c r="H36" i="32"/>
  <c r="I7" i="5"/>
  <c r="H4" i="32"/>
  <c r="H6" i="5"/>
  <c r="H24" i="40"/>
  <c r="H52" i="7"/>
  <c r="AA8" i="43" l="1"/>
  <c r="Z7" i="43"/>
  <c r="AA6" i="42"/>
  <c r="AB6" i="39"/>
  <c r="AC6" i="39" s="1"/>
  <c r="Z6" i="43"/>
  <c r="AB7" i="39"/>
  <c r="S8" i="44"/>
  <c r="U7" i="44"/>
  <c r="AA7" i="42" l="1"/>
  <c r="Z6" i="42"/>
  <c r="AA9" i="43"/>
  <c r="Z8" i="43"/>
  <c r="AC7" i="39"/>
  <c r="AB8" i="39"/>
  <c r="S9" i="44"/>
  <c r="U8" i="44"/>
  <c r="AA10" i="43" l="1"/>
  <c r="Z9" i="43"/>
  <c r="AA8" i="42"/>
  <c r="Z7" i="42"/>
  <c r="AB9" i="39"/>
  <c r="AC8" i="39"/>
  <c r="S10" i="44"/>
  <c r="U9" i="44"/>
  <c r="Z8" i="42" l="1"/>
  <c r="AA9" i="42"/>
  <c r="Z10" i="43"/>
  <c r="AA11" i="43"/>
  <c r="AB10" i="39"/>
  <c r="AC9" i="39"/>
  <c r="S11" i="44"/>
  <c r="U10" i="44"/>
  <c r="Z11" i="43" l="1"/>
  <c r="AA12" i="43"/>
  <c r="Z9" i="42"/>
  <c r="AA10" i="42"/>
  <c r="AC10" i="39"/>
  <c r="AB11" i="39"/>
  <c r="S12" i="44"/>
  <c r="U11" i="44"/>
  <c r="Z12" i="43" l="1"/>
  <c r="AA13" i="43"/>
  <c r="AA11" i="42"/>
  <c r="Z10" i="42"/>
  <c r="AC11" i="39"/>
  <c r="AB12" i="39"/>
  <c r="S13" i="44"/>
  <c r="U12" i="44"/>
  <c r="Z13" i="43" l="1"/>
  <c r="AA14" i="43"/>
  <c r="AA12" i="42"/>
  <c r="Z11" i="42"/>
  <c r="AC12" i="39"/>
  <c r="AB13" i="39"/>
  <c r="S14" i="44"/>
  <c r="U13" i="44"/>
  <c r="Z12" i="42" l="1"/>
  <c r="AA13" i="42"/>
  <c r="AA15" i="43"/>
  <c r="Z14" i="43"/>
  <c r="AC13" i="39"/>
  <c r="AB14" i="39"/>
  <c r="S15" i="44"/>
  <c r="U14" i="44"/>
  <c r="AA16" i="43" l="1"/>
  <c r="Z15" i="43"/>
  <c r="Z13" i="42"/>
  <c r="AA14" i="42"/>
  <c r="AC14" i="39"/>
  <c r="AB15" i="39"/>
  <c r="S16" i="44"/>
  <c r="U15" i="44"/>
  <c r="Z14" i="42" l="1"/>
  <c r="AA15" i="42"/>
  <c r="AA17" i="43"/>
  <c r="Z16" i="43"/>
  <c r="AC15" i="39"/>
  <c r="AB16" i="39"/>
  <c r="S17" i="44"/>
  <c r="U16" i="44"/>
  <c r="AA18" i="43" l="1"/>
  <c r="Z17" i="43"/>
  <c r="AA16" i="42"/>
  <c r="Z15" i="42"/>
  <c r="AB17" i="39"/>
  <c r="AC16" i="39"/>
  <c r="S18" i="44"/>
  <c r="U17" i="44"/>
  <c r="Z16" i="42" l="1"/>
  <c r="AA17" i="42"/>
  <c r="AA19" i="43"/>
  <c r="Z18" i="43"/>
  <c r="AB18" i="39"/>
  <c r="AC17" i="39"/>
  <c r="S19" i="44"/>
  <c r="U18" i="44"/>
  <c r="Z19" i="43" l="1"/>
  <c r="AA20" i="43"/>
  <c r="Z17" i="42"/>
  <c r="AA18" i="42"/>
  <c r="AC18" i="39"/>
  <c r="AB19" i="39"/>
  <c r="S20" i="44"/>
  <c r="U19" i="44"/>
  <c r="AA19" i="42" l="1"/>
  <c r="Z18" i="42"/>
  <c r="Z20" i="43"/>
  <c r="AA21" i="43"/>
  <c r="AC19" i="39"/>
  <c r="AB20" i="39"/>
  <c r="S21" i="44"/>
  <c r="U20" i="44"/>
  <c r="Z21" i="43" l="1"/>
  <c r="AA22" i="43"/>
  <c r="AA20" i="42"/>
  <c r="Z19" i="42"/>
  <c r="AC20" i="39"/>
  <c r="AB21" i="39"/>
  <c r="S22" i="44"/>
  <c r="U21" i="44"/>
  <c r="Z20" i="42" l="1"/>
  <c r="AA21" i="42"/>
  <c r="AA23" i="43"/>
  <c r="Z22" i="43"/>
  <c r="AC21" i="39"/>
  <c r="AB22" i="39"/>
  <c r="S23" i="44"/>
  <c r="U22" i="44"/>
  <c r="AA24" i="43" l="1"/>
  <c r="Z23" i="43"/>
  <c r="Z21" i="42"/>
  <c r="AA22" i="42"/>
  <c r="AC22" i="39"/>
  <c r="AB23" i="39"/>
  <c r="S24" i="44"/>
  <c r="U23" i="44"/>
  <c r="Z22" i="42" l="1"/>
  <c r="AA23" i="42"/>
  <c r="AA25" i="43"/>
  <c r="Z24" i="43"/>
  <c r="AC23" i="39"/>
  <c r="AB24" i="39"/>
  <c r="S25" i="44"/>
  <c r="U24" i="44"/>
  <c r="AA26" i="43" l="1"/>
  <c r="Z25" i="43"/>
  <c r="AA24" i="42"/>
  <c r="Z23" i="42"/>
  <c r="AB25" i="39"/>
  <c r="AC24" i="39"/>
  <c r="S26" i="44"/>
  <c r="U25" i="44"/>
  <c r="Z24" i="42" l="1"/>
  <c r="AA25" i="42"/>
  <c r="AA27" i="43"/>
  <c r="Z26" i="43"/>
  <c r="AB26" i="39"/>
  <c r="AC25" i="39"/>
  <c r="S27" i="44"/>
  <c r="U26" i="44"/>
  <c r="Z27" i="43" l="1"/>
  <c r="AA28" i="43"/>
  <c r="Z25" i="42"/>
  <c r="AA26" i="42"/>
  <c r="AC26" i="39"/>
  <c r="AB27" i="39"/>
  <c r="S28" i="44"/>
  <c r="U27" i="44"/>
  <c r="Z28" i="43" l="1"/>
  <c r="AA29" i="43"/>
  <c r="AA27" i="42"/>
  <c r="Z26" i="42"/>
  <c r="AC27" i="39"/>
  <c r="AB28" i="39"/>
  <c r="S29" i="44"/>
  <c r="U28" i="44"/>
  <c r="Z29" i="43" l="1"/>
  <c r="AA30" i="43"/>
  <c r="AA28" i="42"/>
  <c r="Z27" i="42"/>
  <c r="AC28" i="39"/>
  <c r="AB29" i="39"/>
  <c r="S30" i="44"/>
  <c r="U29" i="44"/>
  <c r="Z28" i="42" l="1"/>
  <c r="AA29" i="42"/>
  <c r="AA31" i="43"/>
  <c r="Z30" i="43"/>
  <c r="AB30" i="39"/>
  <c r="AC29" i="39"/>
  <c r="S31" i="44"/>
  <c r="U30" i="44"/>
  <c r="AA32" i="43" l="1"/>
  <c r="Z31" i="43"/>
  <c r="Z29" i="42"/>
  <c r="AA30" i="42"/>
  <c r="AC30" i="39"/>
  <c r="AB31" i="39"/>
  <c r="S32" i="44"/>
  <c r="U31" i="44"/>
  <c r="AA31" i="42" l="1"/>
  <c r="Z30" i="42"/>
  <c r="AA33" i="43"/>
  <c r="Z32" i="43"/>
  <c r="AC31" i="39"/>
  <c r="AB32" i="39"/>
  <c r="S33" i="44"/>
  <c r="U32" i="44"/>
  <c r="AA34" i="43" l="1"/>
  <c r="Z33" i="43"/>
  <c r="AA32" i="42"/>
  <c r="Z31" i="42"/>
  <c r="AB33" i="39"/>
  <c r="AC32" i="39"/>
  <c r="S34" i="44"/>
  <c r="U33" i="44"/>
  <c r="Z32" i="42" l="1"/>
  <c r="AA33" i="42"/>
  <c r="AA35" i="43"/>
  <c r="Z34" i="43"/>
  <c r="AB34" i="39"/>
  <c r="AC33" i="39"/>
  <c r="S35" i="44"/>
  <c r="U34" i="44"/>
  <c r="Z33" i="42" l="1"/>
  <c r="AA34" i="42"/>
  <c r="Z35" i="43"/>
  <c r="AA36" i="43"/>
  <c r="AC34" i="39"/>
  <c r="AB35" i="39"/>
  <c r="S36" i="44"/>
  <c r="U35" i="44"/>
  <c r="Z36" i="43" l="1"/>
  <c r="AA37" i="43"/>
  <c r="AA35" i="42"/>
  <c r="Z34" i="42"/>
  <c r="AC35" i="39"/>
  <c r="AB36" i="39"/>
  <c r="S37" i="44"/>
  <c r="U36" i="44"/>
  <c r="AA36" i="42" l="1"/>
  <c r="Z35" i="42"/>
  <c r="Z37" i="43"/>
  <c r="AA38" i="43"/>
  <c r="AC36" i="39"/>
  <c r="AB37" i="39"/>
  <c r="S38" i="44"/>
  <c r="U37" i="44"/>
  <c r="AA39" i="43" l="1"/>
  <c r="Z38" i="43"/>
  <c r="Z36" i="42"/>
  <c r="AA37" i="42"/>
  <c r="AC37" i="39"/>
  <c r="AB38" i="39"/>
  <c r="S39" i="44"/>
  <c r="U38" i="44"/>
  <c r="Z37" i="42" l="1"/>
  <c r="AA38" i="42"/>
  <c r="AA40" i="43"/>
  <c r="Z39" i="43"/>
  <c r="AC38" i="39"/>
  <c r="AB39" i="39"/>
  <c r="S40" i="44"/>
  <c r="U39" i="44"/>
  <c r="Z38" i="42" l="1"/>
  <c r="AA39" i="42"/>
  <c r="AA41" i="43"/>
  <c r="Z40" i="43"/>
  <c r="AC39" i="39"/>
  <c r="AB40" i="39"/>
  <c r="S41" i="44"/>
  <c r="U40" i="44"/>
  <c r="AA42" i="43" l="1"/>
  <c r="Z41" i="43"/>
  <c r="AA40" i="42"/>
  <c r="Z39" i="42"/>
  <c r="AB41" i="39"/>
  <c r="AC40" i="39"/>
  <c r="S42" i="44"/>
  <c r="U41" i="44"/>
  <c r="Z40" i="42" l="1"/>
  <c r="AA41" i="42"/>
  <c r="Z42" i="43"/>
  <c r="AA43" i="43"/>
  <c r="AB42" i="39"/>
  <c r="AC41" i="39"/>
  <c r="S43" i="44"/>
  <c r="U42" i="44"/>
  <c r="Z43" i="43" l="1"/>
  <c r="AA44" i="43"/>
  <c r="Z41" i="42"/>
  <c r="AA42" i="42"/>
  <c r="AC42" i="39"/>
  <c r="AB43" i="39"/>
  <c r="S44" i="44"/>
  <c r="U43" i="44"/>
  <c r="AA43" i="42" l="1"/>
  <c r="Z42" i="42"/>
  <c r="Z44" i="43"/>
  <c r="AA45" i="43"/>
  <c r="AC43" i="39"/>
  <c r="AB44" i="39"/>
  <c r="S45" i="44"/>
  <c r="U44" i="44"/>
  <c r="Z45" i="43" l="1"/>
  <c r="AA46" i="43"/>
  <c r="Z46" i="43" s="1"/>
  <c r="AA44" i="42"/>
  <c r="Z43" i="42"/>
  <c r="AC44" i="39"/>
  <c r="AB45" i="39"/>
  <c r="S46" i="44"/>
  <c r="U45" i="44"/>
  <c r="Z44" i="42" l="1"/>
  <c r="AA45" i="42"/>
  <c r="AB46" i="39"/>
  <c r="AC45" i="39"/>
  <c r="S47" i="44"/>
  <c r="U46" i="44"/>
  <c r="Z45" i="42" l="1"/>
  <c r="AA46" i="42"/>
  <c r="Z46" i="42" s="1"/>
  <c r="AC46" i="39"/>
  <c r="AB47" i="39"/>
  <c r="AB48" i="39" s="1"/>
  <c r="AB49" i="39" s="1"/>
  <c r="S48" i="44"/>
  <c r="U47" i="44"/>
  <c r="S49" i="44" l="1"/>
  <c r="U48" i="44"/>
  <c r="S50" i="44" l="1"/>
  <c r="U49" i="44"/>
  <c r="S51" i="44" l="1"/>
  <c r="U50" i="44"/>
  <c r="S52" i="44" l="1"/>
  <c r="U51" i="44"/>
  <c r="S53" i="44" l="1"/>
  <c r="U52" i="44"/>
  <c r="S54" i="44" l="1"/>
  <c r="U53" i="44"/>
  <c r="S55" i="44" l="1"/>
  <c r="U54" i="44"/>
  <c r="S56" i="44" l="1"/>
  <c r="U55" i="44"/>
  <c r="S57" i="44" l="1"/>
  <c r="U56" i="44"/>
  <c r="S58" i="44" l="1"/>
  <c r="U57" i="44"/>
  <c r="S59" i="44" l="1"/>
  <c r="U58" i="44"/>
  <c r="S60" i="44" l="1"/>
  <c r="U60" i="44" s="1"/>
  <c r="U59" i="44"/>
</calcChain>
</file>

<file path=xl/sharedStrings.xml><?xml version="1.0" encoding="utf-8"?>
<sst xmlns="http://schemas.openxmlformats.org/spreadsheetml/2006/main" count="7461" uniqueCount="3563">
  <si>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</si>
  <si>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</si>
  <si>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</si>
  <si>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</si>
  <si>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</si>
  <si>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</si>
  <si>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</si>
  <si>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</si>
  <si>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</si>
  <si>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</si>
  <si>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</si>
  <si>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</si>
  <si>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</si>
  <si>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</si>
  <si>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</si>
  <si>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</si>
  <si>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</si>
  <si>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</si>
  <si>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</si>
  <si>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</si>
  <si>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</si>
  <si>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</si>
  <si>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</si>
  <si>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</si>
  <si>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</si>
  <si>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</si>
  <si>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</si>
  <si>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</si>
  <si>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</si>
  <si>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</si>
  <si>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</si>
  <si>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</si>
  <si>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</si>
  <si>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</si>
  <si>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</si>
  <si>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</si>
  <si>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</si>
  <si>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</si>
  <si>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</si>
  <si>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</si>
  <si>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</si>
  <si>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</si>
  <si>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</si>
  <si>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</si>
  <si>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</si>
  <si>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</si>
  <si>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</si>
  <si>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</si>
  <si>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</si>
  <si>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</si>
  <si>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</si>
  <si>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</si>
  <si>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</si>
  <si>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</si>
  <si>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</si>
  <si>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</si>
  <si>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</si>
  <si>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</si>
  <si>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</si>
  <si>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</si>
  <si>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</si>
  <si>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</si>
  <si>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</si>
  <si>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</si>
  <si>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</si>
  <si>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</si>
  <si>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</si>
  <si>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</si>
  <si>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</si>
  <si>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</si>
  <si>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</si>
  <si>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</si>
  <si>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</si>
  <si>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</si>
  <si>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</si>
  <si>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</si>
  <si>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</si>
  <si>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</si>
  <si>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</si>
  <si>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</si>
  <si>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</si>
  <si>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</si>
  <si>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</si>
  <si>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</si>
  <si>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</si>
  <si>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</si>
  <si>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</si>
  <si>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</si>
  <si>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</si>
  <si>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</si>
  <si>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</si>
  <si>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</si>
  <si>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</si>
  <si>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</si>
  <si>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</si>
  <si>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</si>
  <si>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</si>
  <si>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</si>
  <si>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</si>
  <si>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</si>
  <si>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</si>
  <si>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</si>
  <si>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</si>
  <si>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</si>
  <si>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</si>
  <si>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</si>
  <si>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</si>
  <si>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</si>
  <si>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</si>
  <si>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</si>
  <si>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</si>
  <si>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</si>
  <si>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</si>
  <si>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</si>
  <si>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</si>
  <si>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</si>
  <si>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</si>
  <si>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</si>
  <si>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</si>
  <si>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</si>
  <si>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</si>
  <si>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</si>
  <si>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</si>
  <si>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</si>
  <si>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</si>
  <si>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</si>
  <si>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</si>
  <si>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</si>
  <si>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</si>
  <si>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</si>
  <si>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</si>
  <si>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</si>
  <si>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</si>
  <si>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</si>
  <si>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</si>
  <si>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</si>
  <si>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</si>
  <si>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</si>
  <si>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</si>
  <si>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</si>
  <si>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</si>
  <si>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</si>
  <si>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</si>
  <si>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</si>
  <si>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</si>
  <si>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</si>
  <si>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</si>
  <si>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</si>
  <si>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</si>
  <si>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</si>
  <si>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</si>
  <si>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</si>
  <si>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</si>
  <si>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</si>
  <si>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</si>
  <si>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</si>
  <si>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</si>
  <si>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</si>
  <si>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</si>
  <si>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</si>
  <si>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</si>
  <si>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</si>
  <si>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</si>
  <si>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</si>
  <si>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</si>
  <si>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</si>
  <si>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</si>
  <si>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</si>
  <si>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</si>
  <si>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</si>
  <si>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</si>
  <si>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</si>
  <si>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</si>
  <si>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</si>
  <si>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</si>
  <si>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</si>
  <si>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</si>
  <si>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</si>
  <si>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</si>
  <si>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</si>
  <si>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</si>
  <si>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</si>
  <si>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</si>
  <si>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</si>
  <si>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</si>
  <si>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</si>
  <si>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</si>
  <si>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</si>
  <si>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</si>
  <si>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</si>
  <si>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</si>
  <si>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</si>
  <si>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</si>
  <si>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</si>
  <si>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</si>
  <si>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</si>
  <si>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</si>
  <si>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</si>
  <si>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</si>
  <si>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</si>
  <si>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</si>
  <si>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</si>
  <si>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</si>
  <si>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</si>
  <si>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</si>
  <si>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</si>
  <si>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</si>
  <si>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</si>
  <si>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</si>
  <si>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</si>
  <si>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</si>
  <si>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</si>
  <si>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</si>
  <si>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</si>
  <si>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</si>
  <si>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</si>
  <si>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</si>
  <si>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</si>
  <si>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</si>
  <si>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</si>
  <si>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</si>
  <si>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</si>
  <si>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</si>
  <si>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</si>
  <si>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</si>
  <si>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</si>
  <si>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</si>
  <si>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</si>
  <si>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</si>
  <si>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</si>
  <si>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</si>
  <si>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</si>
  <si>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</si>
  <si>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</si>
  <si>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</si>
  <si>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</si>
  <si>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</si>
  <si>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</si>
  <si>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</si>
  <si>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</si>
  <si>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</si>
  <si>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</si>
  <si>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</si>
  <si>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</si>
  <si>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</si>
  <si>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</si>
  <si>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</si>
  <si>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</si>
  <si>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</si>
  <si>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</si>
  <si>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</si>
  <si>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</si>
  <si>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</si>
  <si>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</si>
  <si>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</si>
  <si>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</si>
  <si>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</si>
  <si>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</si>
  <si>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</si>
  <si>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</si>
  <si>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</si>
  <si>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</si>
  <si>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</si>
  <si>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</si>
  <si>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</si>
  <si>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</si>
  <si>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</si>
  <si>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</si>
  <si>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</si>
  <si>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</si>
  <si>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</si>
  <si>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</si>
  <si>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</si>
  <si>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</si>
  <si>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</si>
  <si>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</si>
  <si>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</si>
  <si>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</si>
  <si>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</si>
  <si>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</si>
  <si>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</si>
  <si>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</si>
  <si>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</si>
  <si>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</si>
  <si>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</si>
  <si>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</si>
  <si>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</si>
  <si>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</si>
  <si>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</si>
  <si>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</si>
  <si>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</si>
  <si>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</si>
  <si>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</si>
  <si>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</si>
  <si>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</si>
  <si>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</si>
  <si>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</si>
  <si>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</si>
  <si>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</si>
  <si>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</si>
  <si>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</si>
  <si>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</si>
  <si>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</si>
  <si>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</si>
  <si>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</si>
  <si>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</si>
  <si>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</si>
  <si>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</si>
  <si>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</si>
  <si>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</si>
  <si>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</si>
  <si>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</si>
  <si>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</si>
  <si>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</si>
  <si>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</si>
  <si>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</si>
  <si>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</si>
  <si>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</si>
  <si>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</si>
  <si>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</si>
  <si>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</si>
  <si>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</si>
  <si>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</si>
  <si>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</si>
  <si>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</si>
  <si>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</si>
  <si>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</si>
  <si>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</si>
  <si>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</si>
  <si>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</si>
  <si>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</si>
  <si>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</si>
  <si>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</si>
  <si>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</si>
  <si>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</si>
  <si>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</si>
  <si>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</si>
  <si>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</si>
  <si>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</si>
  <si>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</si>
  <si>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</si>
  <si>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</si>
  <si>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</si>
  <si>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</si>
  <si>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</si>
  <si>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</si>
  <si>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</si>
  <si>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</si>
  <si>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</si>
  <si>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</si>
  <si>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</si>
  <si>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</si>
  <si>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</si>
  <si>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</si>
  <si>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</si>
  <si>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</si>
  <si>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</si>
  <si>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</si>
  <si>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</si>
  <si>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</si>
  <si>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</si>
  <si>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</si>
  <si>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</si>
  <si>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</si>
  <si>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</si>
  <si>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</si>
  <si>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</si>
  <si>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</si>
  <si>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</si>
  <si>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</si>
  <si>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</si>
  <si>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</si>
  <si>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</si>
  <si>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</si>
  <si>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</si>
  <si>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</si>
  <si>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</si>
  <si>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</si>
  <si>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</si>
  <si>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</si>
  <si>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</si>
  <si>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</si>
  <si>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</si>
  <si>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</si>
  <si>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</si>
  <si>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</si>
  <si>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</si>
  <si>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</si>
  <si>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</si>
  <si>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</si>
  <si>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</si>
  <si>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</si>
  <si>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</si>
  <si>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</si>
  <si>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</si>
  <si>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</si>
  <si>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</si>
  <si>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</si>
  <si>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</si>
  <si>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</si>
  <si>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</si>
  <si>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</si>
  <si>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</si>
  <si>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</si>
  <si>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</si>
  <si>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</si>
  <si>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</si>
  <si>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</si>
  <si>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</si>
  <si>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</si>
  <si>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</si>
  <si>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</si>
  <si>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</si>
  <si>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</si>
  <si>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</si>
  <si>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</si>
  <si>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</si>
  <si>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</si>
  <si>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</si>
  <si>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</si>
  <si>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</si>
  <si>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</si>
  <si>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</si>
  <si>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</si>
  <si>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</si>
  <si>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</si>
  <si>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</si>
  <si>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</si>
  <si>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</si>
  <si>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</si>
  <si>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</si>
  <si>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</si>
  <si>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</si>
  <si>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</si>
  <si>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</si>
  <si>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</si>
  <si>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</si>
  <si>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</si>
  <si>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</si>
  <si>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</si>
  <si>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</si>
  <si>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</si>
  <si>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</si>
  <si>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</si>
  <si>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</si>
  <si>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</si>
  <si>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</si>
  <si>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</si>
  <si>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</si>
  <si>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</si>
  <si>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</si>
  <si>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</si>
  <si>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</si>
  <si>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</si>
  <si>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</si>
  <si>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</si>
  <si>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</si>
  <si>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</si>
  <si>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</si>
  <si>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</si>
  <si>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</si>
  <si>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</si>
  <si>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</si>
  <si>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</si>
  <si>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</si>
  <si>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</si>
  <si>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</si>
  <si>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</si>
  <si>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</si>
  <si>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</si>
  <si>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</si>
  <si>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</si>
  <si>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</si>
  <si>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</si>
  <si>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</si>
  <si>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</si>
  <si>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</si>
  <si>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</si>
  <si>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</si>
  <si>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</si>
  <si>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</si>
  <si>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</si>
  <si>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</si>
  <si>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</si>
  <si>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</si>
  <si>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</si>
  <si>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</si>
  <si>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</si>
  <si>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</si>
  <si>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</si>
  <si>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</si>
  <si>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</si>
  <si>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</si>
  <si>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</si>
  <si>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</si>
  <si>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</si>
  <si>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</si>
  <si>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</si>
  <si>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</si>
  <si>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</si>
  <si>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</si>
  <si>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</si>
  <si>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</si>
  <si>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</si>
  <si>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</si>
  <si>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</si>
  <si>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</si>
  <si>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</si>
  <si>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</si>
  <si>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</si>
  <si>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</si>
  <si>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</si>
  <si>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</si>
  <si>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</si>
  <si>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</si>
  <si>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</si>
  <si>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</si>
  <si>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</si>
  <si>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</si>
  <si>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</si>
  <si>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</si>
  <si>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</si>
  <si>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</si>
  <si>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</si>
  <si>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</si>
  <si>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</si>
  <si>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</si>
  <si>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</si>
  <si>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</si>
  <si>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</si>
  <si>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</si>
  <si>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</si>
  <si>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</si>
  <si>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</si>
  <si>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</si>
  <si>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</si>
  <si>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</si>
  <si>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</si>
  <si>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</si>
  <si>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</si>
  <si>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</si>
  <si>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</si>
  <si>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</si>
  <si>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</si>
  <si>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</si>
  <si>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</si>
  <si>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</si>
  <si>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</si>
  <si>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</si>
  <si>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</si>
  <si>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</si>
  <si>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</si>
  <si>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</si>
  <si>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</si>
  <si>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</si>
  <si>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</si>
  <si>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</si>
  <si>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</si>
  <si>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</si>
  <si>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</si>
  <si>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</si>
  <si>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</si>
  <si>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</si>
  <si>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</si>
  <si>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</si>
  <si>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</si>
  <si>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</si>
  <si>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</si>
  <si>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</si>
  <si>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</si>
  <si>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</si>
  <si>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</si>
  <si>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</si>
  <si>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</si>
  <si>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</si>
  <si>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</si>
  <si>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</si>
  <si>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</si>
  <si>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</si>
  <si>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</si>
  <si>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</si>
  <si>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</si>
  <si>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</si>
  <si>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</si>
  <si>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</si>
  <si>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</si>
  <si>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</si>
  <si>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</si>
  <si>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</si>
  <si>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</si>
  <si>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</si>
  <si>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</si>
  <si>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</si>
  <si>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</si>
  <si>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</si>
  <si>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</si>
  <si>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</si>
  <si>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</si>
  <si>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</si>
  <si>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</si>
  <si>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</si>
  <si>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</si>
  <si>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</si>
  <si>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</si>
  <si>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</si>
  <si>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</si>
  <si>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</si>
  <si>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</si>
  <si>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</si>
  <si>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</si>
  <si>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</si>
  <si>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</si>
  <si>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</si>
  <si>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</si>
  <si>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</si>
  <si>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</si>
  <si>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</si>
  <si>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</si>
  <si>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</si>
  <si>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</si>
  <si>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</si>
  <si>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</si>
  <si>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</si>
  <si>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</si>
  <si>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</si>
  <si>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</si>
  <si>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</si>
  <si>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</si>
  <si>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</si>
  <si>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</si>
  <si>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</si>
  <si>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</si>
  <si>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</si>
  <si>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</si>
  <si>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</si>
  <si>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</si>
  <si>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</si>
  <si>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</si>
  <si>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</si>
  <si>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</si>
  <si>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</si>
  <si>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</si>
  <si>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</si>
  <si>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</si>
  <si>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</si>
  <si>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</si>
  <si>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</si>
  <si>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</si>
  <si>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</si>
  <si>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</si>
  <si>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</si>
  <si>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</si>
  <si>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</si>
  <si>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</si>
  <si>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</si>
  <si>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</si>
  <si>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</si>
  <si>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</si>
  <si>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</si>
  <si>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</si>
  <si>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</si>
  <si>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</si>
  <si>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</si>
  <si>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</si>
  <si>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</si>
  <si>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</si>
  <si>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</si>
  <si>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</si>
  <si>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</si>
  <si>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</si>
  <si>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</si>
  <si>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</si>
  <si>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</si>
  <si>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</si>
  <si>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</si>
  <si>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</si>
  <si>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</si>
  <si>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</si>
  <si>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</si>
  <si>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</si>
  <si>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</si>
  <si>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</si>
  <si>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</si>
  <si>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</si>
  <si>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</si>
  <si>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</si>
  <si>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</si>
  <si>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</si>
  <si>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</si>
  <si>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</si>
  <si>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</si>
  <si>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</si>
  <si>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</si>
  <si>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</si>
  <si>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</si>
  <si>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</si>
  <si>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</si>
  <si>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</si>
  <si>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</si>
  <si>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</si>
  <si>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</si>
  <si>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</si>
  <si>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</si>
  <si>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</si>
  <si>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</si>
  <si>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</si>
  <si>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</si>
  <si>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</si>
  <si>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</si>
  <si>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</si>
  <si>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</si>
  <si>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</si>
  <si>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</si>
  <si>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</si>
  <si>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</si>
  <si>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</si>
  <si>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</si>
  <si>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</si>
  <si>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</si>
  <si>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</si>
  <si>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</si>
  <si>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</si>
  <si>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</si>
  <si>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</si>
  <si>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</si>
  <si>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</si>
  <si>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</si>
  <si>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</si>
  <si>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</si>
  <si>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</si>
  <si>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</si>
  <si>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</si>
  <si>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</si>
  <si>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</si>
  <si>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</si>
  <si>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</si>
  <si>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</si>
  <si>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</si>
  <si>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</si>
  <si>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</si>
  <si>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</si>
  <si>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</si>
  <si>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</si>
  <si>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</si>
  <si>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</si>
  <si>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</si>
  <si>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</si>
  <si>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</si>
  <si>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</si>
  <si>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</si>
  <si>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</si>
  <si>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</si>
  <si>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</si>
  <si>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</si>
  <si>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</si>
  <si>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</si>
  <si>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</si>
  <si>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</si>
  <si>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</si>
  <si>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</si>
  <si>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</si>
  <si>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</si>
  <si>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</si>
  <si>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</si>
  <si>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</si>
  <si>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</si>
  <si>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</si>
  <si>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</si>
  <si>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</si>
  <si>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</si>
  <si>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</si>
  <si>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</si>
  <si>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</si>
  <si>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</si>
  <si>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</si>
  <si>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</si>
  <si>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</si>
  <si>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</si>
  <si>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</si>
  <si>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</si>
  <si>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</si>
  <si>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</si>
  <si>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</si>
  <si>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</si>
  <si>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</si>
  <si>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</si>
  <si>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</si>
  <si>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</si>
  <si>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</si>
  <si>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</si>
  <si>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</si>
  <si>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</si>
  <si>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</si>
  <si>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</si>
  <si>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</si>
  <si>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</si>
  <si>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</si>
  <si>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</si>
  <si>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</si>
  <si>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</si>
  <si>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</si>
  <si>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</si>
  <si>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</si>
  <si>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</si>
  <si>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</si>
  <si>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</si>
  <si>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</si>
  <si>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</si>
  <si>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</si>
  <si>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</si>
  <si>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</si>
  <si>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</si>
  <si>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</si>
  <si>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</si>
  <si>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</si>
  <si>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</si>
  <si>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</si>
  <si>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</si>
  <si>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</si>
  <si>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</si>
  <si>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</si>
  <si>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</si>
  <si>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</si>
  <si>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</si>
  <si>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</si>
  <si>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</si>
  <si>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</si>
  <si>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</si>
  <si>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</si>
  <si>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</si>
  <si>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</si>
  <si>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</si>
  <si>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</si>
  <si>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</si>
  <si>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</si>
  <si>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</si>
  <si>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</si>
  <si>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</si>
  <si>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</si>
  <si>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</si>
  <si>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</si>
  <si>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</si>
  <si>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</si>
  <si>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</si>
  <si>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</si>
  <si>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</si>
  <si>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</si>
  <si>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</si>
  <si>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</si>
  <si>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</si>
  <si>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</si>
  <si>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</si>
  <si>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</si>
  <si>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</si>
  <si>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</si>
  <si>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</si>
  <si>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</si>
  <si>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</si>
  <si>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</si>
  <si>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</si>
  <si>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</si>
  <si>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</si>
  <si>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</si>
  <si>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</si>
  <si>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</si>
  <si>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</si>
  <si>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</si>
  <si>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</si>
  <si>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</si>
  <si>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</si>
  <si>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</si>
  <si>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</si>
  <si>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</si>
  <si>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</si>
  <si>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</si>
  <si>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</si>
  <si>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</si>
  <si>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</si>
  <si>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</si>
  <si>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</si>
  <si>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</si>
  <si>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</si>
  <si>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</si>
  <si>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</si>
  <si>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</si>
  <si>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</si>
  <si>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</si>
  <si>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</si>
  <si>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</si>
  <si>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</si>
  <si>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</si>
  <si>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</si>
  <si>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</si>
  <si>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</si>
  <si>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</si>
  <si>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</si>
  <si>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</si>
  <si>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</si>
  <si>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</si>
  <si>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</si>
  <si>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</si>
  <si>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</si>
  <si>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</si>
  <si>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</si>
  <si>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</si>
  <si>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</si>
  <si>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</si>
  <si>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</si>
  <si>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</si>
  <si>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</si>
  <si>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</si>
  <si>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</si>
  <si>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</si>
  <si>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</si>
  <si>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</si>
  <si>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</si>
  <si>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</si>
  <si>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</si>
  <si>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</si>
  <si>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</si>
  <si>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</si>
  <si>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</si>
  <si>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</si>
  <si>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</si>
  <si>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</si>
  <si>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</si>
  <si>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</si>
  <si>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</si>
  <si>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</si>
  <si>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</si>
  <si>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</si>
  <si>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</si>
  <si>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</si>
  <si>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</si>
  <si>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</si>
  <si>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</si>
  <si>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</si>
  <si>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</si>
  <si>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</si>
  <si>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</si>
  <si>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</si>
  <si>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</si>
  <si>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</si>
  <si>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</si>
  <si>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</si>
  <si>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</si>
  <si>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</si>
  <si>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</si>
  <si>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</si>
  <si>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</si>
  <si>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</si>
  <si>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</si>
  <si>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</si>
  <si>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</si>
  <si>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</si>
  <si>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</si>
  <si>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</si>
  <si>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</si>
  <si>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</si>
  <si>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</si>
  <si>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</si>
  <si>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</si>
  <si>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</si>
  <si>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</si>
  <si>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</si>
  <si>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</si>
  <si>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</si>
  <si>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</si>
  <si>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</si>
  <si>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</si>
  <si>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</si>
  <si>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</si>
  <si>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</si>
  <si>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</si>
  <si>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</si>
  <si>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</si>
  <si>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</si>
  <si>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</si>
  <si>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</si>
  <si>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</si>
  <si>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</si>
  <si>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</si>
  <si>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</si>
  <si>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</si>
  <si>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</si>
  <si>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</si>
  <si>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</si>
  <si>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</si>
  <si>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</si>
  <si>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</si>
  <si>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</si>
  <si>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</si>
  <si>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</si>
  <si>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</si>
  <si>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</si>
  <si>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</si>
  <si>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</si>
  <si>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</si>
  <si>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</si>
  <si>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</si>
  <si>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</si>
  <si>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</si>
  <si>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</si>
  <si>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</si>
  <si>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</si>
  <si>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</si>
  <si>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</si>
  <si>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</si>
  <si>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</si>
  <si>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</si>
  <si>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</si>
  <si>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</si>
  <si>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</si>
  <si>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</si>
  <si>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</si>
  <si>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</si>
  <si>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</si>
  <si>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</si>
  <si>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</si>
  <si>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</si>
  <si>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</si>
  <si>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</si>
  <si>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</si>
  <si>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</si>
  <si>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</si>
  <si>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</si>
  <si>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</si>
  <si>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</si>
  <si>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</si>
  <si>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</si>
  <si>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</si>
  <si>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</si>
  <si>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</si>
  <si>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</si>
  <si>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</si>
  <si>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</si>
  <si>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</si>
  <si>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</si>
  <si>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</si>
  <si>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</si>
  <si>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</si>
  <si>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</si>
  <si>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</si>
  <si>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</si>
  <si>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</si>
  <si>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</si>
  <si>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</si>
  <si>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</si>
  <si>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</si>
  <si>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</si>
  <si>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</si>
  <si>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</si>
  <si>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</si>
  <si>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</si>
  <si>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</si>
  <si>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</si>
  <si>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</si>
  <si>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</si>
  <si>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</si>
  <si>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</si>
  <si>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</si>
  <si>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</si>
  <si>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</si>
  <si>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</si>
  <si>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</si>
  <si>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</si>
  <si>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</si>
  <si>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</si>
  <si>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</si>
  <si>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</si>
  <si>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</si>
  <si>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</si>
  <si>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</si>
  <si>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</si>
  <si>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</si>
  <si>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</si>
  <si>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</si>
  <si>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</si>
  <si>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</si>
  <si>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</si>
  <si>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</si>
  <si>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</si>
  <si>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</si>
  <si>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</si>
  <si>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</si>
  <si>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</si>
  <si>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</si>
  <si>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</si>
  <si>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</si>
  <si>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</si>
  <si>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</si>
  <si>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</si>
  <si>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</si>
  <si>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</si>
  <si>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</si>
  <si>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</si>
  <si>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</si>
  <si>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</si>
  <si>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</si>
  <si>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</si>
  <si>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</si>
  <si>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</si>
  <si>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</si>
  <si>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</si>
  <si>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</si>
  <si>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</si>
  <si>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</si>
  <si>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</si>
  <si>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</si>
  <si>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</si>
  <si>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</si>
  <si>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</si>
  <si>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</si>
  <si>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</si>
  <si>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</si>
  <si>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</si>
  <si>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</si>
  <si>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</si>
  <si>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</si>
  <si>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</si>
  <si>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</si>
  <si>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</si>
  <si>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</si>
  <si>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</si>
  <si>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</si>
  <si>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</si>
  <si>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</si>
  <si>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</si>
  <si>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</si>
  <si>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</si>
  <si>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</si>
  <si>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</si>
  <si>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</si>
  <si>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</si>
  <si>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</si>
  <si>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</si>
  <si>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</si>
  <si>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</si>
  <si>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</si>
  <si>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</si>
  <si>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</si>
  <si>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</si>
  <si>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</si>
  <si>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</si>
  <si>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</si>
  <si>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</si>
  <si>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</si>
  <si>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</si>
  <si>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</si>
  <si>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</si>
  <si>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</si>
  <si>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</si>
  <si>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</si>
  <si>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</si>
  <si>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</si>
  <si>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</si>
  <si>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</si>
  <si>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</si>
  <si>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</si>
  <si>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</si>
  <si>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</si>
  <si>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</si>
  <si>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</si>
  <si>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</si>
  <si>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</si>
  <si>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</si>
  <si>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</si>
  <si>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</si>
  <si>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</si>
  <si>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</si>
  <si>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</si>
  <si>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</si>
  <si>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</si>
  <si>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</si>
  <si>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</si>
  <si>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</si>
  <si>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</si>
  <si>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</si>
  <si>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</si>
  <si>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</si>
  <si>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</si>
  <si>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</si>
  <si>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</si>
  <si>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</si>
  <si>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</si>
  <si>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</si>
  <si>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</si>
  <si>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</si>
  <si>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</si>
  <si>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</si>
  <si>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</si>
  <si>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</si>
  <si>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</si>
  <si>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</si>
  <si>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</si>
  <si>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</si>
  <si>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</si>
  <si>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</si>
  <si>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</si>
  <si>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</si>
  <si>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</si>
  <si>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</si>
  <si>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</si>
  <si>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</si>
  <si>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</si>
  <si>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</si>
  <si>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</si>
  <si>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</si>
  <si>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</si>
  <si>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</si>
  <si>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</si>
  <si>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</si>
  <si>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</si>
  <si>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</si>
  <si>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</si>
  <si>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</si>
  <si>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</si>
  <si>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</si>
  <si>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</si>
  <si>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</si>
  <si>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</si>
  <si>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</si>
  <si>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</si>
  <si>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</si>
  <si>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</si>
  <si>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</si>
  <si>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</si>
  <si>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</si>
  <si>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</si>
  <si>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</si>
  <si>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</si>
  <si>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</si>
  <si>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</si>
  <si>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</si>
  <si>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</si>
  <si>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</si>
  <si>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</si>
  <si>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</si>
  <si>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</si>
  <si>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</si>
  <si>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</si>
  <si>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</si>
  <si>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</si>
  <si>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</si>
  <si>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</si>
  <si>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</si>
  <si>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</si>
  <si>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</si>
  <si>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</si>
  <si>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</si>
  <si>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</si>
  <si>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</si>
  <si>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</si>
  <si>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</si>
  <si>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</si>
  <si>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</si>
  <si>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</si>
  <si>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</si>
  <si>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</si>
  <si>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</si>
  <si>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</si>
  <si>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</si>
  <si>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</si>
  <si>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</si>
  <si>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</si>
  <si>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</si>
  <si>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</si>
  <si>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</si>
  <si>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</si>
  <si>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</si>
  <si>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</si>
  <si>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</si>
  <si>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</si>
  <si>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</si>
  <si>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</si>
  <si>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</si>
  <si>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</si>
  <si>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</si>
  <si>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</si>
  <si>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</si>
  <si>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</si>
  <si>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</si>
  <si>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</si>
  <si>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</si>
  <si>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</si>
  <si>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</si>
  <si>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</si>
  <si>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</si>
  <si>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</si>
  <si>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</si>
  <si>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</si>
  <si>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</si>
  <si>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</si>
  <si>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</si>
  <si>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</si>
  <si>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</si>
  <si>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</si>
  <si>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</si>
  <si>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</si>
  <si>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</si>
  <si>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</si>
  <si>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</si>
  <si>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</si>
  <si>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</si>
  <si>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</si>
  <si>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</si>
  <si>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</si>
  <si>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</si>
  <si>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</si>
  <si>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</si>
  <si>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</si>
  <si>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</si>
  <si>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</si>
  <si>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</si>
  <si>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</si>
  <si>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</si>
  <si>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</si>
  <si>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</si>
  <si>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</si>
  <si>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</si>
  <si>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</si>
  <si>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</si>
  <si>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</si>
  <si>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</si>
  <si>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</si>
  <si>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</si>
  <si>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</si>
  <si>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</si>
  <si>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</si>
  <si>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</si>
  <si>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</si>
  <si>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</si>
  <si>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</si>
  <si>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</si>
  <si>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</si>
  <si>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</si>
  <si>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</si>
  <si>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</si>
  <si>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</si>
  <si>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</si>
  <si>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</si>
  <si>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</si>
  <si>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</si>
  <si>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</si>
  <si>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Stocks / (Cash + Invested Assets)</t>
  </si>
  <si>
    <t>Bonds / (Cash + Invested Assets)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</si>
  <si>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</si>
  <si>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</si>
  <si>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</si>
  <si>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</si>
  <si>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</si>
  <si>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</si>
  <si>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</si>
  <si>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</si>
  <si>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</si>
  <si>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</si>
  <si>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</si>
  <si>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</si>
  <si>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</si>
  <si>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</si>
  <si>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</si>
  <si>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</si>
  <si>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</si>
  <si>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</si>
  <si>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</si>
  <si>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</si>
  <si>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</si>
  <si>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</si>
  <si>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CalcC00000178</t>
  </si>
  <si>
    <t>Ratios</t>
  </si>
  <si>
    <t>Tax Rate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</si>
  <si>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</si>
  <si>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</si>
  <si>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</si>
  <si>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</si>
  <si>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</si>
  <si>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</si>
  <si>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</si>
  <si>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</si>
  <si>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</si>
  <si>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</si>
  <si>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</si>
  <si>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</si>
  <si>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</si>
  <si>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</si>
  <si>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</si>
  <si>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</si>
  <si>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</si>
  <si>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</si>
  <si>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</si>
  <si>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</si>
  <si>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</si>
  <si>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</si>
  <si>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</si>
  <si>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</si>
  <si>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</si>
  <si>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</si>
  <si>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</si>
  <si>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</si>
  <si>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</si>
  <si>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</si>
  <si>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</si>
  <si>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</si>
  <si>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</si>
  <si>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</si>
  <si>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</si>
  <si>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</si>
  <si>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</si>
  <si>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</si>
  <si>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</si>
  <si>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</si>
  <si>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</si>
  <si>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</si>
  <si>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</si>
  <si>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</si>
  <si>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</si>
  <si>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</si>
  <si>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</si>
  <si>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</si>
  <si>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</si>
  <si>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</si>
  <si>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</si>
  <si>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</si>
  <si>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</si>
  <si>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</si>
  <si>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</si>
  <si>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</si>
  <si>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</si>
  <si>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</si>
  <si>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</si>
  <si>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</si>
  <si>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</si>
  <si>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</si>
  <si>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</si>
  <si>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</si>
  <si>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</si>
  <si>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</si>
  <si>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</si>
  <si>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</si>
  <si>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</si>
  <si>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</si>
  <si>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</si>
  <si>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</si>
  <si>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</si>
  <si>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</si>
  <si>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</si>
  <si>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</si>
  <si>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</si>
  <si>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</si>
  <si>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</si>
  <si>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</si>
  <si>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</si>
  <si>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</si>
  <si>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</si>
  <si>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</si>
  <si>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</si>
  <si>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</si>
  <si>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</si>
  <si>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</si>
  <si>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</si>
  <si>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</si>
  <si>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</si>
  <si>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</si>
  <si>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</si>
  <si>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</si>
  <si>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</si>
  <si>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</si>
  <si>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</si>
  <si>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</si>
  <si>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</si>
  <si>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</si>
  <si>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</si>
  <si>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</si>
  <si>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</si>
  <si>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</si>
  <si>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</si>
  <si>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</si>
  <si>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</si>
  <si>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</si>
  <si>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</si>
  <si>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</si>
  <si>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</si>
  <si>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</si>
  <si>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</si>
  <si>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</si>
  <si>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</si>
  <si>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</si>
  <si>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</si>
  <si>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</si>
  <si>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</si>
  <si>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</si>
  <si>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</si>
  <si>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</si>
  <si>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</si>
  <si>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</si>
  <si>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</si>
  <si>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</si>
  <si>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</si>
  <si>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</si>
  <si>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</si>
  <si>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</si>
  <si>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</si>
  <si>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</si>
  <si>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</si>
  <si>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</si>
  <si>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</si>
  <si>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</si>
  <si>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</si>
  <si>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</si>
  <si>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</si>
  <si>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</si>
  <si>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</si>
  <si>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</si>
  <si>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</si>
  <si>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</si>
  <si>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</si>
  <si>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</si>
  <si>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</si>
  <si>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</si>
  <si>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</si>
  <si>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</si>
  <si>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</si>
  <si>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</si>
  <si>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</si>
  <si>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</si>
  <si>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</si>
  <si>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</si>
  <si>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</si>
  <si>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</si>
  <si>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</si>
  <si>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</si>
  <si>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</si>
  <si>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</si>
  <si>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</si>
  <si>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</si>
  <si>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</si>
  <si>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</si>
  <si>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</si>
  <si>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</si>
  <si>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</si>
  <si>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</si>
  <si>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</si>
  <si>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</si>
  <si>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</si>
  <si>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</si>
  <si>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</si>
  <si>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</si>
  <si>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</si>
  <si>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</si>
  <si>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</si>
  <si>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</si>
  <si>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</si>
  <si>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</si>
  <si>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</si>
  <si>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</si>
  <si>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</si>
  <si>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</si>
  <si>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</si>
  <si>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</si>
  <si>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</si>
  <si>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</si>
  <si>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</si>
  <si>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</si>
  <si>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</si>
  <si>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</si>
  <si>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</si>
  <si>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</si>
  <si>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</si>
  <si>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</si>
  <si>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</si>
  <si>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</si>
  <si>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</si>
  <si>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</si>
  <si>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</si>
  <si>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</si>
  <si>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</si>
  <si>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</si>
  <si>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</si>
  <si>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</si>
  <si>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</si>
  <si>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</si>
  <si>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</si>
  <si>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</si>
  <si>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</si>
  <si>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</si>
  <si>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</si>
  <si>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</si>
  <si>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</si>
  <si>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</si>
  <si>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</si>
  <si>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</si>
  <si>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</si>
  <si>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</si>
  <si>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</si>
  <si>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</si>
  <si>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</si>
  <si>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</si>
  <si>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</si>
  <si>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</si>
  <si>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</si>
  <si>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</si>
  <si>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</si>
  <si>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</si>
  <si>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</si>
  <si>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</si>
  <si>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</si>
  <si>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</si>
  <si>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</si>
  <si>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</si>
  <si>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</si>
  <si>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</si>
  <si>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</si>
  <si>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</si>
  <si>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</si>
  <si>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</si>
  <si>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</si>
  <si>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</si>
  <si>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</si>
  <si>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</si>
  <si>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</si>
  <si>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</si>
  <si>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</si>
  <si>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</si>
  <si>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</si>
  <si>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</si>
  <si>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</si>
  <si>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</si>
  <si>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</si>
  <si>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</si>
  <si>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</si>
  <si>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</si>
  <si>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</si>
  <si>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</si>
  <si>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</si>
  <si>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</si>
  <si>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</si>
  <si>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</si>
  <si>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</si>
  <si>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</si>
  <si>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</si>
  <si>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</si>
  <si>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</si>
  <si>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</si>
  <si>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</si>
  <si>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</si>
  <si>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</si>
  <si>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</si>
  <si>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</si>
  <si>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</si>
  <si>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</si>
  <si>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</si>
  <si>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</si>
  <si>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</si>
  <si>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</si>
  <si>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</si>
  <si>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</si>
  <si>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</si>
  <si>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</si>
  <si>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</si>
  <si>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</si>
  <si>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</si>
  <si>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</si>
  <si>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</si>
  <si>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</si>
  <si>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</si>
  <si>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</si>
  <si>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</si>
  <si>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</si>
  <si>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</si>
  <si>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</si>
  <si>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</si>
  <si>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</si>
  <si>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</si>
  <si>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</si>
  <si>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</si>
  <si>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</si>
  <si>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</si>
  <si>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</si>
  <si>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</si>
  <si>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</si>
  <si>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</si>
  <si>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</si>
  <si>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</si>
  <si>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</si>
  <si>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</si>
  <si>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</si>
  <si>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</si>
  <si>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</si>
  <si>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</si>
  <si>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</si>
  <si>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</si>
  <si>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</si>
  <si>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</si>
  <si>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</si>
  <si>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</si>
  <si>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</si>
  <si>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</si>
  <si>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</si>
  <si>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</si>
  <si>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</si>
  <si>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</si>
  <si>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</si>
  <si>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</si>
  <si>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</si>
  <si>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</si>
  <si>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</si>
  <si>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</si>
  <si>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</si>
  <si>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</si>
  <si>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</si>
  <si>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</si>
  <si>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</si>
  <si>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</si>
  <si>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</si>
  <si>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</si>
  <si>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</si>
  <si>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</si>
  <si>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</si>
  <si>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</si>
  <si>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</si>
  <si>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</si>
  <si>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</si>
  <si>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BI0020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</si>
  <si>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</si>
  <si>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</si>
  <si>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</si>
  <si>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</si>
  <si>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</si>
  <si>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</si>
  <si>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</si>
  <si>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</si>
  <si>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</si>
  <si>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</si>
  <si>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</si>
  <si>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</si>
  <si>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</si>
  <si>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</si>
  <si>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</si>
  <si>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</si>
  <si>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</si>
  <si>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</si>
  <si>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</si>
  <si>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</si>
  <si>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</si>
  <si>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</si>
  <si>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</si>
  <si>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</si>
  <si>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</si>
  <si>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</si>
  <si>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</si>
  <si>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</si>
  <si>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</si>
  <si>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</si>
  <si>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</si>
  <si>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</si>
  <si>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</si>
  <si>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</si>
  <si>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</si>
  <si>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</si>
  <si>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</si>
  <si>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</si>
  <si>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</si>
  <si>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</si>
  <si>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</si>
  <si>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</si>
  <si>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</si>
  <si>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</si>
  <si>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</si>
  <si>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</si>
  <si>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</si>
  <si>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</si>
  <si>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</si>
  <si>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</si>
  <si>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</si>
  <si>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</si>
  <si>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</si>
  <si>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</si>
  <si>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</si>
  <si>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</si>
  <si>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</si>
  <si>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</si>
  <si>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</si>
  <si>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</si>
  <si>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</si>
  <si>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</si>
  <si>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</si>
  <si>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</si>
  <si>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</si>
  <si>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</si>
  <si>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</si>
  <si>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</si>
  <si>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</si>
  <si>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</si>
  <si>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</si>
  <si>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</si>
  <si>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</si>
  <si>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</si>
  <si>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</si>
  <si>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</si>
  <si>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</si>
  <si>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</si>
  <si>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</si>
  <si>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</si>
  <si>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</si>
  <si>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</si>
  <si>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</si>
  <si>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</si>
  <si>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</si>
  <si>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</si>
  <si>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</si>
  <si>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</si>
  <si>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</si>
  <si>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</si>
  <si>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</si>
  <si>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</si>
  <si>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</si>
  <si>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</si>
  <si>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</si>
  <si>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</si>
  <si>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</si>
  <si>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</si>
  <si>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</si>
  <si>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</si>
  <si>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</si>
  <si>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</si>
  <si>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</si>
  <si>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</si>
  <si>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</si>
  <si>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</si>
  <si>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</si>
  <si>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</si>
  <si>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</si>
  <si>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</si>
  <si>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</si>
  <si>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</si>
  <si>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</si>
  <si>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</si>
  <si>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</si>
  <si>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</si>
  <si>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</si>
  <si>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</si>
  <si>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</si>
  <si>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</si>
  <si>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</si>
  <si>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</si>
  <si>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</si>
  <si>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</si>
  <si>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</si>
  <si>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</si>
  <si>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</si>
  <si>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</si>
  <si>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</si>
  <si>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</si>
  <si>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</si>
  <si>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</si>
  <si>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</si>
  <si>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</si>
  <si>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</si>
  <si>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</si>
  <si>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</si>
  <si>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</si>
  <si>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</si>
  <si>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>Phone:</t>
  </si>
  <si>
    <t>Website:</t>
  </si>
  <si>
    <t>Fax:</t>
  </si>
  <si>
    <t>ZI6012</t>
  </si>
  <si>
    <t>SUMMARY INVESTMENT SCHEDULE</t>
  </si>
  <si>
    <t>Assets</t>
  </si>
  <si>
    <t>Schedule D Part 1A</t>
  </si>
  <si>
    <t>Statement of Income</t>
  </si>
  <si>
    <t>SUMMARY OF OPERATIONS</t>
  </si>
  <si>
    <t>STATEMENT OF REVENUE AND EXP</t>
  </si>
  <si>
    <t>Reinvestment % of Operating Income</t>
  </si>
  <si>
    <t>Operating Metrics</t>
  </si>
  <si>
    <t>Investment Analysis</t>
  </si>
  <si>
    <t>4 QTR (E)</t>
  </si>
  <si>
    <t>3 QTR (E)</t>
  </si>
  <si>
    <t>2QTR (E)</t>
  </si>
  <si>
    <t>1QTR (E)</t>
  </si>
  <si>
    <t>Asset Allocation</t>
  </si>
  <si>
    <t>Liquid Assets</t>
  </si>
  <si>
    <t>E-Mail:</t>
  </si>
  <si>
    <t>A</t>
  </si>
  <si>
    <t>D</t>
  </si>
  <si>
    <t>row cplumn pos</t>
  </si>
  <si>
    <t>data col pos</t>
  </si>
  <si>
    <t>line number</t>
  </si>
  <si>
    <t>Calculations</t>
  </si>
  <si>
    <t>ZI6015</t>
  </si>
  <si>
    <t>ZI6016</t>
  </si>
  <si>
    <t>AI6005</t>
  </si>
  <si>
    <t>Common Stocks (including ETF)</t>
  </si>
  <si>
    <t>Mutual Funds (including ETF)</t>
  </si>
  <si>
    <t>AI6006</t>
  </si>
  <si>
    <t>AI6007</t>
  </si>
  <si>
    <t>Cash Flow Summary</t>
  </si>
  <si>
    <t>Risk Assets / Cash &amp; Invested Assets</t>
  </si>
  <si>
    <t>Investment Yield (Investment Income/Avg Cash &amp; Inv Assets)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</si>
  <si>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</si>
  <si>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</si>
  <si>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</si>
  <si>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</t>
  </si>
  <si>
    <t>S</t>
  </si>
  <si>
    <t>O</t>
  </si>
  <si>
    <t>Project 1/4ly</t>
  </si>
  <si>
    <t>T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</si>
  <si>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</si>
  <si>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</si>
  <si>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</si>
  <si>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</si>
  <si>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</si>
  <si>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</si>
  <si>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</si>
  <si>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</si>
  <si>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</si>
  <si>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</si>
  <si>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</si>
  <si>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</si>
  <si>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</si>
  <si>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</si>
  <si>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</si>
  <si>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</si>
  <si>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</si>
  <si>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</si>
  <si>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</si>
  <si>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</si>
  <si>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</si>
  <si>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</si>
  <si>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</si>
  <si>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</si>
  <si>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</si>
  <si>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</si>
  <si>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</si>
  <si>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</si>
  <si>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</si>
  <si>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</si>
  <si>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</si>
  <si>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</si>
  <si>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</si>
  <si>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</si>
  <si>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</si>
  <si>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</si>
  <si>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</si>
  <si>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</si>
  <si>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</si>
  <si>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</si>
  <si>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</si>
  <si>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</si>
  <si>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</si>
  <si>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</si>
  <si>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</si>
  <si>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</si>
  <si>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</si>
  <si>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</si>
  <si>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</si>
  <si>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</si>
  <si>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</si>
  <si>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</si>
  <si>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</si>
  <si>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</si>
  <si>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</si>
  <si>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</si>
  <si>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</si>
  <si>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</si>
  <si>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</si>
  <si>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</si>
  <si>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</si>
  <si>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</si>
  <si>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</si>
  <si>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</si>
  <si>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</si>
  <si>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</si>
  <si>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</si>
  <si>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</si>
  <si>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</si>
  <si>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</si>
  <si>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</si>
  <si>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</si>
  <si>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</si>
  <si>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</si>
  <si>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</si>
  <si>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</si>
  <si>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</si>
  <si>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</si>
  <si>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</si>
  <si>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</si>
  <si>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</si>
  <si>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</si>
  <si>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</si>
  <si>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</si>
  <si>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</si>
  <si>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</si>
  <si>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</si>
  <si>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</si>
  <si>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</si>
  <si>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</si>
  <si>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</si>
  <si>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</si>
  <si>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</si>
  <si>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</si>
  <si>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</si>
  <si>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</si>
  <si>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</si>
  <si>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</si>
  <si>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</si>
  <si>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</si>
  <si>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</si>
  <si>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</si>
  <si>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</si>
  <si>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</si>
  <si>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</si>
  <si>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</si>
  <si>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</si>
  <si>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</si>
  <si>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</si>
  <si>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</si>
  <si>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</si>
  <si>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</si>
  <si>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</si>
  <si>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</si>
  <si>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</si>
  <si>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</si>
  <si>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</si>
  <si>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</si>
  <si>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</si>
  <si>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</si>
  <si>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</si>
  <si>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</si>
  <si>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</si>
  <si>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</si>
  <si>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</si>
  <si>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</si>
  <si>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</si>
  <si>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</si>
  <si>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</si>
  <si>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</si>
  <si>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</si>
  <si>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</si>
  <si>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</si>
  <si>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</si>
  <si>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</si>
  <si>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</si>
  <si>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</si>
  <si>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</si>
  <si>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</si>
  <si>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</si>
  <si>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</si>
  <si>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</si>
  <si>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</si>
  <si>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</si>
  <si>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</si>
  <si>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</si>
  <si>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</si>
  <si>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</si>
  <si>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</si>
  <si>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</si>
  <si>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</si>
  <si>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</si>
  <si>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</si>
  <si>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</si>
  <si>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</si>
  <si>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</si>
  <si>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</si>
  <si>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</si>
  <si>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</si>
  <si>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</si>
  <si>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</si>
  <si>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</si>
  <si>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</si>
  <si>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</si>
  <si>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</si>
  <si>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</si>
  <si>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</si>
  <si>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</si>
  <si>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</si>
  <si>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</si>
  <si>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</si>
  <si>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</si>
  <si>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</si>
  <si>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</si>
  <si>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</si>
  <si>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</si>
  <si>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</si>
  <si>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</si>
  <si>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</si>
  <si>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</si>
  <si>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</si>
  <si>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</si>
  <si>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</si>
  <si>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</si>
  <si>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</si>
  <si>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</si>
  <si>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</si>
  <si>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</si>
  <si>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</si>
  <si>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</si>
  <si>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</si>
  <si>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</si>
  <si>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</si>
  <si>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</si>
  <si>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</si>
  <si>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</si>
  <si>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</si>
  <si>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</si>
  <si>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</si>
  <si>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</si>
  <si>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</si>
  <si>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</si>
  <si>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</si>
  <si>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</si>
  <si>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</si>
  <si>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</si>
  <si>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</si>
  <si>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</si>
  <si>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</si>
  <si>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</si>
  <si>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</si>
  <si>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</si>
  <si>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</si>
  <si>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</si>
  <si>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</si>
  <si>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</si>
  <si>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</si>
  <si>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</si>
  <si>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</si>
  <si>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</si>
  <si>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</si>
  <si>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</si>
  <si>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</si>
  <si>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</si>
  <si>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</si>
  <si>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</si>
  <si>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</si>
  <si>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</si>
  <si>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</si>
  <si>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</si>
  <si>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</si>
  <si>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</si>
  <si>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</si>
  <si>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</si>
  <si>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</si>
  <si>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</si>
  <si>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</si>
  <si>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</si>
  <si>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</si>
  <si>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</si>
  <si>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</si>
  <si>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</si>
  <si>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</si>
  <si>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</si>
  <si>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</si>
  <si>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</si>
  <si>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</si>
  <si>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</si>
  <si>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</si>
  <si>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</si>
  <si>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</si>
  <si>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</si>
  <si>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</si>
  <si>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</si>
  <si>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</si>
  <si>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</si>
  <si>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</si>
  <si>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</si>
  <si>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</si>
  <si>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</si>
  <si>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</si>
  <si>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</si>
  <si>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</si>
  <si>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</si>
  <si>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</si>
  <si>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</si>
  <si>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</si>
  <si>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</si>
  <si>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</si>
  <si>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</si>
  <si>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</si>
  <si>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</si>
  <si>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</si>
  <si>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</si>
  <si>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</si>
  <si>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</si>
  <si>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</si>
  <si>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</si>
  <si>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</si>
  <si>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</si>
  <si>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</si>
  <si>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</si>
  <si>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</si>
  <si>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</si>
  <si>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</si>
  <si>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</si>
  <si>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</si>
  <si>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</si>
  <si>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</si>
  <si>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</si>
  <si>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</si>
  <si>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</si>
  <si>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</si>
  <si>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</si>
  <si>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</si>
  <si>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</si>
  <si>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</si>
  <si>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</si>
  <si>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</si>
  <si>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</si>
  <si>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</si>
  <si>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</si>
  <si>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</si>
  <si>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</si>
  <si>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</si>
  <si>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</si>
  <si>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</si>
  <si>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</si>
  <si>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</si>
  <si>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</si>
  <si>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</si>
  <si>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</si>
  <si>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</si>
  <si>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</si>
  <si>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</si>
  <si>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</si>
  <si>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</si>
  <si>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</si>
  <si>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</si>
  <si>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</si>
  <si>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</si>
  <si>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</si>
  <si>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</si>
  <si>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</si>
  <si>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</si>
  <si>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</si>
  <si>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</si>
  <si>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</si>
  <si>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</si>
  <si>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</si>
  <si>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</si>
  <si>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</si>
  <si>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</si>
  <si>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</si>
  <si>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</si>
  <si>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</si>
  <si>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</si>
  <si>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</si>
  <si>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</si>
  <si>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</si>
  <si>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</si>
  <si>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</si>
  <si>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</si>
  <si>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</si>
  <si>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</si>
  <si>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</si>
  <si>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</si>
  <si>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</si>
  <si>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</si>
  <si>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</si>
  <si>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</si>
  <si>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</si>
  <si>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</si>
  <si>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</si>
  <si>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</si>
  <si>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</si>
  <si>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</si>
  <si>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</si>
  <si>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</si>
  <si>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</si>
  <si>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</si>
  <si>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</si>
  <si>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</si>
  <si>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</si>
  <si>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</si>
  <si>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</si>
  <si>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</si>
  <si>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</si>
  <si>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</si>
  <si>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</si>
  <si>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</si>
  <si>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</si>
  <si>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</si>
  <si>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</si>
  <si>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</si>
  <si>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</si>
  <si>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</si>
  <si>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</si>
  <si>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</si>
  <si>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</si>
  <si>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</si>
  <si>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</si>
  <si>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</si>
  <si>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</si>
  <si>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</si>
  <si>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</si>
  <si>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</si>
  <si>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</si>
  <si>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</si>
  <si>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</si>
  <si>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</si>
  <si>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</si>
  <si>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</si>
  <si>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</si>
  <si>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</si>
  <si>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</si>
  <si>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</si>
  <si>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</si>
  <si>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</si>
  <si>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</si>
  <si>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</si>
  <si>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</si>
  <si>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</si>
  <si>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</si>
  <si>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</si>
  <si>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</si>
  <si>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</si>
  <si>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</si>
  <si>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</si>
  <si>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</si>
  <si>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</si>
  <si>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</si>
  <si>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</si>
  <si>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</si>
  <si>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</si>
  <si>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</si>
  <si>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</si>
  <si>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</si>
  <si>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</si>
  <si>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</si>
  <si>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</si>
  <si>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</si>
  <si>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</si>
  <si>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</si>
  <si>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</si>
  <si>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</si>
  <si>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</si>
  <si>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</si>
  <si>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</si>
  <si>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</si>
  <si>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</si>
  <si>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</si>
  <si>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</si>
  <si>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</si>
  <si>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</si>
  <si>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</si>
  <si>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</si>
  <si>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</si>
  <si>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</si>
  <si>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</si>
  <si>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</si>
  <si>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</si>
  <si>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</si>
  <si>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</si>
  <si>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</si>
  <si>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</si>
  <si>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</si>
  <si>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</si>
  <si>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</si>
  <si>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</si>
  <si>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</si>
  <si>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</si>
  <si>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</si>
  <si>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</si>
  <si>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</si>
  <si>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</si>
  <si>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</si>
  <si>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</si>
  <si>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</si>
  <si>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</si>
  <si>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</si>
  <si>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</si>
  <si>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</si>
  <si>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</si>
  <si>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</si>
  <si>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</si>
  <si>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</si>
  <si>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</si>
  <si>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</si>
  <si>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</si>
  <si>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</si>
  <si>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</si>
  <si>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</si>
  <si>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</si>
  <si>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</si>
  <si>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</si>
  <si>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</si>
  <si>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</si>
  <si>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</si>
  <si>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</si>
  <si>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</si>
  <si>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</si>
  <si>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</si>
  <si>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</si>
  <si>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</si>
  <si>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</si>
  <si>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</si>
  <si>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</si>
  <si>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</si>
  <si>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</si>
  <si>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</si>
  <si>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</si>
  <si>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</si>
  <si>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AI6010</t>
  </si>
  <si>
    <t>Net Investment Income Earned</t>
  </si>
  <si>
    <t>Cash &amp; Invested Assets 2 year ave</t>
  </si>
  <si>
    <t>BI0011</t>
  </si>
  <si>
    <t>Net Realized Capital Gains</t>
  </si>
  <si>
    <t>Change In Unrealized Capital Gains</t>
  </si>
  <si>
    <t>BI0012</t>
  </si>
  <si>
    <t>BI0013</t>
  </si>
  <si>
    <t>CI0002</t>
  </si>
  <si>
    <t>BA - Unaffiliated</t>
  </si>
  <si>
    <t>AI6012</t>
  </si>
  <si>
    <t>Cash &amp; Invested Assets</t>
  </si>
  <si>
    <t>CEO:</t>
  </si>
  <si>
    <t>CFO:</t>
  </si>
  <si>
    <t>CIO:</t>
  </si>
  <si>
    <t>Focus:</t>
  </si>
  <si>
    <t>Total Preferred Stocks</t>
  </si>
  <si>
    <t>SF16433</t>
  </si>
  <si>
    <t>Money Market Mutual Funds</t>
  </si>
  <si>
    <t>Total Common Stocks</t>
  </si>
  <si>
    <t>Total Preferred and Common Stocks</t>
  </si>
  <si>
    <t>SF16461</t>
  </si>
  <si>
    <t>SF16462</t>
  </si>
  <si>
    <t>SF16463</t>
  </si>
  <si>
    <t>SF16464</t>
  </si>
  <si>
    <t>SF08476</t>
  </si>
  <si>
    <t>SF16465</t>
  </si>
  <si>
    <t>VI6001</t>
  </si>
  <si>
    <t>VI6002</t>
  </si>
  <si>
    <t>VI6003</t>
  </si>
  <si>
    <t>VI6004</t>
  </si>
  <si>
    <t>VI6005</t>
  </si>
  <si>
    <t>ST23662</t>
  </si>
  <si>
    <t>ST23688</t>
  </si>
  <si>
    <t>ST23689</t>
  </si>
  <si>
    <t>ST23690</t>
  </si>
  <si>
    <t>ST23691</t>
  </si>
  <si>
    <t>ST04975</t>
  </si>
  <si>
    <t>ST04982</t>
  </si>
  <si>
    <t>HS15343</t>
  </si>
  <si>
    <t>HS15358</t>
  </si>
  <si>
    <t>HS05312</t>
  </si>
  <si>
    <t>HS15359</t>
  </si>
  <si>
    <t>HS15360</t>
  </si>
  <si>
    <t>HS05313</t>
  </si>
  <si>
    <t>HS05314</t>
  </si>
  <si>
    <t>VI6006</t>
  </si>
  <si>
    <t>2016 Act</t>
  </si>
  <si>
    <t>2017 Proj</t>
  </si>
  <si>
    <t>Unrealized Capital Gains return</t>
  </si>
  <si>
    <t>Estimated Total Return on Investments</t>
  </si>
  <si>
    <t>Realized Capital Gains returns</t>
  </si>
  <si>
    <t>Investment Yield</t>
  </si>
  <si>
    <t>Median</t>
  </si>
  <si>
    <t>Std Dev</t>
  </si>
  <si>
    <t>Mean</t>
  </si>
  <si>
    <t>VI6008</t>
  </si>
  <si>
    <t>VI6010</t>
  </si>
  <si>
    <t>E10</t>
  </si>
  <si>
    <t>BI0014</t>
  </si>
  <si>
    <t>BI0015</t>
  </si>
  <si>
    <t>BI0016</t>
  </si>
  <si>
    <t>BI0017</t>
  </si>
  <si>
    <t>BI0018</t>
  </si>
  <si>
    <t>BI0019</t>
  </si>
  <si>
    <t>BI3001</t>
  </si>
  <si>
    <t>BI3002</t>
  </si>
  <si>
    <t>AI2000</t>
  </si>
  <si>
    <t>AI2001</t>
  </si>
  <si>
    <t>AI2002</t>
  </si>
  <si>
    <t>AI2003</t>
  </si>
  <si>
    <t>AI2004</t>
  </si>
  <si>
    <t>AI2005</t>
  </si>
  <si>
    <t>AI2006</t>
  </si>
  <si>
    <t>AI2007</t>
  </si>
  <si>
    <t>AI2008</t>
  </si>
  <si>
    <t>AI2009</t>
  </si>
  <si>
    <t>AI2010</t>
  </si>
  <si>
    <t>AI2011</t>
  </si>
  <si>
    <t>AI2012</t>
  </si>
  <si>
    <t>AI2013</t>
  </si>
  <si>
    <t>AI2014</t>
  </si>
  <si>
    <t>AI2015</t>
  </si>
  <si>
    <t>AI2016</t>
  </si>
  <si>
    <t>AI2017</t>
  </si>
  <si>
    <t>AI2018</t>
  </si>
  <si>
    <t>AI2019</t>
  </si>
  <si>
    <t>AI2020</t>
  </si>
  <si>
    <t>AI2021</t>
  </si>
  <si>
    <t>BI2001</t>
  </si>
  <si>
    <t>CI2001</t>
  </si>
  <si>
    <t>BI2002</t>
  </si>
  <si>
    <t>BI2000</t>
  </si>
  <si>
    <t>CI2000</t>
  </si>
  <si>
    <t>BI2003</t>
  </si>
  <si>
    <t>AI7xxx</t>
  </si>
  <si>
    <t>AI7000</t>
  </si>
  <si>
    <t>AI7001</t>
  </si>
  <si>
    <t>AI7002</t>
  </si>
  <si>
    <t>AI8xxx</t>
  </si>
  <si>
    <t>AI0xxx</t>
  </si>
  <si>
    <t>City</t>
  </si>
  <si>
    <t>State</t>
  </si>
  <si>
    <t>Illiquid Securities</t>
  </si>
  <si>
    <t>E</t>
  </si>
  <si>
    <t>Industry Sector</t>
  </si>
  <si>
    <t>Total 2016</t>
  </si>
  <si>
    <t>Total 2015</t>
  </si>
  <si>
    <t>2 Yr Delta</t>
  </si>
  <si>
    <t>1st Quartile</t>
  </si>
  <si>
    <t>3rd Quartile</t>
  </si>
  <si>
    <t>Percent Asset Allocation</t>
  </si>
  <si>
    <t>Iliquid Assets</t>
  </si>
  <si>
    <t>Metrics</t>
  </si>
  <si>
    <t>ZI6013</t>
  </si>
  <si>
    <t>ZI6014</t>
  </si>
  <si>
    <t>Foreign Gov (including EM)</t>
  </si>
  <si>
    <t>Foreign Gov (EM)</t>
  </si>
  <si>
    <t>ZI6017</t>
  </si>
  <si>
    <t>ZI6018</t>
  </si>
  <si>
    <t>AI6013</t>
  </si>
  <si>
    <t>BI6001</t>
  </si>
  <si>
    <t>BI6002</t>
  </si>
  <si>
    <t>VI6011</t>
  </si>
  <si>
    <t>Foreign Gov (excl EM)</t>
  </si>
  <si>
    <t>ZI6019</t>
  </si>
  <si>
    <t>VI3001</t>
  </si>
  <si>
    <t>VI3002</t>
  </si>
  <si>
    <t>VI3003</t>
  </si>
  <si>
    <t>VI3004</t>
  </si>
  <si>
    <t>VI3005</t>
  </si>
  <si>
    <t>VI3006</t>
  </si>
  <si>
    <t>VI3007</t>
  </si>
  <si>
    <t>VI3008</t>
  </si>
  <si>
    <t>VI3009</t>
  </si>
  <si>
    <t>VI3010</t>
  </si>
  <si>
    <t>VI3011</t>
  </si>
  <si>
    <t>VI3012</t>
  </si>
  <si>
    <t>VI3013</t>
  </si>
  <si>
    <t>VI3014</t>
  </si>
  <si>
    <t>VI3015</t>
  </si>
  <si>
    <t>VI3016</t>
  </si>
  <si>
    <t>SF18590</t>
  </si>
  <si>
    <t>SF18591</t>
  </si>
  <si>
    <t>SF18592</t>
  </si>
  <si>
    <t>SF18593</t>
  </si>
  <si>
    <t>SF16312</t>
  </si>
  <si>
    <t>SF18594</t>
  </si>
  <si>
    <t>SF18595</t>
  </si>
  <si>
    <t>SF18596</t>
  </si>
  <si>
    <t>SF18597</t>
  </si>
  <si>
    <t>SF16313</t>
  </si>
  <si>
    <t>SF18598</t>
  </si>
  <si>
    <t>SF18599</t>
  </si>
  <si>
    <t>SF18600</t>
  </si>
  <si>
    <t>SF18601</t>
  </si>
  <si>
    <t>SF16314</t>
  </si>
  <si>
    <t>SF18602</t>
  </si>
  <si>
    <t>SF18603</t>
  </si>
  <si>
    <t>SF18604</t>
  </si>
  <si>
    <t>SF18605</t>
  </si>
  <si>
    <t>SF16315</t>
  </si>
  <si>
    <t>SF18606</t>
  </si>
  <si>
    <t>SF18607</t>
  </si>
  <si>
    <t>SF18608</t>
  </si>
  <si>
    <t>SF18609</t>
  </si>
  <si>
    <t>SF16316</t>
  </si>
  <si>
    <t>SF18610</t>
  </si>
  <si>
    <t>SF18611</t>
  </si>
  <si>
    <t>SF18612</t>
  </si>
  <si>
    <t>SF18613</t>
  </si>
  <si>
    <t>SF16317</t>
  </si>
  <si>
    <t>SF18614</t>
  </si>
  <si>
    <t>SF18615</t>
  </si>
  <si>
    <t>SF18616</t>
  </si>
  <si>
    <t>SF18617</t>
  </si>
  <si>
    <t>SF16318</t>
  </si>
  <si>
    <t>SF18618</t>
  </si>
  <si>
    <t>SF18619</t>
  </si>
  <si>
    <t>SF18620</t>
  </si>
  <si>
    <t>SF18621</t>
  </si>
  <si>
    <t>SF16319</t>
  </si>
  <si>
    <t>SF16320</t>
  </si>
  <si>
    <t>SF16321</t>
  </si>
  <si>
    <t>SF16322</t>
  </si>
  <si>
    <t>SF16323</t>
  </si>
  <si>
    <t>SF16324</t>
  </si>
  <si>
    <t>SF16431</t>
  </si>
  <si>
    <t>SF16456</t>
  </si>
  <si>
    <t>SF16457</t>
  </si>
  <si>
    <t>SF16458</t>
  </si>
  <si>
    <t>SF16459</t>
  </si>
  <si>
    <t>SF08223</t>
  </si>
  <si>
    <t>SF16460</t>
  </si>
  <si>
    <t>Actual Cost</t>
  </si>
  <si>
    <t>Fair Value</t>
  </si>
  <si>
    <t>ST26034</t>
  </si>
  <si>
    <t>ST26035</t>
  </si>
  <si>
    <t>ST26036</t>
  </si>
  <si>
    <t>ST26037</t>
  </si>
  <si>
    <t>ST23594</t>
  </si>
  <si>
    <t>ST26038</t>
  </si>
  <si>
    <t>ST26039</t>
  </si>
  <si>
    <t>ST26040</t>
  </si>
  <si>
    <t>ST26041</t>
  </si>
  <si>
    <t>ST23595</t>
  </si>
  <si>
    <t>ST26042</t>
  </si>
  <si>
    <t>ST26043</t>
  </si>
  <si>
    <t>ST26044</t>
  </si>
  <si>
    <t>ST26045</t>
  </si>
  <si>
    <t>ST23596</t>
  </si>
  <si>
    <t>ST26046</t>
  </si>
  <si>
    <t>ST26047</t>
  </si>
  <si>
    <t>ST26048</t>
  </si>
  <si>
    <t>ST26049</t>
  </si>
  <si>
    <t>ST23597</t>
  </si>
  <si>
    <t>ST26050</t>
  </si>
  <si>
    <t>ST26051</t>
  </si>
  <si>
    <t>ST26052</t>
  </si>
  <si>
    <t>ST26053</t>
  </si>
  <si>
    <t>ST23598</t>
  </si>
  <si>
    <t>ST26054</t>
  </si>
  <si>
    <t>ST26055</t>
  </si>
  <si>
    <t>ST26056</t>
  </si>
  <si>
    <t>ST26057</t>
  </si>
  <si>
    <t>ST23599</t>
  </si>
  <si>
    <t>ST26058</t>
  </si>
  <si>
    <t>ST26059</t>
  </si>
  <si>
    <t>ST26060</t>
  </si>
  <si>
    <t>ST26061</t>
  </si>
  <si>
    <t>ST23600</t>
  </si>
  <si>
    <t>ST26062</t>
  </si>
  <si>
    <t>ST26063</t>
  </si>
  <si>
    <t>ST26064</t>
  </si>
  <si>
    <t>ST26065</t>
  </si>
  <si>
    <t>ST23601</t>
  </si>
  <si>
    <t>ST16927</t>
  </si>
  <si>
    <t>ST22380</t>
  </si>
  <si>
    <t>ST22381</t>
  </si>
  <si>
    <t>ST22382</t>
  </si>
  <si>
    <t>ST04955</t>
  </si>
  <si>
    <t>ST23660</t>
  </si>
  <si>
    <t>ST23684</t>
  </si>
  <si>
    <t>ST23685</t>
  </si>
  <si>
    <t>ST23686</t>
  </si>
  <si>
    <t>ST23687</t>
  </si>
  <si>
    <t>ST04974</t>
  </si>
  <si>
    <t>ST04981</t>
  </si>
  <si>
    <t>SF18654</t>
  </si>
  <si>
    <t>SF18655</t>
  </si>
  <si>
    <t>SF18656</t>
  </si>
  <si>
    <t>SF18657</t>
  </si>
  <si>
    <t>SF16338</t>
  </si>
  <si>
    <t>SF18658</t>
  </si>
  <si>
    <t>SF18659</t>
  </si>
  <si>
    <t>SF18660</t>
  </si>
  <si>
    <t>SF18661</t>
  </si>
  <si>
    <t>SF16339</t>
  </si>
  <si>
    <t>SF18662</t>
  </si>
  <si>
    <t>SF18663</t>
  </si>
  <si>
    <t>SF18664</t>
  </si>
  <si>
    <t>SF18665</t>
  </si>
  <si>
    <t>SF16340</t>
  </si>
  <si>
    <t>SF18666</t>
  </si>
  <si>
    <t>SF18667</t>
  </si>
  <si>
    <t>SF18668</t>
  </si>
  <si>
    <t>SF18669</t>
  </si>
  <si>
    <t>SF16341</t>
  </si>
  <si>
    <t>SF18670</t>
  </si>
  <si>
    <t>SF18671</t>
  </si>
  <si>
    <t>SF18672</t>
  </si>
  <si>
    <t>SF18673</t>
  </si>
  <si>
    <t>SF16342</t>
  </si>
  <si>
    <t>SF18674</t>
  </si>
  <si>
    <t>SF18675</t>
  </si>
  <si>
    <t>SF18676</t>
  </si>
  <si>
    <t>SF18677</t>
  </si>
  <si>
    <t>SF16343</t>
  </si>
  <si>
    <t>SF18678</t>
  </si>
  <si>
    <t>SF18679</t>
  </si>
  <si>
    <t>SF18680</t>
  </si>
  <si>
    <t>SF18681</t>
  </si>
  <si>
    <t>SF16344</t>
  </si>
  <si>
    <t>SF18682</t>
  </si>
  <si>
    <t>SF18683</t>
  </si>
  <si>
    <t>SF18684</t>
  </si>
  <si>
    <t>SF18685</t>
  </si>
  <si>
    <t>SF16345</t>
  </si>
  <si>
    <t>SF16346</t>
  </si>
  <si>
    <t>SF16347</t>
  </si>
  <si>
    <t>SF16348</t>
  </si>
  <si>
    <t>SF16349</t>
  </si>
  <si>
    <t>SF16350</t>
  </si>
  <si>
    <t>SF16429</t>
  </si>
  <si>
    <t>SF16451</t>
  </si>
  <si>
    <t>SF16452</t>
  </si>
  <si>
    <t>SF16453</t>
  </si>
  <si>
    <t>SF16454</t>
  </si>
  <si>
    <t>SF08475</t>
  </si>
  <si>
    <t>SF16455</t>
  </si>
  <si>
    <t>Book Value</t>
  </si>
  <si>
    <t>SF21463</t>
  </si>
  <si>
    <t>SF21464</t>
  </si>
  <si>
    <t>SF21465</t>
  </si>
  <si>
    <t>SF21466</t>
  </si>
  <si>
    <t>SF21467</t>
  </si>
  <si>
    <t>SF21468</t>
  </si>
  <si>
    <t>SF21469</t>
  </si>
  <si>
    <t>SF21470</t>
  </si>
  <si>
    <t>SF21471</t>
  </si>
  <si>
    <t>SF21472</t>
  </si>
  <si>
    <t>SF21473</t>
  </si>
  <si>
    <t>SF21474</t>
  </si>
  <si>
    <t>SF21475</t>
  </si>
  <si>
    <t>SF21476</t>
  </si>
  <si>
    <t>SF21477</t>
  </si>
  <si>
    <t>SF21478</t>
  </si>
  <si>
    <t>SF21848</t>
  </si>
  <si>
    <t>SF21849</t>
  </si>
  <si>
    <t>SF21479</t>
  </si>
  <si>
    <t>SF21480</t>
  </si>
  <si>
    <t>SF21481</t>
  </si>
  <si>
    <t>SF21482</t>
  </si>
  <si>
    <t>SF21850</t>
  </si>
  <si>
    <t>SF21851</t>
  </si>
  <si>
    <t>SF21483</t>
  </si>
  <si>
    <t>SF21484</t>
  </si>
  <si>
    <t>SF21485</t>
  </si>
  <si>
    <t>SF21486</t>
  </si>
  <si>
    <t>SF21487</t>
  </si>
  <si>
    <t>SF21488</t>
  </si>
  <si>
    <t>SF21489</t>
  </si>
  <si>
    <t>SF21490</t>
  </si>
  <si>
    <t>SF21491</t>
  </si>
  <si>
    <t>SF21492</t>
  </si>
  <si>
    <t>SF21493</t>
  </si>
  <si>
    <t>SF21494</t>
  </si>
  <si>
    <t>SF21495</t>
  </si>
  <si>
    <t>SF21496</t>
  </si>
  <si>
    <t>SF21497</t>
  </si>
  <si>
    <t>SF21498</t>
  </si>
  <si>
    <t>SF21499</t>
  </si>
  <si>
    <t>SF21852</t>
  </si>
  <si>
    <t>SF21853</t>
  </si>
  <si>
    <t>SF21854</t>
  </si>
  <si>
    <t>SF21855</t>
  </si>
  <si>
    <t>SF08201</t>
  </si>
  <si>
    <t>Privately Placed Bonds</t>
  </si>
  <si>
    <t>SF02213</t>
  </si>
  <si>
    <t>SF02214</t>
  </si>
  <si>
    <t>SF02215</t>
  </si>
  <si>
    <t>SF02216</t>
  </si>
  <si>
    <t>SF02217</t>
  </si>
  <si>
    <t>SF02218</t>
  </si>
  <si>
    <t>SF02219</t>
  </si>
  <si>
    <t xml:space="preserve">    Investment Grade Total</t>
  </si>
  <si>
    <t xml:space="preserve">    High Yield Total</t>
  </si>
  <si>
    <t xml:space="preserve">    Total</t>
  </si>
  <si>
    <t>VI3017</t>
  </si>
  <si>
    <t>VI3018</t>
  </si>
  <si>
    <t>AI6014</t>
  </si>
  <si>
    <t>AI6015</t>
  </si>
  <si>
    <t>VI6007</t>
  </si>
  <si>
    <t>Total Bonds</t>
  </si>
  <si>
    <t>Affiliated Bonds</t>
  </si>
  <si>
    <t>Total Bonds (including Affiliated)</t>
  </si>
  <si>
    <t>VI6012</t>
  </si>
  <si>
    <t>VI6013</t>
  </si>
  <si>
    <t>CI6002</t>
  </si>
  <si>
    <t>Affiliated Stock</t>
  </si>
  <si>
    <t>Prefered Stock  Affiliates</t>
  </si>
  <si>
    <t>SF16430</t>
  </si>
  <si>
    <t>Prefered Stock Unafiliated</t>
  </si>
  <si>
    <t>Common Stock Affiliated</t>
  </si>
  <si>
    <t>Common Stock Unaffilated</t>
  </si>
  <si>
    <t>AI6016</t>
  </si>
  <si>
    <t>SF08206</t>
  </si>
  <si>
    <t>Illiquid Assets</t>
  </si>
  <si>
    <t>Real Estate</t>
  </si>
  <si>
    <t>Cash, Cash Equivalents and Short term investments</t>
  </si>
  <si>
    <t>AI0011</t>
  </si>
  <si>
    <t>AI0012</t>
  </si>
  <si>
    <t>BI0021</t>
  </si>
  <si>
    <t>BI60003</t>
  </si>
  <si>
    <t>CI0003</t>
  </si>
  <si>
    <t>BI0022</t>
  </si>
  <si>
    <t>Affiliated Assets</t>
  </si>
  <si>
    <t>BI0023</t>
  </si>
  <si>
    <t>SF05980</t>
  </si>
  <si>
    <t>SF05981</t>
  </si>
  <si>
    <t>SF05982</t>
  </si>
  <si>
    <t>SF05983</t>
  </si>
  <si>
    <t>SF05984</t>
  </si>
  <si>
    <t>SF05985</t>
  </si>
  <si>
    <t>SF05986</t>
  </si>
  <si>
    <t>SF05987</t>
  </si>
  <si>
    <t>SF05988</t>
  </si>
  <si>
    <t>SF07630</t>
  </si>
  <si>
    <t>SF13836</t>
  </si>
  <si>
    <t>SF05989</t>
  </si>
  <si>
    <t>SF05990</t>
  </si>
  <si>
    <t>SF13837</t>
  </si>
  <si>
    <t>SF05991</t>
  </si>
  <si>
    <t>SF05992</t>
  </si>
  <si>
    <t>SF07877</t>
  </si>
  <si>
    <t>SF06003</t>
  </si>
  <si>
    <t>SF05993</t>
  </si>
  <si>
    <t>SF05994</t>
  </si>
  <si>
    <t>SF05995</t>
  </si>
  <si>
    <t>SF05999</t>
  </si>
  <si>
    <t>SF05996</t>
  </si>
  <si>
    <t>SF07631</t>
  </si>
  <si>
    <t>SF06007</t>
  </si>
  <si>
    <t>SF07632</t>
  </si>
  <si>
    <t>SF07633</t>
  </si>
  <si>
    <t>SF06001</t>
  </si>
  <si>
    <t>SF06002</t>
  </si>
  <si>
    <t>SF07634</t>
  </si>
  <si>
    <t>SF06004</t>
  </si>
  <si>
    <t>SF06005</t>
  </si>
  <si>
    <t>SF07635</t>
  </si>
  <si>
    <t>SF06009</t>
  </si>
  <si>
    <t>SF06671</t>
  </si>
  <si>
    <t>SF06672</t>
  </si>
  <si>
    <t>SF06010</t>
  </si>
  <si>
    <t>Net Adm Assets</t>
  </si>
  <si>
    <t xml:space="preserve">Exchange Traded Funds - as Identified by the SVO </t>
  </si>
  <si>
    <t xml:space="preserve">Bond Mutual Funds - as Identified by the SVO </t>
  </si>
  <si>
    <t>SF28571</t>
  </si>
  <si>
    <t>SF28572</t>
  </si>
  <si>
    <t>VI6015</t>
  </si>
  <si>
    <t>VI6016</t>
  </si>
  <si>
    <t>CI3001</t>
  </si>
  <si>
    <t>Publicly Placed Bonds</t>
  </si>
  <si>
    <t>VI3019</t>
  </si>
  <si>
    <t>VI3020</t>
  </si>
  <si>
    <t>Net  Adm Assets</t>
  </si>
  <si>
    <t>ST10002</t>
  </si>
  <si>
    <t>ST10003</t>
  </si>
  <si>
    <t>ST10004</t>
  </si>
  <si>
    <t>ST10005</t>
  </si>
  <si>
    <t>ST10006</t>
  </si>
  <si>
    <t>ST10007</t>
  </si>
  <si>
    <t>ST10008</t>
  </si>
  <si>
    <t>ST10009</t>
  </si>
  <si>
    <t>ST10012</t>
  </si>
  <si>
    <t>ST10010</t>
  </si>
  <si>
    <t>ST19570</t>
  </si>
  <si>
    <t>ST10013</t>
  </si>
  <si>
    <t>ST10014</t>
  </si>
  <si>
    <t>ST19571</t>
  </si>
  <si>
    <t>ST10015</t>
  </si>
  <si>
    <t>ST10016</t>
  </si>
  <si>
    <t>ST12812</t>
  </si>
  <si>
    <t>ST10026</t>
  </si>
  <si>
    <t>ST12151</t>
  </si>
  <si>
    <t>ST12152</t>
  </si>
  <si>
    <t>ST12153</t>
  </si>
  <si>
    <t>ST10017</t>
  </si>
  <si>
    <t>ST12154</t>
  </si>
  <si>
    <t>ST10020</t>
  </si>
  <si>
    <t>ST10029</t>
  </si>
  <si>
    <t>ST12155</t>
  </si>
  <si>
    <t>ST12156</t>
  </si>
  <si>
    <t>ST10023</t>
  </si>
  <si>
    <t>ST10021</t>
  </si>
  <si>
    <t>ST12157</t>
  </si>
  <si>
    <t>ST10027</t>
  </si>
  <si>
    <t>ST10028</t>
  </si>
  <si>
    <t>ST12158</t>
  </si>
  <si>
    <t>ST10032</t>
  </si>
  <si>
    <t>ST10033</t>
  </si>
  <si>
    <t>ST10034</t>
  </si>
  <si>
    <t>ST10035</t>
  </si>
  <si>
    <t>HS00031</t>
  </si>
  <si>
    <t>HS00032</t>
  </si>
  <si>
    <t>HS00033</t>
  </si>
  <si>
    <t>HS00034</t>
  </si>
  <si>
    <t>HS00035</t>
  </si>
  <si>
    <t>HS00036</t>
  </si>
  <si>
    <t>HS00037</t>
  </si>
  <si>
    <t>HS00038</t>
  </si>
  <si>
    <t>HS00039</t>
  </si>
  <si>
    <t>HS06120</t>
  </si>
  <si>
    <t>HS12691</t>
  </si>
  <si>
    <t>HS00040</t>
  </si>
  <si>
    <t>HS00041</t>
  </si>
  <si>
    <t>HS12692</t>
  </si>
  <si>
    <t>HS00042</t>
  </si>
  <si>
    <t>HS00043</t>
  </si>
  <si>
    <t>HS07855</t>
  </si>
  <si>
    <t>HS00048</t>
  </si>
  <si>
    <t>HS06121</t>
  </si>
  <si>
    <t>HS06122</t>
  </si>
  <si>
    <t>HS06123</t>
  </si>
  <si>
    <t>HS00046</t>
  </si>
  <si>
    <t>HS06124</t>
  </si>
  <si>
    <t>HS06125</t>
  </si>
  <si>
    <t>HS00050</t>
  </si>
  <si>
    <t>HS06126</t>
  </si>
  <si>
    <t>HS06127</t>
  </si>
  <si>
    <t>HS06128</t>
  </si>
  <si>
    <t>HS00054</t>
  </si>
  <si>
    <t>HS00051</t>
  </si>
  <si>
    <t>HS00047</t>
  </si>
  <si>
    <t>HS00049</t>
  </si>
  <si>
    <t>HS00045</t>
  </si>
  <si>
    <t>HS00056</t>
  </si>
  <si>
    <t>HS06129</t>
  </si>
  <si>
    <t>HS06130</t>
  </si>
  <si>
    <t>HS00057</t>
  </si>
  <si>
    <t>HS19972</t>
  </si>
  <si>
    <t>HS19973</t>
  </si>
  <si>
    <t>ST29323</t>
  </si>
  <si>
    <t>ST29324</t>
  </si>
  <si>
    <t>ST22237</t>
  </si>
  <si>
    <t>ST22238</t>
  </si>
  <si>
    <t>ST22239</t>
  </si>
  <si>
    <t>ST22240</t>
  </si>
  <si>
    <t>ST22241</t>
  </si>
  <si>
    <t>ST22242</t>
  </si>
  <si>
    <t>ST22243</t>
  </si>
  <si>
    <t>ST22244</t>
  </si>
  <si>
    <t>ST22245</t>
  </si>
  <si>
    <t>ST22246</t>
  </si>
  <si>
    <t>ST22247</t>
  </si>
  <si>
    <t>ST22248</t>
  </si>
  <si>
    <t>ST22249</t>
  </si>
  <si>
    <t>ST22250</t>
  </si>
  <si>
    <t>ST22251</t>
  </si>
  <si>
    <t>ST22252</t>
  </si>
  <si>
    <t>ST22253</t>
  </si>
  <si>
    <t>ST22254</t>
  </si>
  <si>
    <t>ST22255</t>
  </si>
  <si>
    <t>ST22256</t>
  </si>
  <si>
    <t>ST22257</t>
  </si>
  <si>
    <t>ST22258</t>
  </si>
  <si>
    <t>ST22259</t>
  </si>
  <si>
    <t>ST22260</t>
  </si>
  <si>
    <t>ST22261</t>
  </si>
  <si>
    <t>ST22262</t>
  </si>
  <si>
    <t>ST22263</t>
  </si>
  <si>
    <t>ST22264</t>
  </si>
  <si>
    <t>ST22265</t>
  </si>
  <si>
    <t>ST22266</t>
  </si>
  <si>
    <t>ST22267</t>
  </si>
  <si>
    <t>ST22268</t>
  </si>
  <si>
    <t>ST22269</t>
  </si>
  <si>
    <t>ST22270</t>
  </si>
  <si>
    <t>ST22271</t>
  </si>
  <si>
    <t>ST22272</t>
  </si>
  <si>
    <t>ST22273</t>
  </si>
  <si>
    <t>ST22274</t>
  </si>
  <si>
    <t>ST22275</t>
  </si>
  <si>
    <t>ST22276</t>
  </si>
  <si>
    <t>ST16939</t>
  </si>
  <si>
    <t>ST22277</t>
  </si>
  <si>
    <t>ST22278</t>
  </si>
  <si>
    <t>ST22279</t>
  </si>
  <si>
    <t>ST10837</t>
  </si>
  <si>
    <t>ST23658</t>
  </si>
  <si>
    <t>ST23659</t>
  </si>
  <si>
    <t>ST10840</t>
  </si>
  <si>
    <t>ST23680</t>
  </si>
  <si>
    <t>ST23681</t>
  </si>
  <si>
    <t>ST23682</t>
  </si>
  <si>
    <t>ST23683</t>
  </si>
  <si>
    <t>ST10843</t>
  </si>
  <si>
    <t>ST10844</t>
  </si>
  <si>
    <t>HS05275</t>
  </si>
  <si>
    <t>HS05276</t>
  </si>
  <si>
    <t>HS14714</t>
  </si>
  <si>
    <t>HS14715</t>
  </si>
  <si>
    <t>HS14716</t>
  </si>
  <si>
    <t>HS14717</t>
  </si>
  <si>
    <t>HS14718</t>
  </si>
  <si>
    <t>HS14719</t>
  </si>
  <si>
    <t>HS14720</t>
  </si>
  <si>
    <t>HS14721</t>
  </si>
  <si>
    <t>HS14722</t>
  </si>
  <si>
    <t>HS14723</t>
  </si>
  <si>
    <t>HS14724</t>
  </si>
  <si>
    <t>HS14725</t>
  </si>
  <si>
    <t>HS14726</t>
  </si>
  <si>
    <t>HS14727</t>
  </si>
  <si>
    <t>HS14728</t>
  </si>
  <si>
    <t>HS14729</t>
  </si>
  <si>
    <t>HS14730</t>
  </si>
  <si>
    <t>HS14731</t>
  </si>
  <si>
    <t>HS14732</t>
  </si>
  <si>
    <t>HS14733</t>
  </si>
  <si>
    <t>HS14734</t>
  </si>
  <si>
    <t>HS14735</t>
  </si>
  <si>
    <t>HS14736</t>
  </si>
  <si>
    <t>HS14737</t>
  </si>
  <si>
    <t>HS14738</t>
  </si>
  <si>
    <t>HS14739</t>
  </si>
  <si>
    <t>HS14740</t>
  </si>
  <si>
    <t>HS14741</t>
  </si>
  <si>
    <t>HS14742</t>
  </si>
  <si>
    <t>HS14743</t>
  </si>
  <si>
    <t>HS14744</t>
  </si>
  <si>
    <t>HS14745</t>
  </si>
  <si>
    <t>HS14746</t>
  </si>
  <si>
    <t>HS14747</t>
  </si>
  <si>
    <t>HS14748</t>
  </si>
  <si>
    <t>HS14749</t>
  </si>
  <si>
    <t>HS14750</t>
  </si>
  <si>
    <t>HS14751</t>
  </si>
  <si>
    <t>HS14752</t>
  </si>
  <si>
    <t>HS14753</t>
  </si>
  <si>
    <t>Actual</t>
  </si>
  <si>
    <t>Book</t>
  </si>
  <si>
    <t>HS05199</t>
  </si>
  <si>
    <t>HS14754</t>
  </si>
  <si>
    <t>HS14755</t>
  </si>
  <si>
    <t>HS14756</t>
  </si>
  <si>
    <t>HS05205</t>
  </si>
  <si>
    <t>HS15341</t>
  </si>
  <si>
    <t>HS05265</t>
  </si>
  <si>
    <t>HS05266</t>
  </si>
  <si>
    <t>HS15352</t>
  </si>
  <si>
    <t>HS05300</t>
  </si>
  <si>
    <t>HS15353</t>
  </si>
  <si>
    <t>HS15354</t>
  </si>
  <si>
    <t>HS05301</t>
  </si>
  <si>
    <t>HS05302</t>
  </si>
  <si>
    <t>VI6017</t>
  </si>
  <si>
    <t>VI6018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</si>
  <si>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</si>
  <si>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</si>
  <si>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</si>
  <si>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</si>
  <si>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</si>
  <si>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</si>
  <si>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</si>
  <si>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</si>
  <si>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</si>
  <si>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</si>
  <si>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</si>
  <si>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</si>
  <si>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</si>
  <si>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</si>
  <si>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</si>
  <si>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</si>
  <si>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</si>
  <si>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</si>
  <si>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</si>
  <si>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</si>
  <si>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</si>
  <si>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</si>
  <si>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</si>
  <si>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</si>
  <si>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</si>
  <si>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</si>
  <si>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</si>
  <si>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</si>
  <si>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</si>
  <si>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</si>
  <si>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</si>
  <si>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</si>
  <si>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</si>
  <si>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</si>
  <si>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</si>
  <si>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</si>
  <si>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</si>
  <si>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</si>
  <si>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</si>
  <si>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</si>
  <si>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</si>
  <si>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</si>
  <si>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</si>
  <si>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</si>
  <si>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</si>
  <si>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</si>
  <si>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</si>
  <si>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</si>
  <si>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</si>
  <si>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</si>
  <si>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</si>
  <si>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</si>
  <si>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</si>
  <si>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</si>
  <si>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</si>
  <si>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</si>
  <si>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</si>
  <si>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</si>
  <si>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</si>
  <si>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</si>
  <si>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</si>
  <si>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</si>
  <si>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</si>
  <si>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</si>
  <si>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</si>
  <si>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</si>
  <si>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</si>
  <si>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</si>
  <si>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</si>
  <si>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</si>
  <si>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</si>
  <si>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</si>
  <si>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</si>
  <si>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</si>
  <si>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</si>
  <si>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</si>
  <si>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</si>
  <si>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</si>
  <si>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</si>
  <si>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</si>
  <si>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</si>
  <si>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</si>
  <si>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</si>
  <si>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</si>
  <si>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</si>
  <si>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</si>
  <si>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</si>
  <si>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</si>
  <si>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</si>
  <si>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</si>
  <si>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</si>
  <si>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</si>
  <si>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SF02204</t>
  </si>
  <si>
    <t>SF02205</t>
  </si>
  <si>
    <t>SF02206</t>
  </si>
  <si>
    <t>SF02207</t>
  </si>
  <si>
    <t>SF02208</t>
  </si>
  <si>
    <t>SF02209</t>
  </si>
  <si>
    <t>SF02210</t>
  </si>
  <si>
    <t>Cash, Cash Equivalents, Short Term Inv</t>
  </si>
  <si>
    <t>AI9xxx</t>
  </si>
  <si>
    <t>Properties occupied by the company</t>
  </si>
  <si>
    <t>Properties held for the production of income</t>
  </si>
  <si>
    <t>Properties held for sale</t>
  </si>
  <si>
    <t>Real Estate Total</t>
  </si>
  <si>
    <t>AI9001</t>
  </si>
  <si>
    <t>AI9002</t>
  </si>
  <si>
    <t>AI9003</t>
  </si>
  <si>
    <t>BI9001</t>
  </si>
  <si>
    <t>ST04437</t>
  </si>
  <si>
    <t>ST04438</t>
  </si>
  <si>
    <t>ST04439</t>
  </si>
  <si>
    <t>ST04440</t>
  </si>
  <si>
    <t>ST04441</t>
  </si>
  <si>
    <t>ST04442</t>
  </si>
  <si>
    <t>ST04443</t>
  </si>
  <si>
    <t>ST04446</t>
  </si>
  <si>
    <t>ST04447</t>
  </si>
  <si>
    <t>ST04448</t>
  </si>
  <si>
    <t>ST04449</t>
  </si>
  <si>
    <t>ST04450</t>
  </si>
  <si>
    <t>ST04451</t>
  </si>
  <si>
    <t>ST04452</t>
  </si>
  <si>
    <t>HS03265</t>
  </si>
  <si>
    <t>HS03266</t>
  </si>
  <si>
    <t>HS03267</t>
  </si>
  <si>
    <t>HS03268</t>
  </si>
  <si>
    <t>HS03269</t>
  </si>
  <si>
    <t>HS03270</t>
  </si>
  <si>
    <t>HS03271</t>
  </si>
  <si>
    <t>HS03258</t>
  </si>
  <si>
    <t>HS03259</t>
  </si>
  <si>
    <t>HS03260</t>
  </si>
  <si>
    <t>HS03261</t>
  </si>
  <si>
    <t>HS03262</t>
  </si>
  <si>
    <t>HS03263</t>
  </si>
  <si>
    <t>HS03264</t>
  </si>
  <si>
    <t xml:space="preserve">Investment Yield </t>
  </si>
  <si>
    <t>DI8000</t>
  </si>
  <si>
    <t>DI8058</t>
  </si>
  <si>
    <t>DI8001</t>
  </si>
  <si>
    <t>DI8002</t>
  </si>
  <si>
    <t>DI8003</t>
  </si>
  <si>
    <t>DI8004</t>
  </si>
  <si>
    <t>DI8005</t>
  </si>
  <si>
    <t>DI8006</t>
  </si>
  <si>
    <t>DI8007</t>
  </si>
  <si>
    <t>DI8008</t>
  </si>
  <si>
    <t>DI8009</t>
  </si>
  <si>
    <t>DI8010</t>
  </si>
  <si>
    <t>DI8011</t>
  </si>
  <si>
    <t>DI8012</t>
  </si>
  <si>
    <t>DI8014</t>
  </si>
  <si>
    <t>DI8015</t>
  </si>
  <si>
    <t>DI8016</t>
  </si>
  <si>
    <t>DI8017</t>
  </si>
  <si>
    <t>DI8018</t>
  </si>
  <si>
    <t>DI8019</t>
  </si>
  <si>
    <t>DI8020</t>
  </si>
  <si>
    <t>DI8021</t>
  </si>
  <si>
    <t>DI8022</t>
  </si>
  <si>
    <t>DI8023</t>
  </si>
  <si>
    <t>DI8024</t>
  </si>
  <si>
    <t>DI8025</t>
  </si>
  <si>
    <t>DI8026</t>
  </si>
  <si>
    <t>DI8027</t>
  </si>
  <si>
    <t>DI8028</t>
  </si>
  <si>
    <t>DI8029</t>
  </si>
  <si>
    <t>DI8030</t>
  </si>
  <si>
    <t>DI8031</t>
  </si>
  <si>
    <t>DI8032</t>
  </si>
  <si>
    <t>DI8033</t>
  </si>
  <si>
    <t>DI8034</t>
  </si>
  <si>
    <t>DI8035</t>
  </si>
  <si>
    <t>DI8036</t>
  </si>
  <si>
    <t>DI8037</t>
  </si>
  <si>
    <t>DI8038</t>
  </si>
  <si>
    <t>DI8039</t>
  </si>
  <si>
    <t>DI8040</t>
  </si>
  <si>
    <t>DI8041</t>
  </si>
  <si>
    <t>DI8042</t>
  </si>
  <si>
    <t>DI8043</t>
  </si>
  <si>
    <t>DI8044</t>
  </si>
  <si>
    <t>DI8045</t>
  </si>
  <si>
    <t>DI8047</t>
  </si>
  <si>
    <t>DI8048</t>
  </si>
  <si>
    <t>DI8049</t>
  </si>
  <si>
    <t>DI8050</t>
  </si>
  <si>
    <t>DI8051</t>
  </si>
  <si>
    <t>DI8052</t>
  </si>
  <si>
    <t>DI8053</t>
  </si>
  <si>
    <t>DI8054</t>
  </si>
  <si>
    <t>DI8055</t>
  </si>
  <si>
    <t>DI8056</t>
  </si>
  <si>
    <t>DI8057</t>
  </si>
  <si>
    <t xml:space="preserve">Realized Capital Gains returns </t>
  </si>
  <si>
    <t xml:space="preserve">Estimated Total Return on Investments </t>
  </si>
  <si>
    <t>DI8059</t>
  </si>
  <si>
    <t>DI8060</t>
  </si>
  <si>
    <t>DI8061</t>
  </si>
  <si>
    <t>DI8062</t>
  </si>
  <si>
    <t>DI8063</t>
  </si>
  <si>
    <t>DI8064</t>
  </si>
  <si>
    <t>DI8065</t>
  </si>
  <si>
    <t>DI8066</t>
  </si>
  <si>
    <t>DI8067</t>
  </si>
  <si>
    <t>DI8068</t>
  </si>
  <si>
    <t>DI8069</t>
  </si>
  <si>
    <t>DI8071</t>
  </si>
  <si>
    <t>DI8072</t>
  </si>
  <si>
    <t>DI8073</t>
  </si>
  <si>
    <t>DI8074</t>
  </si>
  <si>
    <t>5</t>
  </si>
  <si>
    <t>1</t>
  </si>
  <si>
    <t>Bond Mutual Funds - as Identified by the SVO</t>
  </si>
  <si>
    <t>2106 Act</t>
  </si>
  <si>
    <t>DI8046</t>
  </si>
  <si>
    <t>SS</t>
  </si>
  <si>
    <t>R</t>
  </si>
  <si>
    <t>DI6001</t>
  </si>
  <si>
    <t>DI6004</t>
  </si>
  <si>
    <t>CI6004</t>
  </si>
  <si>
    <t>CI6005</t>
  </si>
  <si>
    <t>Source: A.M. Best; Insurance AUM Analytics. Distribution of any portion of this information is strictly prohibited without express written permission</t>
  </si>
  <si>
    <t>SVO Identified Funds</t>
  </si>
  <si>
    <t>SF28574</t>
  </si>
  <si>
    <t>HS19975</t>
  </si>
  <si>
    <t>ST29326</t>
  </si>
  <si>
    <t>2016 Actual</t>
  </si>
  <si>
    <t>2017 Projected</t>
  </si>
  <si>
    <t>DI6005</t>
  </si>
  <si>
    <t>DI6006</t>
  </si>
  <si>
    <t>Foreign Gov (EM-IG*)</t>
  </si>
  <si>
    <t>Foreign Gov (EM-HY*)</t>
  </si>
  <si>
    <t>Foreign Gov (EM*)</t>
  </si>
  <si>
    <t>Corporate Bonds US (IG*)</t>
  </si>
  <si>
    <t>Corporate Bonds US (HY*)</t>
  </si>
  <si>
    <t>Corporate Bonds US (Total*)</t>
  </si>
  <si>
    <t>Corporate Bonds Foreign (IG*)</t>
  </si>
  <si>
    <t>Corporate Bonds Foreign (HY*)</t>
  </si>
  <si>
    <t>Corporate Bonds Foreign (Total*)</t>
  </si>
  <si>
    <t>Corporate Bonds EM (IG*)</t>
  </si>
  <si>
    <t>Corporate Bonds EM (HY*)</t>
  </si>
  <si>
    <t>Corporate Bonds EM (Total*)</t>
  </si>
  <si>
    <t>Municiple Bonds (IG*)</t>
  </si>
  <si>
    <t>Municipal Bonds (HY*)</t>
  </si>
  <si>
    <t>Mortgage Backed Bonds (IG*)</t>
  </si>
  <si>
    <t>Mortgage Backed Bonds (HY*)</t>
  </si>
  <si>
    <t>Mortgage Backed Bonds (Total*)</t>
  </si>
  <si>
    <t>Structured Securities (IG*)</t>
  </si>
  <si>
    <t>Structured Securities (HY*)</t>
  </si>
  <si>
    <t>Structured Securities (Total*)</t>
  </si>
  <si>
    <t>Hybrid Securities (IG*)</t>
  </si>
  <si>
    <t>Hybrid Securities (HY*)</t>
  </si>
  <si>
    <t>Total Bonds (unaf)</t>
  </si>
  <si>
    <t>Corporate Bonds (Total*)</t>
  </si>
  <si>
    <t>Total Bond (unaf*)</t>
  </si>
  <si>
    <t>ETFs (Common Stock*)</t>
  </si>
  <si>
    <t>ETFs (Mutual Funds*)</t>
  </si>
  <si>
    <t>Privately Placed Bonds (*)</t>
  </si>
  <si>
    <t>Publicly Placed Bonds (*)</t>
  </si>
  <si>
    <t>Total Common and Preferred Stock (*)</t>
  </si>
  <si>
    <t>Total Common Stock (*)</t>
  </si>
  <si>
    <t>Total (unaf assets)</t>
  </si>
  <si>
    <t>* - Indicates a value computed by summing the available asset positions</t>
  </si>
  <si>
    <t>Preferred Stock (*)</t>
  </si>
  <si>
    <t>ETFs (*)</t>
  </si>
  <si>
    <t>Common Stock (including ETF*)</t>
  </si>
  <si>
    <t>BI7001</t>
  </si>
  <si>
    <t>BA_Acq</t>
  </si>
  <si>
    <t>BI</t>
  </si>
  <si>
    <t>BI1101</t>
  </si>
  <si>
    <t>BI1102</t>
  </si>
  <si>
    <t>BI1103</t>
  </si>
  <si>
    <t>BI1104</t>
  </si>
  <si>
    <t>BI1105</t>
  </si>
  <si>
    <t>BI1106</t>
  </si>
  <si>
    <t>BI1107</t>
  </si>
  <si>
    <t>BI1108</t>
  </si>
  <si>
    <t>BI1109</t>
  </si>
  <si>
    <t>BI1110</t>
  </si>
  <si>
    <t>BI1111</t>
  </si>
  <si>
    <t>BI1112</t>
  </si>
  <si>
    <t>BI1113</t>
  </si>
  <si>
    <t>BI1114</t>
  </si>
  <si>
    <t>BI1115</t>
  </si>
  <si>
    <t>BI1116</t>
  </si>
  <si>
    <t>BI1117</t>
  </si>
  <si>
    <t>BI1118</t>
  </si>
  <si>
    <t>BI1119</t>
  </si>
  <si>
    <t>BI1120</t>
  </si>
  <si>
    <t>BI1121</t>
  </si>
  <si>
    <t>BI1122</t>
  </si>
  <si>
    <t>BI1123</t>
  </si>
  <si>
    <t>BI1124</t>
  </si>
  <si>
    <t>BI1125</t>
  </si>
  <si>
    <t>BI1126</t>
  </si>
  <si>
    <t>BI1127</t>
  </si>
  <si>
    <t>BI1128</t>
  </si>
  <si>
    <t>BI1129</t>
  </si>
  <si>
    <t>BI1130</t>
  </si>
  <si>
    <t>BI1131</t>
  </si>
  <si>
    <t>BI1132</t>
  </si>
  <si>
    <t>BI1133</t>
  </si>
  <si>
    <t>BI1134</t>
  </si>
  <si>
    <t>BI1135</t>
  </si>
  <si>
    <t>BI1136</t>
  </si>
  <si>
    <t>BI1137</t>
  </si>
  <si>
    <t>BI1138</t>
  </si>
  <si>
    <t>BI1139</t>
  </si>
  <si>
    <t>BI1140</t>
  </si>
  <si>
    <t>BI1141</t>
  </si>
  <si>
    <t>BI1142</t>
  </si>
  <si>
    <t>BI1143</t>
  </si>
  <si>
    <t>1201</t>
  </si>
  <si>
    <t>BI1201</t>
  </si>
  <si>
    <t>BI1202</t>
  </si>
  <si>
    <t>BI1203</t>
  </si>
  <si>
    <t>BI1204</t>
  </si>
  <si>
    <t>BI1205</t>
  </si>
  <si>
    <t>BI1206</t>
  </si>
  <si>
    <t>BI1207</t>
  </si>
  <si>
    <t>BI1208</t>
  </si>
  <si>
    <t>BI1209</t>
  </si>
  <si>
    <t>BI1210</t>
  </si>
  <si>
    <t>BI1211</t>
  </si>
  <si>
    <t>BI1212</t>
  </si>
  <si>
    <t>BI1213</t>
  </si>
  <si>
    <t>BI1214</t>
  </si>
  <si>
    <t>BI1215</t>
  </si>
  <si>
    <t>BI1216</t>
  </si>
  <si>
    <t>BI1217</t>
  </si>
  <si>
    <t>BI1218</t>
  </si>
  <si>
    <t>BI1219</t>
  </si>
  <si>
    <t>BI1220</t>
  </si>
  <si>
    <t>BI1221</t>
  </si>
  <si>
    <t>BI1222</t>
  </si>
  <si>
    <t>BI1223</t>
  </si>
  <si>
    <t>BI1224</t>
  </si>
  <si>
    <t>BI1225</t>
  </si>
  <si>
    <t>BI1226</t>
  </si>
  <si>
    <t>BI1227</t>
  </si>
  <si>
    <t>BI1228</t>
  </si>
  <si>
    <t>BI1229</t>
  </si>
  <si>
    <t>BI1230</t>
  </si>
  <si>
    <t>BI1231</t>
  </si>
  <si>
    <t>BI1232</t>
  </si>
  <si>
    <t>BI1233</t>
  </si>
  <si>
    <t>BI1234</t>
  </si>
  <si>
    <t>BI1235</t>
  </si>
  <si>
    <t>BI1236</t>
  </si>
  <si>
    <t>BI1237</t>
  </si>
  <si>
    <t>BI1238</t>
  </si>
  <si>
    <t>BI1239</t>
  </si>
  <si>
    <t>BI1240</t>
  </si>
  <si>
    <t>BI1241</t>
  </si>
  <si>
    <t>BI1242</t>
  </si>
  <si>
    <t>BI1243</t>
  </si>
  <si>
    <t>BA_Disp</t>
  </si>
  <si>
    <t>BI41</t>
  </si>
  <si>
    <t>03</t>
  </si>
  <si>
    <t>04</t>
  </si>
  <si>
    <t>05</t>
  </si>
  <si>
    <t>06</t>
  </si>
  <si>
    <t>07</t>
  </si>
  <si>
    <t>08</t>
  </si>
  <si>
    <t>09</t>
  </si>
  <si>
    <t>=P4&amp;Q4</t>
  </si>
  <si>
    <t>4101</t>
  </si>
  <si>
    <t>=Q4+1</t>
  </si>
  <si>
    <t>CI</t>
  </si>
  <si>
    <t>CI4101</t>
  </si>
  <si>
    <t>CI4102</t>
  </si>
  <si>
    <t>CI4103</t>
  </si>
  <si>
    <t>CI4104</t>
  </si>
  <si>
    <t>CI4105</t>
  </si>
  <si>
    <t>CI4106</t>
  </si>
  <si>
    <t>CI4107</t>
  </si>
  <si>
    <t>CI4108</t>
  </si>
  <si>
    <t>CI4109</t>
  </si>
  <si>
    <t>CI4110</t>
  </si>
  <si>
    <t>CI4111</t>
  </si>
  <si>
    <t>CI4112</t>
  </si>
  <si>
    <t>CI4113</t>
  </si>
  <si>
    <t>CI4114</t>
  </si>
  <si>
    <t>CI4115</t>
  </si>
  <si>
    <t>CI4116</t>
  </si>
  <si>
    <t>CI4117</t>
  </si>
  <si>
    <t>CI4118</t>
  </si>
  <si>
    <t>CI4119</t>
  </si>
  <si>
    <t>CI4120</t>
  </si>
  <si>
    <t>CI4121</t>
  </si>
  <si>
    <t>CI4122</t>
  </si>
  <si>
    <t>CI4123</t>
  </si>
  <si>
    <t>CI4124</t>
  </si>
  <si>
    <t>CI4125</t>
  </si>
  <si>
    <t>CI4126</t>
  </si>
  <si>
    <t>CI4127</t>
  </si>
  <si>
    <t>CI4128</t>
  </si>
  <si>
    <t>CI4129</t>
  </si>
  <si>
    <t>CI4130</t>
  </si>
  <si>
    <t>CI4131</t>
  </si>
  <si>
    <t>CI4132</t>
  </si>
  <si>
    <t>CI4133</t>
  </si>
  <si>
    <t>CI4134</t>
  </si>
  <si>
    <t>CI4135</t>
  </si>
  <si>
    <t>CI4136</t>
  </si>
  <si>
    <t>CI4137</t>
  </si>
  <si>
    <t>CI4138</t>
  </si>
  <si>
    <t>CI4139</t>
  </si>
  <si>
    <t>CI4140</t>
  </si>
  <si>
    <t>CI4141</t>
  </si>
  <si>
    <t>CI4142</t>
  </si>
  <si>
    <t>CI4143</t>
  </si>
  <si>
    <t>BI6004</t>
  </si>
  <si>
    <t>BI6005</t>
  </si>
  <si>
    <t>VI1301</t>
  </si>
  <si>
    <t>VI1302</t>
  </si>
  <si>
    <t>VI1303</t>
  </si>
  <si>
    <t>VI1304</t>
  </si>
  <si>
    <t>VI1307</t>
  </si>
  <si>
    <t>VI1308</t>
  </si>
  <si>
    <t>VI1310</t>
  </si>
  <si>
    <t>VI1311</t>
  </si>
  <si>
    <t>VI1313</t>
  </si>
  <si>
    <t>VI1314</t>
  </si>
  <si>
    <t>VI1317</t>
  </si>
  <si>
    <t>VI1318</t>
  </si>
  <si>
    <t>VI1319</t>
  </si>
  <si>
    <t>VI1321</t>
  </si>
  <si>
    <t>VI1322</t>
  </si>
  <si>
    <t>VI1325</t>
  </si>
  <si>
    <t>VI1326</t>
  </si>
  <si>
    <t>VI1329</t>
  </si>
  <si>
    <t>VI1330</t>
  </si>
  <si>
    <t>VI1332</t>
  </si>
  <si>
    <t>VI1333</t>
  </si>
  <si>
    <t>VI1337</t>
  </si>
  <si>
    <t>VI1338</t>
  </si>
  <si>
    <t>VI1339</t>
  </si>
  <si>
    <t>VI1340</t>
  </si>
  <si>
    <t>VI1341</t>
  </si>
  <si>
    <t>ZI1305</t>
  </si>
  <si>
    <t>ZI1309</t>
  </si>
  <si>
    <t>ZI1312</t>
  </si>
  <si>
    <t>ZI1315</t>
  </si>
  <si>
    <t>ZI1320</t>
  </si>
  <si>
    <t>ZI1324</t>
  </si>
  <si>
    <t>ZI1328</t>
  </si>
  <si>
    <t>ZI1331</t>
  </si>
  <si>
    <t>ZI1342</t>
  </si>
  <si>
    <t>ZI1343</t>
  </si>
  <si>
    <t>AI1306</t>
  </si>
  <si>
    <t>VI1401</t>
  </si>
  <si>
    <t>VI1402</t>
  </si>
  <si>
    <t>VI1403</t>
  </si>
  <si>
    <t>VI1404</t>
  </si>
  <si>
    <t>VI1407</t>
  </si>
  <si>
    <t>VI1408</t>
  </si>
  <si>
    <t>VI1410</t>
  </si>
  <si>
    <t>VI1411</t>
  </si>
  <si>
    <t>VI1414</t>
  </si>
  <si>
    <t>VI1417</t>
  </si>
  <si>
    <t>VI1418</t>
  </si>
  <si>
    <t>VI1419</t>
  </si>
  <si>
    <t>VI1421</t>
  </si>
  <si>
    <t>VI1422</t>
  </si>
  <si>
    <t>VI1425</t>
  </si>
  <si>
    <t>VI1426</t>
  </si>
  <si>
    <t>VI1429</t>
  </si>
  <si>
    <t>VI1430</t>
  </si>
  <si>
    <t>VI1431</t>
  </si>
  <si>
    <t>VI1432</t>
  </si>
  <si>
    <t>VI1437</t>
  </si>
  <si>
    <t>VI1438</t>
  </si>
  <si>
    <t>VI1439</t>
  </si>
  <si>
    <t>VI1440</t>
  </si>
  <si>
    <t>VI1441</t>
  </si>
  <si>
    <t>ZI1405</t>
  </si>
  <si>
    <t>ZI1409</t>
  </si>
  <si>
    <t>ZI1412</t>
  </si>
  <si>
    <t>ZI1415</t>
  </si>
  <si>
    <t>ZI1420</t>
  </si>
  <si>
    <t>ZI1424</t>
  </si>
  <si>
    <t>ZI1428</t>
  </si>
  <si>
    <t>ZI1431</t>
  </si>
  <si>
    <t>ZI1442</t>
  </si>
  <si>
    <t>ZI1443</t>
  </si>
  <si>
    <t>AI1406</t>
  </si>
  <si>
    <t>BI6006</t>
  </si>
  <si>
    <t>BI6007</t>
  </si>
  <si>
    <t>BI6008</t>
  </si>
  <si>
    <t>BI6009</t>
  </si>
  <si>
    <t>BI6010</t>
  </si>
  <si>
    <t>BI6011</t>
  </si>
  <si>
    <t>BI6012</t>
  </si>
  <si>
    <t>BI6013</t>
  </si>
  <si>
    <t>BI6014</t>
  </si>
  <si>
    <t>BI6015</t>
  </si>
  <si>
    <t>BI6016</t>
  </si>
  <si>
    <t>BI6017</t>
  </si>
  <si>
    <t>BI6018</t>
  </si>
  <si>
    <t>BI6019</t>
  </si>
  <si>
    <t>BI6020</t>
  </si>
  <si>
    <t>BI6022</t>
  </si>
  <si>
    <t>BI6023</t>
  </si>
  <si>
    <t>BI6024</t>
  </si>
  <si>
    <t>BI6025</t>
  </si>
  <si>
    <t>BI6026</t>
  </si>
  <si>
    <t>BI6027</t>
  </si>
  <si>
    <t>BI6028</t>
  </si>
  <si>
    <t>BI6029</t>
  </si>
  <si>
    <t>BI6039</t>
  </si>
  <si>
    <t>BI6031</t>
  </si>
  <si>
    <t>BI6032</t>
  </si>
  <si>
    <t>BI6033</t>
  </si>
  <si>
    <t>BI6034</t>
  </si>
  <si>
    <t>BI6035</t>
  </si>
  <si>
    <t>BI6036</t>
  </si>
  <si>
    <t>BI6037</t>
  </si>
  <si>
    <t>BI6038</t>
  </si>
  <si>
    <t>BI6041</t>
  </si>
  <si>
    <t>CI6044</t>
  </si>
  <si>
    <t>CI6043</t>
  </si>
  <si>
    <t>CI6042</t>
  </si>
  <si>
    <t>DI4101</t>
  </si>
  <si>
    <t>DI4102</t>
  </si>
  <si>
    <t>DI4103</t>
  </si>
  <si>
    <t>YTD</t>
  </si>
  <si>
    <t>EI0001</t>
  </si>
  <si>
    <t>EI0002</t>
  </si>
  <si>
    <t>EI0003</t>
  </si>
  <si>
    <t>VI1344</t>
  </si>
  <si>
    <t>VI1444</t>
  </si>
  <si>
    <t>EI6001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</si>
</sst>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6" fillId="0" borderId="0"/>
  </cellStyleXfs>
  <cellXfs count="5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3" borderId="1" xfId="1" applyFont="1" applyFill="1" applyBorder="1" applyAlignment="1">
      <alignment vertical="center"/>
    </xf>
    <xf numFmtId="0" fontId="1" fillId="4" borderId="1" xfId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0" borderId="1" xfId="0" applyFont="1" applyFill="1" applyBorder="1"/>
    <xf numFmtId="10" fontId="0" fillId="0" borderId="0" xfId="0" applyNumberFormat="1"/>
    <xf numFmtId="10" fontId="0" fillId="0" borderId="9" xfId="0" applyNumberFormat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0" fontId="9" fillId="0" borderId="0" xfId="0" applyFont="1"/>
    <xf numFmtId="10" fontId="0" fillId="0" borderId="12" xfId="0" applyNumberFormat="1" applyBorder="1"/>
    <xf numFmtId="168" fontId="0" fillId="0" borderId="6" xfId="0" applyNumberFormat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0" fontId="9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0" fontId="10" fillId="0" borderId="12" xfId="6" applyNumberFormat="1" applyFont="1" applyBorder="1"/>
    <xf numFmtId="169" fontId="0" fillId="0" borderId="6" xfId="4" applyNumberFormat="1" applyFon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9" fontId="0" fillId="0" borderId="0" xfId="4" applyNumberFormat="1" applyFont="1"/>
    <xf numFmtId="168" fontId="0" fillId="0" borderId="4" xfId="0" applyNumberFormat="1" applyBorder="1"/>
    <xf numFmtId="169" fontId="0" fillId="0" borderId="16" xfId="4" applyNumberFormat="1" applyFont="1" applyBorder="1"/>
    <xf numFmtId="10" fontId="0" fillId="3" borderId="11" xfId="0" applyNumberFormat="1" applyFill="1" applyBorder="1"/>
    <xf numFmtId="0" fontId="9" fillId="3" borderId="10" xfId="0" applyFont="1" applyFill="1" applyBorder="1"/>
    <xf numFmtId="0" fontId="0" fillId="5" borderId="0" xfId="0" applyFill="1" applyBorder="1"/>
    <xf numFmtId="10" fontId="0" fillId="5" borderId="0" xfId="0" applyNumberFormat="1" applyFill="1" applyBorder="1"/>
    <xf numFmtId="0" fontId="9" fillId="5" borderId="6" xfId="0" applyFont="1" applyFill="1" applyBorder="1"/>
    <xf numFmtId="0" fontId="9" fillId="3" borderId="6" xfId="0" applyFont="1" applyFill="1" applyBorder="1"/>
    <xf numFmtId="0" fontId="11" fillId="0" borderId="0" xfId="0" applyNumberFormat="1" applyFont="1" applyAlignment="1">
      <alignment horizontal="left"/>
    </xf>
    <xf numFmtId="10" fontId="9" fillId="5" borderId="9" xfId="0" applyNumberFormat="1" applyFont="1" applyFill="1" applyBorder="1"/>
    <xf numFmtId="0" fontId="9" fillId="5" borderId="0" xfId="0" applyFont="1" applyFill="1" applyBorder="1"/>
    <xf numFmtId="0" fontId="12" fillId="0" borderId="0" xfId="0" applyFont="1" applyAlignment="1">
      <alignment horizontal="left"/>
    </xf>
    <xf numFmtId="0" fontId="9" fillId="8" borderId="4" xfId="0" applyFont="1" applyFill="1" applyBorder="1" applyAlignment="1">
      <alignment horizontal="center"/>
    </xf>
    <xf numFmtId="10" fontId="9" fillId="8" borderId="15" xfId="0" applyNumberFormat="1" applyFont="1" applyFill="1" applyBorder="1"/>
    <xf numFmtId="49" fontId="0" fillId="0" borderId="0" xfId="0" applyNumberFormat="1"/>
    <xf numFmtId="10" fontId="0" fillId="3" borderId="6" xfId="0" applyNumberFormat="1" applyFill="1" applyBorder="1"/>
    <xf numFmtId="0" fontId="0" fillId="0" borderId="0" xfId="0" applyBorder="1"/>
    <xf numFmtId="0" fontId="0" fillId="0" borderId="0" xfId="0" applyFill="1"/>
    <xf numFmtId="0" fontId="0" fillId="0" borderId="6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9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10" fontId="0" fillId="0" borderId="9" xfId="0" applyNumberFormat="1" applyFill="1" applyBorder="1"/>
    <xf numFmtId="0" fontId="4" fillId="3" borderId="1" xfId="0" applyFont="1" applyFill="1" applyBorder="1" applyAlignment="1">
      <alignment horizontal="right" vertical="center"/>
    </xf>
    <xf numFmtId="168" fontId="0" fillId="5" borderId="0" xfId="0" applyNumberFormat="1" applyFill="1" applyBorder="1"/>
    <xf numFmtId="10" fontId="10" fillId="5" borderId="0" xfId="6" applyNumberFormat="1" applyFont="1" applyFill="1" applyBorder="1"/>
    <xf numFmtId="10" fontId="0" fillId="7" borderId="9" xfId="0" applyNumberFormat="1" applyFont="1" applyFill="1" applyBorder="1"/>
    <xf numFmtId="167" fontId="9" fillId="5" borderId="6" xfId="6" applyNumberFormat="1" applyFont="1" applyFill="1" applyBorder="1"/>
    <xf numFmtId="169" fontId="0" fillId="0" borderId="16" xfId="0" applyNumberFormat="1" applyBorder="1"/>
    <xf numFmtId="0" fontId="0" fillId="0" borderId="0" xfId="0"/>
    <xf numFmtId="10" fontId="9" fillId="0" borderId="0" xfId="0" applyNumberFormat="1" applyFont="1"/>
    <xf numFmtId="0" fontId="8" fillId="9" borderId="1" xfId="0" applyFont="1" applyFill="1" applyBorder="1"/>
    <xf numFmtId="0" fontId="1" fillId="9" borderId="1" xfId="1" applyFont="1" applyFill="1" applyBorder="1" applyAlignment="1">
      <alignment vertical="center"/>
    </xf>
    <xf numFmtId="0" fontId="5" fillId="9" borderId="0" xfId="0" applyFont="1" applyFill="1"/>
    <xf numFmtId="49" fontId="5" fillId="3" borderId="1" xfId="0" applyNumberFormat="1" applyFont="1" applyFill="1" applyBorder="1" applyAlignment="1">
      <alignment vertical="center"/>
    </xf>
    <xf numFmtId="169" fontId="0" fillId="0" borderId="17" xfId="4" applyNumberFormat="1" applyFont="1" applyBorder="1"/>
    <xf numFmtId="169" fontId="0" fillId="0" borderId="19" xfId="4" applyNumberFormat="1" applyFont="1" applyBorder="1"/>
    <xf numFmtId="169" fontId="0" fillId="0" borderId="5" xfId="0" applyNumberFormat="1" applyBorder="1"/>
    <xf numFmtId="169" fontId="0" fillId="0" borderId="15" xfId="0" applyNumberFormat="1" applyBorder="1"/>
    <xf numFmtId="169" fontId="0" fillId="0" borderId="17" xfId="0" applyNumberFormat="1" applyBorder="1"/>
    <xf numFmtId="169" fontId="0" fillId="0" borderId="19" xfId="0" applyNumberFormat="1" applyBorder="1"/>
    <xf numFmtId="169" fontId="0" fillId="0" borderId="4" xfId="0" applyNumberFormat="1" applyBorder="1"/>
    <xf numFmtId="169" fontId="0" fillId="3" borderId="14" xfId="0" applyNumberFormat="1" applyFill="1" applyBorder="1"/>
    <xf numFmtId="169" fontId="0" fillId="0" borderId="6" xfId="0" applyNumberFormat="1" applyBorder="1"/>
    <xf numFmtId="169" fontId="0" fillId="0" borderId="10" xfId="5" applyNumberFormat="1" applyFont="1" applyBorder="1"/>
    <xf numFmtId="169" fontId="0" fillId="3" borderId="14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7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0" fontId="0" fillId="0" borderId="0" xfId="0" applyFill="1" applyBorder="1"/>
    <xf numFmtId="0" fontId="1" fillId="0" borderId="1" xfId="1" applyFont="1" applyBorder="1" applyAlignment="1">
      <alignment horizontal="left"/>
    </xf>
    <xf numFmtId="167" fontId="0" fillId="0" borderId="0" xfId="6" applyNumberFormat="1" applyFont="1" applyFill="1"/>
    <xf numFmtId="10" fontId="0" fillId="0" borderId="0" xfId="0" applyNumberFormat="1" applyFill="1"/>
    <xf numFmtId="0" fontId="12" fillId="5" borderId="0" xfId="0" applyNumberFormat="1" applyFont="1" applyFill="1" applyBorder="1" applyAlignment="1">
      <alignment horizontal="left"/>
    </xf>
    <xf numFmtId="10" fontId="9" fillId="3" borderId="0" xfId="0" applyNumberFormat="1" applyFont="1" applyFill="1" applyBorder="1"/>
    <xf numFmtId="10" fontId="9" fillId="5" borderId="0" xfId="0" applyNumberFormat="1" applyFont="1" applyFill="1" applyBorder="1"/>
    <xf numFmtId="10" fontId="9" fillId="3" borderId="11" xfId="0" applyNumberFormat="1" applyFont="1" applyFill="1" applyBorder="1"/>
    <xf numFmtId="0" fontId="9" fillId="3" borderId="0" xfId="0" applyFont="1" applyFill="1" applyBorder="1"/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38" fontId="1" fillId="2" borderId="1" xfId="1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0" fillId="0" borderId="14" xfId="0" applyBorder="1"/>
    <xf numFmtId="0" fontId="0" fillId="0" borderId="7" xfId="0" applyBorder="1"/>
    <xf numFmtId="10" fontId="0" fillId="0" borderId="12" xfId="5" applyNumberFormat="1" applyFont="1" applyBorder="1"/>
    <xf numFmtId="168" fontId="0" fillId="0" borderId="7" xfId="0" applyNumberFormat="1" applyBorder="1"/>
    <xf numFmtId="168" fontId="0" fillId="0" borderId="8" xfId="0" applyNumberFormat="1" applyBorder="1"/>
    <xf numFmtId="0" fontId="9" fillId="8" borderId="15" xfId="0" applyFont="1" applyFill="1" applyBorder="1"/>
    <xf numFmtId="0" fontId="9" fillId="8" borderId="3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169" fontId="0" fillId="0" borderId="3" xfId="0" applyNumberFormat="1" applyFill="1" applyBorder="1"/>
    <xf numFmtId="169" fontId="0" fillId="0" borderId="4" xfId="0" applyNumberFormat="1" applyFill="1" applyBorder="1"/>
    <xf numFmtId="169" fontId="0" fillId="0" borderId="5" xfId="0" applyNumberFormat="1" applyFill="1" applyBorder="1"/>
    <xf numFmtId="10" fontId="9" fillId="6" borderId="5" xfId="0" applyNumberFormat="1" applyFont="1" applyFill="1" applyBorder="1" applyAlignment="1">
      <alignment horizontal="right"/>
    </xf>
    <xf numFmtId="0" fontId="9" fillId="6" borderId="3" xfId="0" applyFont="1" applyFill="1" applyBorder="1" applyAlignment="1">
      <alignment horizontal="right"/>
    </xf>
    <xf numFmtId="0" fontId="0" fillId="0" borderId="15" xfId="0" applyBorder="1"/>
    <xf numFmtId="169" fontId="0" fillId="3" borderId="6" xfId="4" applyNumberFormat="1" applyFont="1" applyFill="1" applyBorder="1"/>
    <xf numFmtId="10" fontId="0" fillId="3" borderId="6" xfId="6" applyNumberFormat="1" applyFont="1" applyFill="1" applyBorder="1"/>
    <xf numFmtId="10" fontId="0" fillId="0" borderId="6" xfId="0" applyNumberFormat="1" applyBorder="1"/>
    <xf numFmtId="10" fontId="0" fillId="3" borderId="6" xfId="0" applyNumberFormat="1" applyFont="1" applyFill="1" applyBorder="1"/>
    <xf numFmtId="0" fontId="0" fillId="0" borderId="0" xfId="0"/>
    <xf numFmtId="0" fontId="14" fillId="0" borderId="0" xfId="0" applyNumberFormat="1" applyFont="1" applyFill="1" applyBorder="1" applyAlignment="1">
      <alignment horizontal="left" vertical="top" wrapText="1"/>
    </xf>
    <xf numFmtId="168" fontId="13" fillId="0" borderId="0" xfId="0" applyNumberFormat="1" applyFont="1"/>
    <xf numFmtId="0" fontId="13" fillId="0" borderId="0" xfId="0" applyFont="1"/>
    <xf numFmtId="49" fontId="13" fillId="10" borderId="17" xfId="0" applyNumberFormat="1" applyFont="1" applyFill="1" applyBorder="1" applyAlignment="1">
      <alignment horizontal="left" vertical="top" wrapText="1"/>
    </xf>
    <xf numFmtId="49" fontId="0" fillId="10" borderId="19" xfId="0" applyNumberFormat="1" applyFill="1" applyBorder="1"/>
    <xf numFmtId="169" fontId="13" fillId="10" borderId="19" xfId="0" applyNumberFormat="1" applyFont="1" applyFill="1" applyBorder="1" applyAlignment="1">
      <alignment horizontal="left" vertical="top" wrapText="1"/>
    </xf>
    <xf numFmtId="169" fontId="9" fillId="10" borderId="19" xfId="0" applyNumberFormat="1" applyFont="1" applyFill="1" applyBorder="1"/>
    <xf numFmtId="169" fontId="15" fillId="0" borderId="0" xfId="0" applyNumberFormat="1" applyFont="1" applyFill="1" applyBorder="1" applyAlignment="1">
      <alignment horizontal="left" vertical="top" wrapText="1"/>
    </xf>
    <xf numFmtId="10" fontId="13" fillId="10" borderId="19" xfId="0" applyNumberFormat="1" applyFont="1" applyFill="1" applyBorder="1" applyAlignment="1">
      <alignment wrapText="1"/>
    </xf>
    <xf numFmtId="10" fontId="15" fillId="0" borderId="0" xfId="0" applyNumberFormat="1" applyFont="1" applyFill="1" applyBorder="1" applyAlignment="1">
      <alignment wrapText="1"/>
    </xf>
    <xf numFmtId="10" fontId="0" fillId="0" borderId="0" xfId="0" applyNumberFormat="1" applyAlignment="1"/>
    <xf numFmtId="10" fontId="13" fillId="10" borderId="17" xfId="0" applyNumberFormat="1" applyFont="1" applyFill="1" applyBorder="1" applyAlignment="1">
      <alignment horizontal="center" vertical="top" wrapText="1"/>
    </xf>
    <xf numFmtId="169" fontId="0" fillId="0" borderId="0" xfId="0" applyNumberFormat="1" applyFont="1" applyFill="1" applyBorder="1"/>
    <xf numFmtId="169" fontId="0" fillId="0" borderId="0" xfId="0" applyNumberFormat="1" applyFont="1" applyBorder="1"/>
    <xf numFmtId="169" fontId="0" fillId="0" borderId="0" xfId="0" applyNumberFormat="1" applyFont="1"/>
    <xf numFmtId="10" fontId="0" fillId="10" borderId="19" xfId="0" applyNumberFormat="1" applyFill="1" applyBorder="1" applyAlignment="1"/>
    <xf numFmtId="169" fontId="0" fillId="10" borderId="19" xfId="0" applyNumberFormat="1" applyFill="1" applyBorder="1" applyAlignment="1"/>
    <xf numFmtId="169" fontId="0" fillId="0" borderId="0" xfId="0" applyNumberFormat="1" applyAlignment="1"/>
    <xf numFmtId="169" fontId="9" fillId="10" borderId="19" xfId="0" applyNumberFormat="1" applyFont="1" applyFill="1" applyBorder="1" applyAlignment="1"/>
    <xf numFmtId="169" fontId="9" fillId="0" borderId="0" xfId="0" applyNumberFormat="1" applyFont="1" applyAlignment="1"/>
    <xf numFmtId="169" fontId="0" fillId="0" borderId="0" xfId="0" applyNumberFormat="1" applyFill="1" applyBorder="1"/>
    <xf numFmtId="10" fontId="0" fillId="0" borderId="0" xfId="0" applyNumberFormat="1" applyFill="1" applyBorder="1"/>
    <xf numFmtId="0" fontId="8" fillId="0" borderId="0" xfId="0" applyFont="1"/>
    <xf numFmtId="0" fontId="1" fillId="3" borderId="1" xfId="2" applyNumberFormat="1" applyFont="1" applyFill="1" applyBorder="1" applyAlignment="1">
      <alignment vertical="center"/>
    </xf>
    <xf numFmtId="0" fontId="5" fillId="9" borderId="1" xfId="0" applyFont="1" applyFill="1" applyBorder="1"/>
    <xf numFmtId="0" fontId="13" fillId="10" borderId="0" xfId="0" applyFont="1" applyFill="1" applyAlignment="1">
      <alignment horizontal="center" vertical="top" wrapText="1"/>
    </xf>
    <xf numFmtId="0" fontId="13" fillId="10" borderId="17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1" fillId="9" borderId="1" xfId="0" applyFont="1" applyFill="1" applyBorder="1" applyAlignment="1">
      <alignment vertical="center"/>
    </xf>
    <xf numFmtId="0" fontId="5" fillId="0" borderId="0" xfId="0" applyFont="1" applyFill="1"/>
    <xf numFmtId="0" fontId="0" fillId="0" borderId="0" xfId="0"/>
    <xf numFmtId="0" fontId="0" fillId="0" borderId="6" xfId="0" applyFill="1" applyBorder="1"/>
    <xf numFmtId="0" fontId="0" fillId="0" borderId="0" xfId="0" applyFill="1" applyBorder="1"/>
    <xf numFmtId="0" fontId="0" fillId="0" borderId="16" xfId="0" applyBorder="1"/>
    <xf numFmtId="0" fontId="0" fillId="0" borderId="16" xfId="0" applyBorder="1"/>
    <xf numFmtId="0" fontId="0" fillId="0" borderId="0" xfId="0"/>
    <xf numFmtId="0" fontId="9" fillId="10" borderId="19" xfId="0" applyFont="1" applyFill="1" applyBorder="1"/>
    <xf numFmtId="10" fontId="9" fillId="10" borderId="19" xfId="0" applyNumberFormat="1" applyFont="1" applyFill="1" applyBorder="1"/>
    <xf numFmtId="0" fontId="9" fillId="10" borderId="15" xfId="0" applyFont="1" applyFill="1" applyBorder="1"/>
    <xf numFmtId="10" fontId="9" fillId="10" borderId="15" xfId="0" applyNumberFormat="1" applyFont="1" applyFill="1" applyBorder="1"/>
    <xf numFmtId="0" fontId="0" fillId="10" borderId="16" xfId="0" applyFill="1" applyBorder="1"/>
    <xf numFmtId="169" fontId="0" fillId="10" borderId="16" xfId="0" applyNumberFormat="1" applyFill="1" applyBorder="1"/>
    <xf numFmtId="10" fontId="0" fillId="0" borderId="17" xfId="0" applyNumberFormat="1" applyBorder="1"/>
    <xf numFmtId="10" fontId="0" fillId="0" borderId="16" xfId="0" applyNumberFormat="1" applyFill="1" applyBorder="1"/>
    <xf numFmtId="10" fontId="0" fillId="0" borderId="16" xfId="0" applyNumberFormat="1" applyBorder="1"/>
    <xf numFmtId="10" fontId="0" fillId="0" borderId="19" xfId="0" applyNumberFormat="1" applyFill="1" applyBorder="1"/>
    <xf numFmtId="10" fontId="0" fillId="0" borderId="19" xfId="0" applyNumberFormat="1" applyBorder="1"/>
    <xf numFmtId="0" fontId="0" fillId="0" borderId="19" xfId="0" applyBorder="1"/>
    <xf numFmtId="0" fontId="0" fillId="0" borderId="17" xfId="0" applyBorder="1"/>
    <xf numFmtId="169" fontId="0" fillId="10" borderId="17" xfId="0" applyNumberFormat="1" applyFill="1" applyBorder="1"/>
    <xf numFmtId="169" fontId="0" fillId="10" borderId="19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0" xfId="0"/>
    <xf numFmtId="10" fontId="0" fillId="0" borderId="6" xfId="6" applyNumberFormat="1" applyFont="1" applyFill="1" applyBorder="1"/>
    <xf numFmtId="10" fontId="0" fillId="0" borderId="10" xfId="6" applyNumberFormat="1" applyFont="1" applyFill="1" applyBorder="1"/>
    <xf numFmtId="10" fontId="0" fillId="0" borderId="12" xfId="0" applyNumberFormat="1" applyFill="1" applyBorder="1"/>
    <xf numFmtId="169" fontId="0" fillId="0" borderId="0" xfId="6" applyNumberFormat="1" applyFont="1" applyFill="1"/>
    <xf numFmtId="169" fontId="0" fillId="0" borderId="0" xfId="0" applyNumberFormat="1" applyFill="1"/>
    <xf numFmtId="0" fontId="5" fillId="2" borderId="1" xfId="0" applyNumberFormat="1" applyFont="1" applyFill="1" applyBorder="1" applyAlignment="1"/>
    <xf numFmtId="0" fontId="0" fillId="0" borderId="0" xfId="0" applyFill="1"/>
    <xf numFmtId="0" fontId="0" fillId="0" borderId="0" xfId="0"/>
    <xf numFmtId="10" fontId="0" fillId="0" borderId="8" xfId="0" applyNumberFormat="1" applyFill="1" applyBorder="1"/>
    <xf numFmtId="169" fontId="0" fillId="0" borderId="14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9" fillId="6" borderId="3" xfId="0" applyFont="1" applyFill="1" applyBorder="1"/>
    <xf numFmtId="0" fontId="9" fillId="6" borderId="4" xfId="0" applyFont="1" applyFill="1" applyBorder="1"/>
    <xf numFmtId="0" fontId="0" fillId="0" borderId="0" xfId="0" applyFill="1"/>
    <xf numFmtId="0" fontId="0" fillId="0" borderId="0" xfId="0"/>
    <xf numFmtId="0" fontId="9" fillId="6" borderId="14" xfId="0" applyFont="1" applyFill="1" applyBorder="1" applyAlignment="1">
      <alignment horizontal="right"/>
    </xf>
    <xf numFmtId="10" fontId="9" fillId="6" borderId="8" xfId="0" applyNumberFormat="1" applyFont="1" applyFill="1" applyBorder="1" applyAlignment="1">
      <alignment horizontal="right"/>
    </xf>
    <xf numFmtId="10" fontId="0" fillId="0" borderId="5" xfId="0" applyNumberFormat="1" applyFill="1" applyBorder="1"/>
    <xf numFmtId="0" fontId="0" fillId="10" borderId="17" xfId="0" applyFill="1" applyBorder="1"/>
    <xf numFmtId="3" fontId="1" fillId="0" borderId="2" xfId="0" applyNumberFormat="1" applyFon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1" fillId="3" borderId="22" xfId="0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0" fontId="8" fillId="0" borderId="26" xfId="0" applyFont="1" applyBorder="1"/>
    <xf numFmtId="0" fontId="1" fillId="0" borderId="26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5" fillId="3" borderId="1" xfId="0" applyFont="1" applyFill="1" applyBorder="1" applyAlignment="1"/>
    <xf numFmtId="0" fontId="8" fillId="3" borderId="1" xfId="0" applyFont="1" applyFill="1" applyBorder="1" applyAlignment="1"/>
    <xf numFmtId="0" fontId="5" fillId="4" borderId="1" xfId="0" applyFont="1" applyFill="1" applyBorder="1" applyAlignment="1"/>
    <xf numFmtId="0" fontId="8" fillId="4" borderId="1" xfId="0" applyFont="1" applyFill="1" applyBorder="1" applyAlignment="1"/>
    <xf numFmtId="0" fontId="8" fillId="0" borderId="1" xfId="0" applyFont="1" applyBorder="1" applyAlignment="1"/>
    <xf numFmtId="0" fontId="8" fillId="9" borderId="1" xfId="0" applyFont="1" applyFill="1" applyBorder="1" applyAlignment="1"/>
    <xf numFmtId="0" fontId="5" fillId="0" borderId="1" xfId="0" applyFont="1" applyBorder="1" applyAlignment="1"/>
    <xf numFmtId="0" fontId="5" fillId="9" borderId="1" xfId="0" applyFont="1" applyFill="1" applyBorder="1" applyAlignment="1"/>
    <xf numFmtId="10" fontId="5" fillId="0" borderId="1" xfId="0" applyNumberFormat="1" applyFont="1" applyBorder="1" applyAlignment="1"/>
    <xf numFmtId="169" fontId="5" fillId="0" borderId="1" xfId="0" applyNumberFormat="1" applyFont="1" applyBorder="1" applyAlignment="1"/>
    <xf numFmtId="0" fontId="0" fillId="0" borderId="1" xfId="0" applyBorder="1" applyAlignment="1"/>
    <xf numFmtId="0" fontId="5" fillId="4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169" fontId="5" fillId="2" borderId="1" xfId="0" applyNumberFormat="1" applyFont="1" applyFill="1" applyBorder="1" applyAlignment="1">
      <alignment horizontal="right"/>
    </xf>
    <xf numFmtId="169" fontId="5" fillId="3" borderId="1" xfId="0" applyNumberFormat="1" applyFont="1" applyFill="1" applyBorder="1" applyAlignment="1">
      <alignment horizontal="right"/>
    </xf>
    <xf numFmtId="10" fontId="5" fillId="3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left"/>
    </xf>
    <xf numFmtId="0" fontId="5" fillId="11" borderId="1" xfId="0" applyFont="1" applyFill="1" applyBorder="1"/>
    <xf numFmtId="49" fontId="1" fillId="2" borderId="1" xfId="0" applyNumberFormat="1" applyFont="1" applyFill="1" applyBorder="1"/>
    <xf numFmtId="49" fontId="8" fillId="2" borderId="1" xfId="0" applyNumberFormat="1" applyFont="1" applyFill="1" applyBorder="1" applyAlignment="1"/>
    <xf numFmtId="49" fontId="5" fillId="2" borderId="1" xfId="0" applyNumberFormat="1" applyFont="1" applyFill="1" applyBorder="1" applyAlignment="1"/>
    <xf numFmtId="169" fontId="5" fillId="3" borderId="1" xfId="0" applyNumberFormat="1" applyFont="1" applyFill="1" applyBorder="1" applyAlignment="1"/>
    <xf numFmtId="0" fontId="9" fillId="6" borderId="5" xfId="0" applyFont="1" applyFill="1" applyBorder="1"/>
    <xf numFmtId="169" fontId="0" fillId="0" borderId="14" xfId="0" applyNumberFormat="1" applyBorder="1"/>
    <xf numFmtId="10" fontId="0" fillId="0" borderId="8" xfId="0" applyNumberFormat="1" applyBorder="1"/>
    <xf numFmtId="169" fontId="0" fillId="0" borderId="27" xfId="4" applyNumberFormat="1" applyFont="1" applyBorder="1"/>
    <xf numFmtId="10" fontId="0" fillId="0" borderId="28" xfId="0" applyNumberFormat="1" applyBorder="1"/>
    <xf numFmtId="169" fontId="0" fillId="0" borderId="23" xfId="4" applyNumberFormat="1" applyFont="1" applyBorder="1"/>
    <xf numFmtId="10" fontId="0" fillId="0" borderId="25" xfId="0" applyNumberFormat="1" applyBorder="1"/>
    <xf numFmtId="10" fontId="0" fillId="0" borderId="5" xfId="0" applyNumberFormat="1" applyBorder="1"/>
    <xf numFmtId="169" fontId="0" fillId="0" borderId="6" xfId="5" applyNumberFormat="1" applyFont="1" applyBorder="1"/>
    <xf numFmtId="10" fontId="0" fillId="0" borderId="9" xfId="5" applyNumberFormat="1" applyFont="1" applyBorder="1"/>
    <xf numFmtId="169" fontId="0" fillId="0" borderId="3" xfId="5" applyNumberFormat="1" applyFont="1" applyBorder="1"/>
    <xf numFmtId="10" fontId="0" fillId="0" borderId="5" xfId="5" applyNumberFormat="1" applyFont="1" applyBorder="1"/>
    <xf numFmtId="169" fontId="0" fillId="0" borderId="14" xfId="5" applyNumberFormat="1" applyFont="1" applyBorder="1"/>
    <xf numFmtId="10" fontId="0" fillId="0" borderId="8" xfId="5" applyNumberFormat="1" applyFont="1" applyBorder="1"/>
    <xf numFmtId="169" fontId="0" fillId="0" borderId="27" xfId="0" applyNumberFormat="1" applyBorder="1"/>
    <xf numFmtId="169" fontId="0" fillId="0" borderId="23" xfId="0" applyNumberFormat="1" applyBorder="1"/>
    <xf numFmtId="169" fontId="0" fillId="0" borderId="3" xfId="4" applyNumberFormat="1" applyFont="1" applyBorder="1"/>
    <xf numFmtId="169" fontId="0" fillId="0" borderId="29" xfId="4" applyNumberFormat="1" applyFont="1" applyBorder="1"/>
    <xf numFmtId="10" fontId="0" fillId="0" borderId="31" xfId="0" applyNumberFormat="1" applyBorder="1"/>
    <xf numFmtId="169" fontId="0" fillId="0" borderId="29" xfId="0" applyNumberFormat="1" applyBorder="1"/>
    <xf numFmtId="169" fontId="0" fillId="0" borderId="6" xfId="6" applyNumberFormat="1" applyFont="1" applyBorder="1"/>
    <xf numFmtId="0" fontId="17" fillId="0" borderId="17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49" fontId="17" fillId="0" borderId="16" xfId="0" applyNumberFormat="1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169" fontId="0" fillId="3" borderId="3" xfId="0" applyNumberFormat="1" applyFill="1" applyBorder="1"/>
    <xf numFmtId="10" fontId="0" fillId="3" borderId="5" xfId="0" applyNumberFormat="1" applyFill="1" applyBorder="1"/>
    <xf numFmtId="169" fontId="13" fillId="10" borderId="17" xfId="0" applyNumberFormat="1" applyFont="1" applyFill="1" applyBorder="1" applyAlignment="1">
      <alignment horizontal="left" vertical="top" wrapText="1"/>
    </xf>
    <xf numFmtId="10" fontId="0" fillId="0" borderId="6" xfId="0" applyNumberFormat="1" applyFill="1" applyBorder="1"/>
    <xf numFmtId="10" fontId="0" fillId="0" borderId="10" xfId="0" applyNumberFormat="1" applyFill="1" applyBorder="1"/>
    <xf numFmtId="10" fontId="0" fillId="0" borderId="10" xfId="0" applyNumberFormat="1" applyBorder="1"/>
    <xf numFmtId="0" fontId="0" fillId="0" borderId="0" xfId="0"/>
    <xf numFmtId="0" fontId="0" fillId="0" borderId="16" xfId="0" applyBorder="1"/>
    <xf numFmtId="0" fontId="5" fillId="0" borderId="0" xfId="0" applyNumberFormat="1" applyFont="1"/>
    <xf numFmtId="0" fontId="5" fillId="0" borderId="1" xfId="0" applyNumberFormat="1" applyFont="1" applyBorder="1"/>
    <xf numFmtId="0" fontId="17" fillId="0" borderId="15" xfId="0" applyFont="1" applyBorder="1" applyAlignment="1">
      <alignment vertical="center"/>
    </xf>
    <xf numFmtId="169" fontId="0" fillId="10" borderId="15" xfId="0" applyNumberFormat="1" applyFill="1" applyBorder="1"/>
    <xf numFmtId="10" fontId="0" fillId="0" borderId="17" xfId="0" applyNumberFormat="1" applyFill="1" applyBorder="1"/>
    <xf numFmtId="10" fontId="0" fillId="0" borderId="15" xfId="0" applyNumberFormat="1" applyFill="1" applyBorder="1"/>
    <xf numFmtId="10" fontId="0" fillId="0" borderId="15" xfId="0" applyNumberFormat="1" applyBorder="1"/>
    <xf numFmtId="0" fontId="0" fillId="0" borderId="0" xfId="0"/>
    <xf numFmtId="169" fontId="13" fillId="10" borderId="17" xfId="0" applyNumberFormat="1" applyFont="1" applyFill="1" applyBorder="1" applyAlignment="1">
      <alignment horizontal="center" vertical="top" wrapText="1"/>
    </xf>
    <xf numFmtId="0" fontId="0" fillId="0" borderId="16" xfId="0" applyBorder="1"/>
    <xf numFmtId="0" fontId="0" fillId="0" borderId="15" xfId="0" applyBorder="1"/>
    <xf numFmtId="0" fontId="0" fillId="0" borderId="21" xfId="0" applyBorder="1"/>
    <xf numFmtId="0" fontId="0" fillId="0" borderId="0" xfId="0"/>
    <xf numFmtId="0" fontId="0" fillId="0" borderId="7" xfId="0" applyBorder="1"/>
    <xf numFmtId="169" fontId="13" fillId="10" borderId="17" xfId="0" applyNumberFormat="1" applyFont="1" applyFill="1" applyBorder="1" applyAlignment="1">
      <alignment horizontal="center" vertical="top" wrapText="1"/>
    </xf>
    <xf numFmtId="10" fontId="9" fillId="10" borderId="19" xfId="0" applyNumberFormat="1" applyFont="1" applyFill="1" applyBorder="1" applyAlignment="1"/>
    <xf numFmtId="169" fontId="9" fillId="0" borderId="0" xfId="0" applyNumberFormat="1" applyFont="1"/>
    <xf numFmtId="169" fontId="0" fillId="0" borderId="21" xfId="0" applyNumberFormat="1" applyBorder="1"/>
    <xf numFmtId="10" fontId="0" fillId="0" borderId="21" xfId="0" applyNumberFormat="1" applyBorder="1"/>
    <xf numFmtId="0" fontId="0" fillId="0" borderId="32" xfId="0" applyBorder="1"/>
    <xf numFmtId="169" fontId="0" fillId="0" borderId="32" xfId="0" applyNumberFormat="1" applyBorder="1"/>
    <xf numFmtId="10" fontId="0" fillId="0" borderId="32" xfId="0" applyNumberFormat="1" applyBorder="1"/>
    <xf numFmtId="0" fontId="9" fillId="8" borderId="15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8" fontId="1" fillId="0" borderId="33" xfId="0" applyNumberFormat="1" applyFont="1" applyBorder="1" applyAlignment="1">
      <alignment horizontal="right" vertical="center"/>
    </xf>
    <xf numFmtId="38" fontId="1" fillId="0" borderId="2" xfId="0" applyNumberFormat="1" applyFont="1" applyBorder="1" applyAlignment="1">
      <alignment horizontal="right" vertical="center"/>
    </xf>
    <xf numFmtId="38" fontId="1" fillId="0" borderId="34" xfId="0" applyNumberFormat="1" applyFont="1" applyBorder="1" applyAlignment="1">
      <alignment horizontal="right" vertical="center"/>
    </xf>
    <xf numFmtId="38" fontId="1" fillId="0" borderId="22" xfId="0" applyNumberFormat="1" applyFont="1" applyBorder="1" applyAlignment="1">
      <alignment horizontal="right" vertical="center"/>
    </xf>
    <xf numFmtId="0" fontId="0" fillId="9" borderId="1" xfId="0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8" fillId="12" borderId="1" xfId="0" applyFont="1" applyFill="1" applyBorder="1"/>
    <xf numFmtId="0" fontId="5" fillId="12" borderId="1" xfId="0" applyFont="1" applyFill="1" applyBorder="1"/>
    <xf numFmtId="0" fontId="5" fillId="2" borderId="0" xfId="0" applyFont="1" applyFill="1"/>
    <xf numFmtId="0" fontId="1" fillId="4" borderId="2" xfId="0" applyFont="1" applyFill="1" applyBorder="1" applyAlignment="1">
      <alignment horizontal="right" vertical="center"/>
    </xf>
    <xf numFmtId="49" fontId="0" fillId="0" borderId="1" xfId="0" applyNumberFormat="1" applyBorder="1"/>
    <xf numFmtId="49" fontId="5" fillId="0" borderId="1" xfId="0" applyNumberFormat="1" applyFont="1" applyBorder="1"/>
    <xf numFmtId="0" fontId="5" fillId="0" borderId="0" xfId="0" applyFont="1" applyFill="1" applyBorder="1"/>
    <xf numFmtId="0" fontId="5" fillId="0" borderId="0" xfId="0" applyFont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left"/>
    </xf>
    <xf numFmtId="0" fontId="8" fillId="8" borderId="1" xfId="0" applyFont="1" applyFill="1" applyBorder="1"/>
    <xf numFmtId="0" fontId="5" fillId="8" borderId="1" xfId="0" applyFont="1" applyFill="1" applyBorder="1"/>
    <xf numFmtId="0" fontId="0" fillId="0" borderId="0" xfId="0" applyBorder="1"/>
    <xf numFmtId="0" fontId="0" fillId="0" borderId="0" xfId="0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9" fillId="6" borderId="5" xfId="0" applyFont="1" applyFill="1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0" xfId="0"/>
    <xf numFmtId="0" fontId="9" fillId="8" borderId="15" xfId="0" applyFont="1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9" fillId="6" borderId="3" xfId="0" applyFont="1" applyFill="1" applyBorder="1"/>
    <xf numFmtId="0" fontId="9" fillId="6" borderId="4" xfId="0" applyFont="1" applyFill="1" applyBorder="1"/>
    <xf numFmtId="0" fontId="0" fillId="0" borderId="0" xfId="0" applyFill="1" applyBorder="1"/>
    <xf numFmtId="0" fontId="0" fillId="0" borderId="0" xfId="0"/>
    <xf numFmtId="0" fontId="9" fillId="6" borderId="5" xfId="0" applyFont="1" applyFill="1" applyBorder="1"/>
    <xf numFmtId="0" fontId="0" fillId="0" borderId="0" xfId="0" applyFill="1"/>
    <xf numFmtId="0" fontId="9" fillId="8" borderId="15" xfId="0" applyFont="1" applyFill="1" applyBorder="1"/>
    <xf numFmtId="0" fontId="0" fillId="0" borderId="6" xfId="0" applyBorder="1"/>
    <xf numFmtId="0" fontId="0" fillId="0" borderId="0" xfId="0" applyBorder="1"/>
    <xf numFmtId="0" fontId="0" fillId="0" borderId="0" xfId="0"/>
    <xf numFmtId="0" fontId="0" fillId="0" borderId="14" xfId="0" applyBorder="1"/>
    <xf numFmtId="0" fontId="0" fillId="0" borderId="7" xfId="0" applyBorder="1"/>
    <xf numFmtId="0" fontId="9" fillId="6" borderId="3" xfId="0" applyFont="1" applyFill="1" applyBorder="1"/>
    <xf numFmtId="0" fontId="9" fillId="6" borderId="4" xfId="0" applyFont="1" applyFill="1" applyBorder="1"/>
    <xf numFmtId="0" fontId="0" fillId="0" borderId="15" xfId="0" applyBorder="1"/>
    <xf numFmtId="0" fontId="9" fillId="8" borderId="15" xfId="0" applyFont="1" applyFill="1" applyBorder="1"/>
    <xf numFmtId="0" fontId="0" fillId="0" borderId="0" xfId="0" applyFill="1"/>
    <xf numFmtId="0" fontId="9" fillId="6" borderId="5" xfId="0" applyFont="1" applyFill="1" applyBorder="1"/>
    <xf numFmtId="0" fontId="5" fillId="4" borderId="1" xfId="0" applyNumberFormat="1" applyFont="1" applyFill="1" applyBorder="1" applyAlignment="1">
      <alignment horizontal="right"/>
    </xf>
    <xf numFmtId="0" fontId="1" fillId="4" borderId="1" xfId="0" applyNumberFormat="1" applyFont="1" applyFill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9" fontId="0" fillId="0" borderId="7" xfId="0" applyNumberFormat="1" applyFont="1" applyBorder="1"/>
    <xf numFmtId="0" fontId="0" fillId="0" borderId="16" xfId="0" applyBorder="1"/>
    <xf numFmtId="0" fontId="0" fillId="3" borderId="16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9" fillId="8" borderId="3" xfId="0" applyFont="1" applyFill="1" applyBorder="1"/>
    <xf numFmtId="0" fontId="9" fillId="8" borderId="4" xfId="0" applyFont="1" applyFill="1" applyBorder="1"/>
    <xf numFmtId="0" fontId="9" fillId="8" borderId="5" xfId="0" applyFont="1" applyFill="1" applyBorder="1"/>
    <xf numFmtId="0" fontId="9" fillId="6" borderId="3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0" fillId="3" borderId="17" xfId="0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/>
    <xf numFmtId="0" fontId="9" fillId="6" borderId="3" xfId="0" applyFont="1" applyFill="1" applyBorder="1"/>
    <xf numFmtId="0" fontId="9" fillId="6" borderId="4" xfId="0" applyFont="1" applyFill="1" applyBorder="1"/>
    <xf numFmtId="0" fontId="9" fillId="6" borderId="5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9" fillId="8" borderId="15" xfId="0" applyFont="1" applyFill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0" xfId="0"/>
    <xf numFmtId="0" fontId="11" fillId="5" borderId="0" xfId="0" applyNumberFormat="1" applyFont="1" applyFill="1" applyBorder="1" applyAlignment="1">
      <alignment horizontal="left"/>
    </xf>
    <xf numFmtId="10" fontId="0" fillId="5" borderId="0" xfId="0" applyNumberFormat="1" applyFont="1" applyFill="1" applyBorder="1"/>
    <xf numFmtId="0" fontId="0" fillId="5" borderId="0" xfId="0" applyFont="1" applyFill="1" applyBorder="1"/>
    <xf numFmtId="0" fontId="0" fillId="5" borderId="9" xfId="0" applyFont="1" applyFill="1" applyBorder="1"/>
    <xf numFmtId="0" fontId="11" fillId="3" borderId="11" xfId="0" applyNumberFormat="1" applyFont="1" applyFill="1" applyBorder="1" applyAlignment="1">
      <alignment horizontal="left"/>
    </xf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0" fontId="0" fillId="5" borderId="7" xfId="0" applyFill="1" applyBorder="1" applyAlignment="1">
      <alignment horizontal="left"/>
    </xf>
    <xf numFmtId="0" fontId="11" fillId="5" borderId="7" xfId="0" applyNumberFormat="1" applyFont="1" applyFill="1" applyBorder="1" applyAlignment="1">
      <alignment horizontal="left"/>
    </xf>
    <xf numFmtId="0" fontId="0" fillId="5" borderId="7" xfId="0" applyFont="1" applyFill="1" applyBorder="1"/>
    <xf numFmtId="0" fontId="0" fillId="5" borderId="8" xfId="0" applyFont="1" applyFill="1" applyBorder="1"/>
    <xf numFmtId="0" fontId="11" fillId="3" borderId="0" xfId="0" applyNumberFormat="1" applyFont="1" applyFill="1" applyBorder="1" applyAlignment="1">
      <alignment horizontal="left"/>
    </xf>
    <xf numFmtId="10" fontId="0" fillId="3" borderId="0" xfId="0" applyNumberFormat="1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0" fillId="0" borderId="14" xfId="0" applyFill="1" applyBorder="1"/>
    <xf numFmtId="0" fontId="0" fillId="0" borderId="7" xfId="0" applyFill="1" applyBorder="1"/>
    <xf numFmtId="0" fontId="0" fillId="0" borderId="8" xfId="0" applyFill="1" applyBorder="1"/>
    <xf numFmtId="168" fontId="0" fillId="0" borderId="12" xfId="0" applyNumberFormat="1" applyBorder="1"/>
    <xf numFmtId="169" fontId="0" fillId="0" borderId="11" xfId="0" applyNumberFormat="1" applyFont="1" applyBorder="1"/>
    <xf numFmtId="169" fontId="13" fillId="10" borderId="14" xfId="0" applyNumberFormat="1" applyFont="1" applyFill="1" applyBorder="1" applyAlignment="1">
      <alignment horizontal="center" vertical="top" wrapText="1"/>
    </xf>
    <xf numFmtId="169" fontId="13" fillId="10" borderId="7" xfId="0" applyNumberFormat="1" applyFont="1" applyFill="1" applyBorder="1" applyAlignment="1">
      <alignment horizontal="center" vertical="top" wrapText="1"/>
    </xf>
    <xf numFmtId="169" fontId="13" fillId="10" borderId="8" xfId="0" applyNumberFormat="1" applyFont="1" applyFill="1" applyBorder="1" applyAlignment="1">
      <alignment horizontal="center" vertical="top" wrapText="1"/>
    </xf>
    <xf numFmtId="0" fontId="0" fillId="0" borderId="3" xfId="0" applyFill="1" applyBorder="1"/>
    <xf numFmtId="0" fontId="0" fillId="0" borderId="4" xfId="0" applyFill="1" applyBorder="1"/>
    <xf numFmtId="0" fontId="0" fillId="0" borderId="20" xfId="0" applyBorder="1"/>
    <xf numFmtId="0" fontId="0" fillId="0" borderId="21" xfId="0" applyBorder="1"/>
    <xf numFmtId="0" fontId="9" fillId="6" borderId="14" xfId="0" applyFont="1" applyFill="1" applyBorder="1"/>
    <xf numFmtId="0" fontId="9" fillId="6" borderId="7" xfId="0" applyFont="1" applyFill="1" applyBorder="1"/>
    <xf numFmtId="0" fontId="0" fillId="0" borderId="17" xfId="0" applyBorder="1"/>
    <xf numFmtId="0" fontId="0" fillId="0" borderId="15" xfId="0" applyBorder="1"/>
    <xf numFmtId="0" fontId="0" fillId="3" borderId="13" xfId="0" applyFill="1" applyBorder="1"/>
    <xf numFmtId="0" fontId="0" fillId="0" borderId="13" xfId="0" applyBorder="1"/>
    <xf numFmtId="0" fontId="0" fillId="0" borderId="18" xfId="0" applyBorder="1"/>
    <xf numFmtId="10" fontId="9" fillId="10" borderId="16" xfId="0" applyNumberFormat="1" applyFont="1" applyFill="1" applyBorder="1" applyAlignment="1">
      <alignment horizontal="center"/>
    </xf>
    <xf numFmtId="10" fontId="9" fillId="10" borderId="1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8">
    <cellStyle name="Comma" xfId="4" builtinId="3"/>
    <cellStyle name="Currency" xfId="5" builtinId="4"/>
    <cellStyle name="Normal" xfId="0" builtinId="0"/>
    <cellStyle name="Normal 2" xfId="3" xr:uid="{00000000-0005-0000-0000-000003000000}"/>
    <cellStyle name="Normal 3" xfId="1" xr:uid="{00000000-0005-0000-0000-000004000000}"/>
    <cellStyle name="Normal 4" xfId="2" xr:uid="{00000000-0005-0000-0000-000005000000}"/>
    <cellStyle name="Normal 5" xfId="7" xr:uid="{00000000-0005-0000-0000-000006000000}"/>
    <cellStyle name="Percent" xfId="6" builtinId="5"/>
  </cellStyles>
  <dxfs count="182"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D2-4192-A4DE-6CA9DEE71D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D2-4192-A4DE-6CA9DEE71D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D2-4192-A4DE-6CA9DEE71D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D2-4192-A4DE-6CA9DEE71D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D2-4192-A4DE-6CA9DEE71D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D2-4192-A4DE-6CA9DEE71D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D2-4192-A4DE-6CA9DEE71D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D2-4192-A4DE-6CA9DEE71D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D2-4192-A4DE-6CA9DEE71D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D2-4192-A4DE-6CA9DEE71D9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D2-4192-A4DE-6CA9DEE71D9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D2-4192-A4DE-6CA9DEE71D9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D2-4192-A4DE-6CA9DEE71D9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D2-4192-A4DE-6CA9DEE71D9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2D2-4192-A4DE-6CA9DEE71D9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2D2-4192-A4DE-6CA9DEE71D9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HEALTH_template_Q!$B$39:$B$54</c:f>
              <c:numCache>
                <c:formatCode>General</c:formatCode>
                <c:ptCount val="16"/>
              </c:numCache>
            </c:numRef>
          </c:cat>
          <c:val>
            <c:numRef>
              <c:f>HEALTH_template_Q!$E$39:$E$54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20-B2D2-4192-A4DE-6CA9DEE7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LIFE_template_Q!$A$231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(LIFE_template_Q!$D$230,LIFE_template_Q!$F$230,LIFE_template_Q!$H$230,LIFE_template_Q!$J$230)</c:f>
              <c:numCache>
                <c:formatCode>General</c:formatCode>
                <c:ptCount val="4"/>
              </c:numCache>
            </c:numRef>
          </c:cat>
          <c:val>
            <c:numRef>
              <c:f>(LIFE_template_Q!$D$231,LIFE_template_Q!$F$231,LIFE_template_Q!$H$231,LIFE_template_Q!$J$231)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69-4697-B7D9-DE811D9B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LIFE_template_Q!$A$232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(LIFE_template_Q!$D$230,LIFE_template_Q!$F$230,LIFE_template_Q!$H$230,LIFE_template_Q!$J$230)</c:f>
              <c:numCache>
                <c:formatCode>General</c:formatCode>
                <c:ptCount val="4"/>
              </c:numCache>
            </c:numRef>
          </c:cat>
          <c:val>
            <c:numRef>
              <c:f>(LIFE_template_Q!$D$232,LIFE_template_Q!$F$232,LIFE_template_Q!$H$232,LIFE_template_Q!$J$232)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D2C-4004-8A86-0CF39260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LIFE_template_Q!$A$107:$C$107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(LIFE_template_Q!$D$230,LIFE_template_Q!$F$230,LIFE_template_Q!$H$230,LIFE_template_Q!$J$230)</c:f>
              <c:numCache>
                <c:formatCode>General</c:formatCode>
                <c:ptCount val="4"/>
              </c:numCache>
            </c:numRef>
          </c:cat>
          <c:val>
            <c:numRef>
              <c:f>(LIFE_template_Q!$D$107,LIFE_template_Q!$F$107,LIFE_template_Q!$H$107,LIFE_template_Q!$J$107)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4AE-4501-AA53-906426FA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LIFE_template_Q!$A$118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(LIFE_template_Q!$D$100,LIFE_template_Q!$F$100,LIFE_template_Q!$H$100)</c:f>
              <c:numCache>
                <c:formatCode>General</c:formatCode>
                <c:ptCount val="3"/>
              </c:numCache>
            </c:numRef>
          </c:cat>
          <c:val>
            <c:numRef>
              <c:f>(LIFE_template_Q!$D$118,LIFE_template_Q!$F$118,LIFE_template_Q!$H$118)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C40-4AC9-9721-554283F5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LIFE_template_Q!$A$111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>
                  <a:alpha val="97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(LIFE_template_Q!$D$100,LIFE_template_Q!$F$100,LIFE_template_Q!$H$100)</c:f>
              <c:numCache>
                <c:formatCode>General</c:formatCode>
                <c:ptCount val="3"/>
              </c:numCache>
            </c:numRef>
          </c:cat>
          <c:val>
            <c:numRef>
              <c:f>(LIFE_template_Q!$D$111,LIFE_template_Q!$F$111,LIFE_template_Q!$H$111,LIFE_template_Q!$J$111)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6EC-48F3-AA63-B9EAEDA57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LIFE_template_Q!$A$115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(LIFE_template_Q!$D$100,LIFE_template_Q!$F$100,LIFE_template_Q!$H$100)</c:f>
              <c:numCache>
                <c:formatCode>General</c:formatCode>
                <c:ptCount val="3"/>
              </c:numCache>
            </c:numRef>
          </c:cat>
          <c:val>
            <c:numRef>
              <c:f>(LIFE_template_Q!$D$115,LIFE_template_Q!$F$115,LIFE_template_Q!$H$115)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1A6-4435-8C8D-C5DEDE0A0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LIFE_template_Q!$A$158:$A$179</c:f>
              <c:numCache>
                <c:formatCode>General</c:formatCode>
                <c:ptCount val="22"/>
              </c:numCache>
            </c:numRef>
          </c:cat>
          <c:val>
            <c:numRef>
              <c:f>LIFE_template_Q!$D$158:$D$179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6753-466D-9822-2150655A2C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LIFE_template_Q!$A$158:$A$179</c:f>
              <c:numCache>
                <c:formatCode>General</c:formatCode>
                <c:ptCount val="22"/>
              </c:numCache>
            </c:numRef>
          </c:cat>
          <c:val>
            <c:numRef>
              <c:f>(LIFE_template_Q!$C$158:$C$179,LIFE_template_Q!$C$181)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6753-466D-9822-2150655A2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7-4B28-B6BB-8EE5E5A81F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87-4B28-B6BB-8EE5E5A81F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87-4B28-B6BB-8EE5E5A81F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87-4B28-B6BB-8EE5E5A81F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87-4B28-B6BB-8EE5E5A81F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87-4B28-B6BB-8EE5E5A81F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87-4B28-B6BB-8EE5E5A81F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87-4B28-B6BB-8EE5E5A81F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87-4B28-B6BB-8EE5E5A81F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87-4B28-B6BB-8EE5E5A81F9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87-4B28-B6BB-8EE5E5A81F9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987-4B28-B6BB-8EE5E5A81F9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987-4B28-B6BB-8EE5E5A81F9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987-4B28-B6BB-8EE5E5A81F9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987-4B28-B6BB-8EE5E5A81F9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987-4B28-B6BB-8EE5E5A81F9C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PC_template_Q!$B$39:$B$54</c:f>
              <c:numCache>
                <c:formatCode>General</c:formatCode>
                <c:ptCount val="16"/>
              </c:numCache>
            </c:numRef>
          </c:cat>
          <c:val>
            <c:numRef>
              <c:f>PC_template_Q!$E$39:$E$54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20-F987-4B28-B6BB-8EE5E5A81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PC_template_Q!$A$231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(PC_template_Q!$D$230,PC_template_Q!$F$230,PC_template_Q!$H$230,PC_template_Q!$J$230)</c:f>
              <c:numCache>
                <c:formatCode>General</c:formatCode>
                <c:ptCount val="4"/>
              </c:numCache>
            </c:numRef>
          </c:cat>
          <c:val>
            <c:numRef>
              <c:f>(PC_template_Q!$D$231,PC_template_Q!$F$231,PC_template_Q!$H$231,PC_template_Q!$J$231)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952-4ACF-9BF8-672033F5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PC_template_Q!$A$232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(PC_template_Q!$D$230,PC_template_Q!$F$230,PC_template_Q!$H$230,PC_template_Q!$J$230)</c:f>
              <c:numCache>
                <c:formatCode>General</c:formatCode>
                <c:ptCount val="4"/>
              </c:numCache>
            </c:numRef>
          </c:cat>
          <c:val>
            <c:numRef>
              <c:f>(PC_template_Q!$D$232,PC_template_Q!$F$232,PC_template_Q!$H$232,PC_template_Q!$J$232)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409-4BFA-922E-FCEE4BD0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HEALTH_template_Q!$A$231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(HEALTH_template_Q!$D$230,HEALTH_template_Q!$F$230,HEALTH_template_Q!$H$230,HEALTH_template_Q!$J$230)</c:f>
              <c:numCache>
                <c:formatCode>General</c:formatCode>
                <c:ptCount val="4"/>
              </c:numCache>
            </c:numRef>
          </c:cat>
          <c:val>
            <c:numRef>
              <c:f>(HEALTH_template_Q!$D$231,HEALTH_template_Q!$F$231,HEALTH_template_Q!$H$231,HEALTH_template_Q!$J$231)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C78-481E-BE9A-00C12AFF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PC_template_Q!$A$246:$C$246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(PC_template_Q!$D$230,PC_template_Q!$F$230,PC_template_Q!$H$230,PC_template_Q!$J$230)</c:f>
              <c:numCache>
                <c:formatCode>General</c:formatCode>
                <c:ptCount val="4"/>
              </c:numCache>
            </c:numRef>
          </c:cat>
          <c:val>
            <c:numRef>
              <c:f>(PC_template_Q!$D$246,PC_template_Q!$F$246,PC_template_Q!$H$246,PC_template_Q!$J$246)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B72-400E-8607-CE5DF0CB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PC_template_Q!$A$118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(PC_template_Q!$D$100,PC_template_Q!$F$100,PC_template_Q!$H$100)</c:f>
              <c:numCache>
                <c:formatCode>General</c:formatCode>
                <c:ptCount val="3"/>
              </c:numCache>
            </c:numRef>
          </c:cat>
          <c:val>
            <c:numRef>
              <c:f>(PC_template_Q!$D$118,PC_template_Q!$F$118,PC_template_Q!$H$118)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4DF-4984-AB03-E24121A1CC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PC_template_Q!$A$111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(PC_template_Q!$D$100,PC_template_Q!$F$100,PC_template_Q!$H$100,PC_template_Q!$J$100)</c:f>
              <c:numCache>
                <c:formatCode>General</c:formatCode>
                <c:ptCount val="4"/>
              </c:numCache>
            </c:numRef>
          </c:cat>
          <c:val>
            <c:numRef>
              <c:f>(PC_template_Q!$D$111,PC_template_Q!$F$111,PC_template_Q!$H$111,PC_template_Q!$J$111)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779-43CA-888B-A0D207C47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PC_template_Q!$A$115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(PC_template_Q!$D$100,PC_template_Q!$F$100,PC_template_Q!$H$100)</c:f>
              <c:numCache>
                <c:formatCode>General</c:formatCode>
                <c:ptCount val="3"/>
              </c:numCache>
            </c:numRef>
          </c:cat>
          <c:val>
            <c:numRef>
              <c:f>(PC_template_Q!$D$115,PC_template_Q!$F$115,PC_template_Q!$H$115)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4DF-4F4D-B416-8D07EE7FF0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PC_template_Q!$A$158:$A$179</c:f>
              <c:numCache>
                <c:formatCode>General</c:formatCode>
                <c:ptCount val="22"/>
              </c:numCache>
            </c:numRef>
          </c:cat>
          <c:val>
            <c:numRef>
              <c:f>PC_template_Q!$D$158:$D$179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DB4A-44A3-A8F8-A3807E27C6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PC_template_Q!$A$158:$A$179</c:f>
              <c:numCache>
                <c:formatCode>General</c:formatCode>
                <c:ptCount val="22"/>
              </c:numCache>
            </c:numRef>
          </c:cat>
          <c:val>
            <c:numRef>
              <c:f>(PC_template_Q!$C$158:$C$179,PC_template_Q!$C$181)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DB4A-44A3-A8F8-A3807E27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HEALTH_template!$B$39:$B$54</c:f>
              <c:numCache>
                <c:formatCode>General</c:formatCode>
                <c:ptCount val="16"/>
              </c:numCache>
            </c:num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(HEALTH_template!$D$231,HEALTH_template!$F$231,HEALTH_template!$H$231,HEALTH_template!$J$231)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(HEALTH_template!$D$232,HEALTH_template!$F$232,HEALTH_template!$H$232,HEALTH_template!$J$232)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HEALTH_template!$A$114:$C$114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(HEALTH_template!$D$114,HEALTH_template!$F$114,HEALTH_template!$H$114,HEALTH_template!$J$114)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</c:numCache>
            </c:numRef>
          </c:cat>
          <c:val>
            <c:numRef>
              <c:f>(HEALTH_template!$D$118,HEALTH_template!$F$118,HEALTH_template!$H$118)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HEALTH_template_Q!$A$232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(HEALTH_template_Q!$D$230,HEALTH_template_Q!$F$230,HEALTH_template_Q!$H$230,HEALTH_template_Q!$J$230)</c:f>
              <c:numCache>
                <c:formatCode>General</c:formatCode>
                <c:ptCount val="4"/>
              </c:numCache>
            </c:numRef>
          </c:cat>
          <c:val>
            <c:numRef>
              <c:f>(HEALTH_template_Q!$D$232,HEALTH_template_Q!$F$232,HEALTH_template_Q!$H$232,HEALTH_template_Q!$J$232)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EDC-49F0-9B37-1068631D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</c:numCache>
            </c:numRef>
          </c:cat>
          <c:val>
            <c:numRef>
              <c:f>(HEALTH_template!$D$111,HEALTH_template!$F$111,HEALTH_template!$H$111,HEALTH_template!$J$111)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</c:numCache>
            </c:numRef>
          </c:cat>
          <c:val>
            <c:numRef>
              <c:f>(HEALTH_template!$D$115,HEALTH_template!$F$115,HEALTH_template!$H$115)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HEALTH_template!$A$158:$A$179</c:f>
              <c:numCache>
                <c:formatCode>General</c:formatCode>
                <c:ptCount val="22"/>
              </c:numCache>
            </c:numRef>
          </c:cat>
          <c:val>
            <c:numRef>
              <c:f>HEALTH_template!$D$158:$D$179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HEALTH_template!$A$158:$A$179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(HEALTH_template!$C$158:$C$179,HEALTH_template!$C$181)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LIFE_template!$B$39:$B$54</c:f>
              <c:numCache>
                <c:formatCode>General</c:formatCode>
                <c:ptCount val="16"/>
              </c:numCache>
            </c:num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(LIFE_template!$D$231,LIFE_template!$F$231,LIFE_template!$H$231,LIFE_template!$J$231)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(LIFE_template!$D$232,LIFE_template!$F$232,LIFE_template!$H$232,LIFE_template!$J$232)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(LIFE_template!$D$118,LIFE_template!$F$118,LIFE_template!$H$118)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>
                  <a:alpha val="97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(LIFE_template!$D$111,LIFE_template!$F$111,LIFE_template!$H$111,LIFE_template!$J$111)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A5A-490F-B9CE-9B0440BD4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(LIFE_template!$D$115,LIFE_template!$F$115,LIFE_template!$H$115)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HEALTH_template_Q!$A$114:$C$114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(HEALTH_template_Q!$D$230,HEALTH_template_Q!$F$230,HEALTH_template_Q!$H$230,HEALTH_template_Q!$J$230)</c:f>
              <c:numCache>
                <c:formatCode>General</c:formatCode>
                <c:ptCount val="4"/>
              </c:numCache>
            </c:numRef>
          </c:cat>
          <c:val>
            <c:numRef>
              <c:f>(HEALTH_template_Q!$D$114,HEALTH_template_Q!$F$114,HEALTH_template_Q!$H$114,HEALTH_template_Q!$J$114)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1B9-4D5B-A9EE-27926D34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LIFE_template!$A$158:$A$179</c:f>
              <c:numCache>
                <c:formatCode>General</c:formatCode>
                <c:ptCount val="22"/>
              </c:numCache>
            </c:numRef>
          </c:cat>
          <c:val>
            <c:numRef>
              <c:f>LIFE_template!$D$158:$D$179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LIFE_template!$A$158:$A$179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(LIFE_template!$C$158:$C$179,LIFE_template!$C$181)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PC_template!$B$39:$B$54</c:f>
              <c:numCache>
                <c:formatCode>General</c:formatCode>
                <c:ptCount val="16"/>
              </c:numCache>
            </c:num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(PC_template!$D$231,PC_template!$F$231,PC_template!$H$231,PC_template!$J$231)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(PC_template!$D$232,PC_template!$F$232,PC_template!$H$232,PC_template!$J$232)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PC_template!$A$246:$C$246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(PC_template!$D$246,PC_template!$F$246,PC_template!$H$246,PC_template!$J$246)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</c:numCache>
            </c:numRef>
          </c:cat>
          <c:val>
            <c:numRef>
              <c:f>(PC_template!$D$118,PC_template!$F$118,PC_template!$H$118)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(PC_template!$D$100,PC_template!$F$100,PC_template!$H$100,PC_template!$J$100)</c:f>
              <c:numCache>
                <c:formatCode>General</c:formatCode>
                <c:ptCount val="4"/>
              </c:numCache>
            </c:numRef>
          </c:cat>
          <c:val>
            <c:numRef>
              <c:f>(PC_template!$D$111,PC_template!$F$111,PC_template!$H$111,PC_template!$J$111)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</c:numCache>
            </c:numRef>
          </c:cat>
          <c:val>
            <c:numRef>
              <c:f>(PC_template!$D$115,PC_template!$F$115,PC_template!$H$115)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PC_template!$A$158:$A$179</c:f>
              <c:numCache>
                <c:formatCode>General</c:formatCode>
                <c:ptCount val="22"/>
              </c:numCache>
            </c:numRef>
          </c:cat>
          <c:val>
            <c:numRef>
              <c:f>PC_template!$D$158:$D$179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PC_template!$A$158:$A$179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(PC_template!$C$158:$C$179,PC_template!$C$181)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HEALTH_template_Q!$A$118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(HEALTH_template_Q!$D$100,HEALTH_template_Q!$F$100,HEALTH_template_Q!$H$100)</c:f>
              <c:numCache>
                <c:formatCode>General</c:formatCode>
                <c:ptCount val="3"/>
              </c:numCache>
            </c:numRef>
          </c:cat>
          <c:val>
            <c:numRef>
              <c:f>(HEALTH_template_Q!$D$118,HEALTH_template_Q!$F$118,HEALTH_template_Q!$H$118)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AE1-4842-91F5-E841E86C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HEALTH_template_Q!$A$111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(HEALTH_template_Q!$D$100,HEALTH_template_Q!$F$100,HEALTH_template_Q!$H$100,HEALTH_template_Q!$J$100)</c:f>
              <c:numCache>
                <c:formatCode>General</c:formatCode>
                <c:ptCount val="4"/>
              </c:numCache>
            </c:numRef>
          </c:cat>
          <c:val>
            <c:numRef>
              <c:f>(HEALTH_template_Q!$D$111,HEALTH_template_Q!$F$111,HEALTH_template_Q!$H$111,HEALTH_template_Q!$J$111)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031-417E-A4E6-78F49BC2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HEALTH_template_Q!$A$115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(HEALTH_template_Q!$D$100,HEALTH_template_Q!$F$100,HEALTH_template_Q!$H$100)</c:f>
              <c:numCache>
                <c:formatCode>General</c:formatCode>
                <c:ptCount val="3"/>
              </c:numCache>
            </c:numRef>
          </c:cat>
          <c:val>
            <c:numRef>
              <c:f>(HEALTH_template_Q!$D$115,HEALTH_template_Q!$F$115,HEALTH_template_Q!$H$115)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2D0-4D05-AAA5-EE56E37C4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HEALTH_template_Q!$A$158:$A$179</c:f>
              <c:numCache>
                <c:formatCode>General</c:formatCode>
                <c:ptCount val="22"/>
              </c:numCache>
            </c:numRef>
          </c:cat>
          <c:val>
            <c:numRef>
              <c:f>HEALTH_template_Q!$D$158:$D$179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3535-4D67-8D36-7106C211EE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HEALTH_template_Q!$A$158:$A$179</c:f>
              <c:numCache>
                <c:formatCode>General</c:formatCode>
                <c:ptCount val="22"/>
              </c:numCache>
            </c:numRef>
          </c:cat>
          <c:val>
            <c:numRef>
              <c:f>(HEALTH_template_Q!$C$158:$C$179,HEALTH_template_Q!$C$181)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3535-4D67-8D36-7106C21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F8-49A6-9507-ED3AAE03A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F8-49A6-9507-ED3AAE03A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F8-49A6-9507-ED3AAE03A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F8-49A6-9507-ED3AAE03AA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F8-49A6-9507-ED3AAE03AA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F8-49A6-9507-ED3AAE03AA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F8-49A6-9507-ED3AAE03AA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F8-49A6-9507-ED3AAE03AA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F8-49A6-9507-ED3AAE03AA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F8-49A6-9507-ED3AAE03AA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F8-49A6-9507-ED3AAE03AA9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F8-49A6-9507-ED3AAE03AA9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F8-49A6-9507-ED3AAE03AA9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EF8-49A6-9507-ED3AAE03AA9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EF8-49A6-9507-ED3AAE03AA9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EF8-49A6-9507-ED3AAE03AA9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LIFE_template_Q!$B$39:$B$54</c:f>
              <c:numCache>
                <c:formatCode>General</c:formatCode>
                <c:ptCount val="16"/>
              </c:numCache>
            </c:numRef>
          </c:cat>
          <c:val>
            <c:numRef>
              <c:f>LIFE_template_Q!$E$39:$E$54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20-8EF8-49A6-9507-ED3AAE03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image" Target="../media/image1.jpeg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image" Target="../media/image1.jpeg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image" Target="../media/image1.jpeg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5B793DFE-AE4E-44B5-BFAB-42B543A35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A7D8F-8EC5-4CF0-9794-C8B5709A3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16933</xdr:rowOff>
    </xdr:from>
    <xdr:to>
      <xdr:col>2</xdr:col>
      <xdr:colOff>2406789</xdr:colOff>
      <xdr:row>227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616C7-5D60-4C06-938A-41CE3E153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16933</xdr:rowOff>
    </xdr:from>
    <xdr:to>
      <xdr:col>6</xdr:col>
      <xdr:colOff>590337</xdr:colOff>
      <xdr:row>227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82584-45A7-4781-9B9E-941E622B2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214</xdr:row>
      <xdr:rowOff>16933</xdr:rowOff>
    </xdr:from>
    <xdr:to>
      <xdr:col>11</xdr:col>
      <xdr:colOff>1552</xdr:colOff>
      <xdr:row>227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14884-1BE2-40AA-B7C3-21D0AE751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82</xdr:row>
      <xdr:rowOff>17638</xdr:rowOff>
    </xdr:from>
    <xdr:to>
      <xdr:col>6</xdr:col>
      <xdr:colOff>588220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5F6B15-6BB6-40AA-8E32-DA25D685B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82</xdr:row>
      <xdr:rowOff>17638</xdr:rowOff>
    </xdr:from>
    <xdr:to>
      <xdr:col>2</xdr:col>
      <xdr:colOff>2404673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FABF36-1168-478C-82DA-358C57E58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82</xdr:row>
      <xdr:rowOff>17638</xdr:rowOff>
    </xdr:from>
    <xdr:to>
      <xdr:col>10</xdr:col>
      <xdr:colOff>909600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A87552-492C-4BB3-A03F-6DA3B668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8CAA7B-6A1F-4489-8CE9-CD396929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A8A2170B-BBB0-4293-BE0E-185AF83AF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E604B-E629-415B-89A4-5DE5DE0A4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27517</xdr:rowOff>
    </xdr:from>
    <xdr:to>
      <xdr:col>2</xdr:col>
      <xdr:colOff>2406789</xdr:colOff>
      <xdr:row>227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9E6A3-DF2D-498A-A5FB-5ED2AFA5A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27517</xdr:rowOff>
    </xdr:from>
    <xdr:to>
      <xdr:col>6</xdr:col>
      <xdr:colOff>590337</xdr:colOff>
      <xdr:row>227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FA61EE-DDBD-4FAD-8D68-949B36680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214</xdr:row>
      <xdr:rowOff>27517</xdr:rowOff>
    </xdr:from>
    <xdr:to>
      <xdr:col>11</xdr:col>
      <xdr:colOff>1551</xdr:colOff>
      <xdr:row>227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993265-07E4-4086-801C-75802DCC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82</xdr:row>
      <xdr:rowOff>17638</xdr:rowOff>
    </xdr:from>
    <xdr:to>
      <xdr:col>6</xdr:col>
      <xdr:colOff>598803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49FAD-2E17-4A45-9E5E-4C8FAA380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82</xdr:row>
      <xdr:rowOff>17638</xdr:rowOff>
    </xdr:from>
    <xdr:to>
      <xdr:col>2</xdr:col>
      <xdr:colOff>2425840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3E1AB9-65E1-4936-89CD-45D68CEF4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82</xdr:row>
      <xdr:rowOff>17638</xdr:rowOff>
    </xdr:from>
    <xdr:to>
      <xdr:col>10</xdr:col>
      <xdr:colOff>909599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9D3F03-4342-40A6-822F-4231587ED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FB62E5-F777-48F0-A1CF-62BEEB25B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3C15A5B0-E514-4CB0-90CA-244CAF22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732949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442DF-2B9F-4AF9-ADC8-B2C1AA3D2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214</xdr:row>
      <xdr:rowOff>7849</xdr:rowOff>
    </xdr:from>
    <xdr:to>
      <xdr:col>2</xdr:col>
      <xdr:colOff>2423637</xdr:colOff>
      <xdr:row>227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CBFF03-8F0D-4571-849B-000FE98C6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214</xdr:row>
      <xdr:rowOff>7849</xdr:rowOff>
    </xdr:from>
    <xdr:to>
      <xdr:col>6</xdr:col>
      <xdr:colOff>607185</xdr:colOff>
      <xdr:row>227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EAC83C-43B4-4F01-AE87-BD3AFA66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214</xdr:row>
      <xdr:rowOff>7849</xdr:rowOff>
    </xdr:from>
    <xdr:to>
      <xdr:col>11</xdr:col>
      <xdr:colOff>5170</xdr:colOff>
      <xdr:row>227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773A6-09D4-4F8B-A221-EFC709678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82</xdr:row>
      <xdr:rowOff>27604</xdr:rowOff>
    </xdr:from>
    <xdr:to>
      <xdr:col>6</xdr:col>
      <xdr:colOff>611021</xdr:colOff>
      <xdr:row>95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EBBE-69F9-4C34-9C2E-E1622FCD8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82</xdr:row>
      <xdr:rowOff>27604</xdr:rowOff>
    </xdr:from>
    <xdr:to>
      <xdr:col>2</xdr:col>
      <xdr:colOff>2429810</xdr:colOff>
      <xdr:row>95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48E5F-4776-4311-B03F-4DE345A2C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82</xdr:row>
      <xdr:rowOff>27604</xdr:rowOff>
    </xdr:from>
    <xdr:to>
      <xdr:col>11</xdr:col>
      <xdr:colOff>6669</xdr:colOff>
      <xdr:row>95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C7B64F-C93C-42ED-8F86-FBF320E49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290513</xdr:colOff>
      <xdr:row>8</xdr:row>
      <xdr:rowOff>190499</xdr:rowOff>
    </xdr:from>
    <xdr:to>
      <xdr:col>11</xdr:col>
      <xdr:colOff>1906</xdr:colOff>
      <xdr:row>34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C0AECD-7BE8-4126-98DE-0BF433633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16933</xdr:rowOff>
    </xdr:from>
    <xdr:to>
      <xdr:col>2</xdr:col>
      <xdr:colOff>2406789</xdr:colOff>
      <xdr:row>227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16933</xdr:rowOff>
    </xdr:from>
    <xdr:to>
      <xdr:col>6</xdr:col>
      <xdr:colOff>590337</xdr:colOff>
      <xdr:row>227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214</xdr:row>
      <xdr:rowOff>16933</xdr:rowOff>
    </xdr:from>
    <xdr:to>
      <xdr:col>11</xdr:col>
      <xdr:colOff>1552</xdr:colOff>
      <xdr:row>227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82</xdr:row>
      <xdr:rowOff>17638</xdr:rowOff>
    </xdr:from>
    <xdr:to>
      <xdr:col>6</xdr:col>
      <xdr:colOff>588220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82</xdr:row>
      <xdr:rowOff>17638</xdr:rowOff>
    </xdr:from>
    <xdr:to>
      <xdr:col>2</xdr:col>
      <xdr:colOff>2404673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82</xdr:row>
      <xdr:rowOff>17638</xdr:rowOff>
    </xdr:from>
    <xdr:to>
      <xdr:col>10</xdr:col>
      <xdr:colOff>909600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27517</xdr:rowOff>
    </xdr:from>
    <xdr:to>
      <xdr:col>2</xdr:col>
      <xdr:colOff>2406789</xdr:colOff>
      <xdr:row>227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27517</xdr:rowOff>
    </xdr:from>
    <xdr:to>
      <xdr:col>6</xdr:col>
      <xdr:colOff>590337</xdr:colOff>
      <xdr:row>227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214</xdr:row>
      <xdr:rowOff>27517</xdr:rowOff>
    </xdr:from>
    <xdr:to>
      <xdr:col>11</xdr:col>
      <xdr:colOff>1551</xdr:colOff>
      <xdr:row>227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82</xdr:row>
      <xdr:rowOff>17638</xdr:rowOff>
    </xdr:from>
    <xdr:to>
      <xdr:col>6</xdr:col>
      <xdr:colOff>598803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82</xdr:row>
      <xdr:rowOff>17638</xdr:rowOff>
    </xdr:from>
    <xdr:to>
      <xdr:col>2</xdr:col>
      <xdr:colOff>2425840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82</xdr:row>
      <xdr:rowOff>17638</xdr:rowOff>
    </xdr:from>
    <xdr:to>
      <xdr:col>10</xdr:col>
      <xdr:colOff>909599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732949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214</xdr:row>
      <xdr:rowOff>7849</xdr:rowOff>
    </xdr:from>
    <xdr:to>
      <xdr:col>2</xdr:col>
      <xdr:colOff>2423637</xdr:colOff>
      <xdr:row>227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214</xdr:row>
      <xdr:rowOff>7849</xdr:rowOff>
    </xdr:from>
    <xdr:to>
      <xdr:col>6</xdr:col>
      <xdr:colOff>607185</xdr:colOff>
      <xdr:row>227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214</xdr:row>
      <xdr:rowOff>7849</xdr:rowOff>
    </xdr:from>
    <xdr:to>
      <xdr:col>11</xdr:col>
      <xdr:colOff>5170</xdr:colOff>
      <xdr:row>227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82</xdr:row>
      <xdr:rowOff>27604</xdr:rowOff>
    </xdr:from>
    <xdr:to>
      <xdr:col>6</xdr:col>
      <xdr:colOff>611021</xdr:colOff>
      <xdr:row>95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82</xdr:row>
      <xdr:rowOff>27604</xdr:rowOff>
    </xdr:from>
    <xdr:to>
      <xdr:col>2</xdr:col>
      <xdr:colOff>2429810</xdr:colOff>
      <xdr:row>95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82</xdr:row>
      <xdr:rowOff>27604</xdr:rowOff>
    </xdr:from>
    <xdr:to>
      <xdr:col>11</xdr:col>
      <xdr:colOff>6669</xdr:colOff>
      <xdr:row>95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290513</xdr:colOff>
      <xdr:row>8</xdr:row>
      <xdr:rowOff>190499</xdr:rowOff>
    </xdr:from>
    <xdr:to>
      <xdr:col>11</xdr:col>
      <xdr:colOff>1906</xdr:colOff>
      <xdr:row>34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8304-ACEB-4728-9F5D-36E1EA1D6B4E}">
  <sheetPr>
    <pageSetUpPr fitToPage="1"/>
  </sheetPr>
  <dimension ref="A1:T246"/>
  <sheetViews>
    <sheetView topLeftCell="A16" zoomScale="80" zoomScaleNormal="80" zoomScalePageLayoutView="90" workbookViewId="0">
      <selection activeCell="F59" sqref="F59"/>
    </sheetView>
  </sheetViews>
  <sheetFormatPr defaultColWidth="8.85546875" defaultRowHeight="15" x14ac:dyDescent="0.25"/>
  <cols>
    <col min="1" max="2" width="10.7109375" style="431" customWidth="1"/>
    <col min="3" max="3" width="45.7109375" style="431" customWidth="1"/>
    <col min="4" max="4" width="13.7109375" style="431" customWidth="1"/>
    <col min="5" max="5" width="13.7109375" style="103" customWidth="1"/>
    <col min="6" max="6" width="13.7109375" style="431" customWidth="1"/>
    <col min="7" max="7" width="13.7109375" style="103" customWidth="1"/>
    <col min="8" max="8" width="13.7109375" style="431" customWidth="1"/>
    <col min="9" max="9" width="13.7109375" style="103" customWidth="1"/>
    <col min="10" max="10" width="13.7109375" style="431" customWidth="1"/>
    <col min="11" max="11" width="13.7109375" style="103" customWidth="1"/>
    <col min="12" max="16" width="10.7109375" style="431" customWidth="1"/>
    <col min="17" max="16384" width="8.85546875" style="431"/>
  </cols>
  <sheetData>
    <row r="1" spans="1:11" x14ac:dyDescent="0.25">
      <c r="A1" s="132"/>
      <c r="B1" s="132"/>
      <c r="C1" s="132"/>
    </row>
    <row r="3" spans="1:11" x14ac:dyDescent="0.25">
      <c r="A3" s="460" t="s">
        <v>1860</v>
      </c>
      <c r="B3" s="461"/>
      <c r="C3" s="461"/>
      <c r="D3" s="461"/>
      <c r="E3" s="461"/>
      <c r="F3" s="461"/>
      <c r="G3" s="461"/>
      <c r="H3" s="461"/>
      <c r="I3" s="461"/>
      <c r="J3" s="461"/>
      <c r="K3" s="462"/>
    </row>
    <row r="4" spans="1:11" x14ac:dyDescent="0.25">
      <c r="A4" s="127" t="s">
        <v>1861</v>
      </c>
      <c r="B4" s="502"/>
      <c r="C4" s="502"/>
      <c r="D4" s="502"/>
      <c r="E4" s="191" t="s">
        <v>2411</v>
      </c>
      <c r="F4" s="503"/>
      <c r="G4" s="503"/>
      <c r="H4" s="503"/>
      <c r="I4" s="131" t="s">
        <v>1881</v>
      </c>
      <c r="J4" s="504"/>
      <c r="K4" s="505"/>
    </row>
    <row r="5" spans="1:11" x14ac:dyDescent="0.25">
      <c r="A5" s="128" t="s">
        <v>1862</v>
      </c>
      <c r="B5" s="506"/>
      <c r="C5" s="506"/>
      <c r="D5" s="506"/>
      <c r="E5" s="192" t="s">
        <v>2412</v>
      </c>
      <c r="F5" s="507"/>
      <c r="G5" s="507"/>
      <c r="H5" s="507"/>
      <c r="I5" s="195" t="s">
        <v>1881</v>
      </c>
      <c r="J5" s="508"/>
      <c r="K5" s="509"/>
    </row>
    <row r="6" spans="1:11" x14ac:dyDescent="0.25">
      <c r="A6" s="127" t="s">
        <v>1863</v>
      </c>
      <c r="B6" s="495"/>
      <c r="C6" s="495"/>
      <c r="D6" s="495"/>
      <c r="E6" s="193" t="s">
        <v>2413</v>
      </c>
      <c r="F6" s="496"/>
      <c r="G6" s="496"/>
      <c r="H6" s="496"/>
      <c r="I6" s="131" t="s">
        <v>1881</v>
      </c>
      <c r="J6" s="497"/>
      <c r="K6" s="498"/>
    </row>
    <row r="7" spans="1:11" x14ac:dyDescent="0.25">
      <c r="A7" s="124" t="s">
        <v>1864</v>
      </c>
      <c r="B7" s="499"/>
      <c r="C7" s="499"/>
      <c r="D7" s="499"/>
      <c r="E7" s="194" t="s">
        <v>2414</v>
      </c>
      <c r="F7" s="500"/>
      <c r="G7" s="500"/>
      <c r="H7" s="500"/>
      <c r="I7" s="123"/>
      <c r="J7" s="500"/>
      <c r="K7" s="501"/>
    </row>
    <row r="8" spans="1:11" x14ac:dyDescent="0.25">
      <c r="A8" s="494"/>
      <c r="B8" s="494"/>
      <c r="C8" s="494"/>
    </row>
    <row r="9" spans="1:11" x14ac:dyDescent="0.25">
      <c r="G9" s="431"/>
      <c r="I9" s="431"/>
      <c r="K9" s="431"/>
    </row>
    <row r="10" spans="1:11" x14ac:dyDescent="0.25">
      <c r="G10" s="431"/>
      <c r="I10" s="431"/>
      <c r="K10" s="431"/>
    </row>
    <row r="11" spans="1:11" x14ac:dyDescent="0.25">
      <c r="G11" s="431"/>
      <c r="I11" s="431"/>
      <c r="K11" s="431"/>
    </row>
    <row r="12" spans="1:11" x14ac:dyDescent="0.25">
      <c r="G12" s="431"/>
      <c r="I12" s="431"/>
      <c r="K12" s="431"/>
    </row>
    <row r="13" spans="1:11" x14ac:dyDescent="0.25">
      <c r="G13" s="431"/>
      <c r="I13" s="431"/>
      <c r="K13" s="431"/>
    </row>
    <row r="14" spans="1:11" x14ac:dyDescent="0.25">
      <c r="G14" s="431"/>
      <c r="I14" s="431"/>
      <c r="K14" s="431"/>
    </row>
    <row r="15" spans="1:11" x14ac:dyDescent="0.25">
      <c r="G15" s="431"/>
      <c r="I15" s="431"/>
      <c r="K15" s="431"/>
    </row>
    <row r="16" spans="1:11" x14ac:dyDescent="0.25">
      <c r="G16" s="431"/>
      <c r="I16" s="431"/>
      <c r="K16" s="431"/>
    </row>
    <row r="17" spans="7:11" x14ac:dyDescent="0.25">
      <c r="G17" s="431"/>
      <c r="I17" s="431"/>
      <c r="K17" s="431"/>
    </row>
    <row r="18" spans="7:11" x14ac:dyDescent="0.25">
      <c r="G18" s="431"/>
      <c r="I18" s="431"/>
      <c r="K18" s="431"/>
    </row>
    <row r="19" spans="7:11" x14ac:dyDescent="0.25">
      <c r="G19" s="431"/>
      <c r="I19" s="431"/>
      <c r="K19" s="431"/>
    </row>
    <row r="20" spans="7:11" x14ac:dyDescent="0.25">
      <c r="G20" s="431"/>
      <c r="I20" s="431"/>
      <c r="K20" s="431"/>
    </row>
    <row r="21" spans="7:11" x14ac:dyDescent="0.25">
      <c r="G21" s="431"/>
      <c r="I21" s="431"/>
      <c r="K21" s="431"/>
    </row>
    <row r="22" spans="7:11" x14ac:dyDescent="0.25">
      <c r="G22" s="431"/>
      <c r="I22" s="431"/>
      <c r="K22" s="431"/>
    </row>
    <row r="23" spans="7:11" x14ac:dyDescent="0.25">
      <c r="G23" s="431"/>
      <c r="I23" s="431"/>
      <c r="K23" s="431"/>
    </row>
    <row r="24" spans="7:11" x14ac:dyDescent="0.25">
      <c r="G24" s="431"/>
      <c r="I24" s="431"/>
      <c r="K24" s="431"/>
    </row>
    <row r="25" spans="7:11" x14ac:dyDescent="0.25">
      <c r="G25" s="431"/>
      <c r="I25" s="431"/>
      <c r="K25" s="431"/>
    </row>
    <row r="26" spans="7:11" x14ac:dyDescent="0.25">
      <c r="G26" s="431"/>
      <c r="I26" s="431"/>
      <c r="K26" s="431"/>
    </row>
    <row r="27" spans="7:11" x14ac:dyDescent="0.25">
      <c r="G27" s="431"/>
      <c r="I27" s="431"/>
      <c r="K27" s="431"/>
    </row>
    <row r="28" spans="7:11" x14ac:dyDescent="0.25">
      <c r="G28" s="431"/>
      <c r="I28" s="431"/>
      <c r="K28" s="431"/>
    </row>
    <row r="29" spans="7:11" x14ac:dyDescent="0.25">
      <c r="G29" s="431"/>
      <c r="I29" s="431"/>
      <c r="K29" s="431"/>
    </row>
    <row r="30" spans="7:11" x14ac:dyDescent="0.25">
      <c r="G30" s="431"/>
      <c r="I30" s="431"/>
      <c r="K30" s="431"/>
    </row>
    <row r="31" spans="7:11" x14ac:dyDescent="0.25">
      <c r="G31" s="431"/>
      <c r="I31" s="431"/>
      <c r="K31" s="431"/>
    </row>
    <row r="32" spans="7:11" x14ac:dyDescent="0.25">
      <c r="G32" s="431"/>
      <c r="I32" s="431"/>
      <c r="K32" s="431"/>
    </row>
    <row r="33" spans="2:14" x14ac:dyDescent="0.25">
      <c r="G33" s="431"/>
      <c r="I33" s="431"/>
      <c r="K33" s="431"/>
    </row>
    <row r="34" spans="2:14" x14ac:dyDescent="0.25">
      <c r="E34" s="431"/>
      <c r="G34" s="431"/>
      <c r="I34" s="431"/>
      <c r="K34" s="431"/>
    </row>
    <row r="35" spans="2:14" x14ac:dyDescent="0.25">
      <c r="E35" s="431"/>
      <c r="G35" s="431"/>
      <c r="I35" s="431"/>
      <c r="K35" s="431"/>
    </row>
    <row r="36" spans="2:14" x14ac:dyDescent="0.25">
      <c r="E36" s="431"/>
      <c r="G36" s="431"/>
      <c r="I36" s="431"/>
      <c r="K36" s="431"/>
      <c r="L36" s="438"/>
      <c r="M36" s="438"/>
      <c r="N36" s="438"/>
    </row>
    <row r="37" spans="2:14" x14ac:dyDescent="0.25">
      <c r="E37" s="113"/>
      <c r="F37" s="113"/>
      <c r="G37" s="113"/>
      <c r="H37" s="113"/>
      <c r="I37" s="431"/>
      <c r="K37" s="431"/>
    </row>
    <row r="38" spans="2:14" x14ac:dyDescent="0.25">
      <c r="B38" s="491"/>
      <c r="C38" s="491"/>
      <c r="D38" s="491"/>
      <c r="E38" s="437" t="s">
        <v>3256</v>
      </c>
      <c r="F38" s="209" t="s">
        <v>3556</v>
      </c>
      <c r="G38" s="134" t="s">
        <v>3257</v>
      </c>
      <c r="I38" s="431"/>
      <c r="K38" s="431"/>
    </row>
    <row r="39" spans="2:14" x14ac:dyDescent="0.25">
      <c r="B39" s="451"/>
      <c r="C39" s="452"/>
      <c r="D39" s="452"/>
      <c r="E39" s="159"/>
      <c r="F39" s="120"/>
      <c r="G39" s="159"/>
      <c r="I39" s="431"/>
      <c r="K39" s="431"/>
    </row>
    <row r="40" spans="2:14" x14ac:dyDescent="0.25">
      <c r="B40" s="451"/>
      <c r="C40" s="452"/>
      <c r="D40" s="452"/>
      <c r="E40" s="159"/>
      <c r="F40" s="120"/>
      <c r="G40" s="122"/>
      <c r="I40" s="431"/>
      <c r="K40" s="431"/>
    </row>
    <row r="41" spans="2:14" x14ac:dyDescent="0.25">
      <c r="B41" s="451"/>
      <c r="C41" s="452"/>
      <c r="D41" s="452"/>
      <c r="E41" s="159"/>
      <c r="F41" s="120"/>
      <c r="G41" s="122"/>
      <c r="H41" s="438"/>
      <c r="I41" s="431"/>
      <c r="K41" s="431"/>
    </row>
    <row r="42" spans="2:14" x14ac:dyDescent="0.25">
      <c r="B42" s="451"/>
      <c r="C42" s="452"/>
      <c r="D42" s="452"/>
      <c r="E42" s="159"/>
      <c r="F42" s="120"/>
      <c r="G42" s="122"/>
      <c r="I42" s="431"/>
      <c r="K42" s="431"/>
    </row>
    <row r="43" spans="2:14" x14ac:dyDescent="0.25">
      <c r="B43" s="451"/>
      <c r="C43" s="452"/>
      <c r="D43" s="452"/>
      <c r="E43" s="159"/>
      <c r="F43" s="120"/>
      <c r="G43" s="122"/>
      <c r="I43" s="431"/>
      <c r="K43" s="431"/>
    </row>
    <row r="44" spans="2:14" x14ac:dyDescent="0.25">
      <c r="B44" s="451"/>
      <c r="C44" s="452"/>
      <c r="D44" s="452"/>
      <c r="E44" s="159"/>
      <c r="F44" s="120"/>
      <c r="G44" s="122"/>
      <c r="I44" s="431"/>
      <c r="K44" s="431"/>
    </row>
    <row r="45" spans="2:14" x14ac:dyDescent="0.25">
      <c r="B45" s="451"/>
      <c r="C45" s="452"/>
      <c r="D45" s="452"/>
      <c r="E45" s="159"/>
      <c r="F45" s="120"/>
      <c r="G45" s="122"/>
      <c r="I45" s="431"/>
      <c r="K45" s="431"/>
    </row>
    <row r="46" spans="2:14" x14ac:dyDescent="0.25">
      <c r="B46" s="429"/>
      <c r="C46" s="430"/>
      <c r="D46" s="430"/>
      <c r="E46" s="159"/>
      <c r="F46" s="120"/>
      <c r="G46" s="122"/>
      <c r="I46" s="431"/>
      <c r="K46" s="431"/>
    </row>
    <row r="47" spans="2:14" x14ac:dyDescent="0.25">
      <c r="B47" s="451"/>
      <c r="C47" s="452"/>
      <c r="D47" s="452"/>
      <c r="E47" s="159"/>
      <c r="F47" s="120"/>
      <c r="G47" s="122"/>
      <c r="I47" s="431"/>
      <c r="K47" s="431"/>
    </row>
    <row r="48" spans="2:14" x14ac:dyDescent="0.25">
      <c r="B48" s="451"/>
      <c r="C48" s="452"/>
      <c r="D48" s="452"/>
      <c r="E48" s="159"/>
      <c r="F48" s="120"/>
      <c r="G48" s="122"/>
      <c r="I48" s="431"/>
      <c r="K48" s="431"/>
    </row>
    <row r="49" spans="2:11" x14ac:dyDescent="0.25">
      <c r="B49" s="451"/>
      <c r="C49" s="452"/>
      <c r="D49" s="452"/>
      <c r="E49" s="159"/>
      <c r="F49" s="120"/>
      <c r="G49" s="122"/>
      <c r="I49" s="431"/>
      <c r="K49" s="431"/>
    </row>
    <row r="50" spans="2:11" x14ac:dyDescent="0.25">
      <c r="B50" s="451"/>
      <c r="C50" s="452"/>
      <c r="D50" s="452"/>
      <c r="E50" s="159"/>
      <c r="F50" s="120"/>
      <c r="G50" s="122"/>
      <c r="I50" s="431"/>
      <c r="K50" s="431"/>
    </row>
    <row r="51" spans="2:11" x14ac:dyDescent="0.25">
      <c r="B51" s="451"/>
      <c r="C51" s="452"/>
      <c r="D51" s="452"/>
      <c r="E51" s="159"/>
      <c r="F51" s="120"/>
      <c r="G51" s="122"/>
      <c r="I51" s="431"/>
      <c r="K51" s="431"/>
    </row>
    <row r="52" spans="2:11" x14ac:dyDescent="0.25">
      <c r="B52" s="451"/>
      <c r="C52" s="452"/>
      <c r="D52" s="452"/>
      <c r="E52" s="159"/>
      <c r="F52" s="120"/>
      <c r="G52" s="122"/>
      <c r="I52" s="431"/>
      <c r="K52" s="431"/>
    </row>
    <row r="53" spans="2:11" x14ac:dyDescent="0.25">
      <c r="B53" s="451"/>
      <c r="C53" s="452"/>
      <c r="D53" s="452"/>
      <c r="E53" s="159"/>
      <c r="F53" s="120"/>
      <c r="G53" s="122"/>
      <c r="I53" s="431"/>
      <c r="K53" s="431"/>
    </row>
    <row r="54" spans="2:11" x14ac:dyDescent="0.25">
      <c r="B54" s="492"/>
      <c r="C54" s="493"/>
      <c r="D54" s="493"/>
      <c r="E54" s="171"/>
      <c r="F54" s="120"/>
      <c r="G54" s="159"/>
      <c r="I54" s="431"/>
      <c r="K54" s="431"/>
    </row>
    <row r="55" spans="2:11" x14ac:dyDescent="0.25">
      <c r="B55" s="473"/>
      <c r="C55" s="474"/>
      <c r="D55" s="474"/>
      <c r="E55" s="169"/>
      <c r="F55" s="212"/>
      <c r="G55" s="169"/>
      <c r="I55" s="431"/>
      <c r="K55" s="431"/>
    </row>
    <row r="56" spans="2:11" x14ac:dyDescent="0.25">
      <c r="B56" s="432"/>
      <c r="C56" s="433"/>
      <c r="D56" s="433"/>
      <c r="E56" s="205"/>
      <c r="F56" s="205"/>
      <c r="G56" s="206"/>
      <c r="I56" s="431"/>
      <c r="K56" s="431"/>
    </row>
    <row r="57" spans="2:11" x14ac:dyDescent="0.25">
      <c r="B57" s="491"/>
      <c r="C57" s="491"/>
      <c r="D57" s="491"/>
      <c r="E57" s="437" t="s">
        <v>3256</v>
      </c>
      <c r="F57" s="209" t="s">
        <v>3556</v>
      </c>
      <c r="G57" s="134" t="s">
        <v>3257</v>
      </c>
      <c r="I57" s="431"/>
      <c r="K57" s="431"/>
    </row>
    <row r="58" spans="2:11" x14ac:dyDescent="0.25">
      <c r="B58" s="448"/>
      <c r="C58" s="449"/>
      <c r="D58" s="450"/>
      <c r="E58" s="122"/>
      <c r="F58" s="120"/>
      <c r="G58" s="122"/>
      <c r="I58" s="431"/>
      <c r="K58" s="431"/>
    </row>
    <row r="59" spans="2:11" x14ac:dyDescent="0.25">
      <c r="B59" s="448"/>
      <c r="C59" s="449"/>
      <c r="D59" s="450"/>
      <c r="E59" s="122"/>
      <c r="F59" s="120"/>
      <c r="G59" s="122"/>
      <c r="I59" s="431"/>
      <c r="K59" s="431"/>
    </row>
    <row r="60" spans="2:11" x14ac:dyDescent="0.25">
      <c r="B60" s="448"/>
      <c r="C60" s="449"/>
      <c r="D60" s="450"/>
      <c r="E60" s="122"/>
      <c r="F60" s="120"/>
      <c r="G60" s="122"/>
      <c r="H60" s="118"/>
      <c r="I60" s="431"/>
      <c r="K60" s="431"/>
    </row>
    <row r="61" spans="2:11" x14ac:dyDescent="0.25">
      <c r="B61" s="448"/>
      <c r="C61" s="449"/>
      <c r="D61" s="450"/>
      <c r="E61" s="122"/>
      <c r="F61" s="120"/>
      <c r="G61" s="122"/>
      <c r="H61" s="118"/>
      <c r="I61" s="431"/>
      <c r="K61" s="431"/>
    </row>
    <row r="62" spans="2:11" x14ac:dyDescent="0.25">
      <c r="B62" s="448"/>
      <c r="C62" s="449"/>
      <c r="D62" s="450"/>
      <c r="E62" s="122"/>
      <c r="F62" s="120"/>
      <c r="G62" s="122"/>
      <c r="H62" s="118"/>
      <c r="I62" s="431"/>
      <c r="K62" s="431"/>
    </row>
    <row r="63" spans="2:11" x14ac:dyDescent="0.25">
      <c r="B63" s="448"/>
      <c r="C63" s="449"/>
      <c r="D63" s="450"/>
      <c r="E63" s="122"/>
      <c r="F63" s="120"/>
      <c r="G63" s="122"/>
      <c r="H63" s="118"/>
      <c r="I63" s="431"/>
      <c r="K63" s="431"/>
    </row>
    <row r="64" spans="2:11" x14ac:dyDescent="0.25">
      <c r="B64" s="448"/>
      <c r="C64" s="449"/>
      <c r="D64" s="450"/>
      <c r="E64" s="122"/>
      <c r="F64" s="120"/>
      <c r="G64" s="122"/>
      <c r="H64" s="118"/>
      <c r="I64" s="431"/>
      <c r="K64" s="431"/>
    </row>
    <row r="65" spans="2:11" x14ac:dyDescent="0.25">
      <c r="B65" s="448"/>
      <c r="C65" s="449"/>
      <c r="D65" s="450"/>
      <c r="E65" s="122"/>
      <c r="F65" s="120"/>
      <c r="G65" s="122"/>
      <c r="H65" s="118"/>
      <c r="I65" s="431"/>
      <c r="K65" s="431"/>
    </row>
    <row r="66" spans="2:11" x14ac:dyDescent="0.25">
      <c r="B66" s="448"/>
      <c r="C66" s="449"/>
      <c r="D66" s="450"/>
      <c r="E66" s="122"/>
      <c r="F66" s="120"/>
      <c r="G66" s="122"/>
      <c r="H66" s="118"/>
      <c r="I66" s="431"/>
      <c r="K66" s="431"/>
    </row>
    <row r="67" spans="2:11" x14ac:dyDescent="0.25">
      <c r="B67" s="448"/>
      <c r="C67" s="449"/>
      <c r="D67" s="450"/>
      <c r="E67" s="122"/>
      <c r="F67" s="120"/>
      <c r="G67" s="122"/>
      <c r="H67" s="118"/>
      <c r="I67" s="431"/>
      <c r="K67" s="431"/>
    </row>
    <row r="68" spans="2:11" x14ac:dyDescent="0.25">
      <c r="B68" s="448"/>
      <c r="C68" s="449"/>
      <c r="D68" s="450"/>
      <c r="E68" s="122"/>
      <c r="F68" s="120"/>
      <c r="G68" s="122"/>
      <c r="H68" s="118"/>
      <c r="I68" s="431"/>
      <c r="K68" s="431"/>
    </row>
    <row r="69" spans="2:11" x14ac:dyDescent="0.25">
      <c r="B69" s="448"/>
      <c r="C69" s="449"/>
      <c r="D69" s="450"/>
      <c r="E69" s="122"/>
      <c r="F69" s="120"/>
      <c r="G69" s="122"/>
      <c r="H69" s="118"/>
      <c r="I69" s="431"/>
      <c r="K69" s="431"/>
    </row>
    <row r="70" spans="2:11" x14ac:dyDescent="0.25">
      <c r="B70" s="448"/>
      <c r="C70" s="449"/>
      <c r="D70" s="450"/>
      <c r="E70" s="122"/>
      <c r="F70" s="120"/>
      <c r="G70" s="122"/>
      <c r="H70" s="118"/>
      <c r="I70" s="431"/>
      <c r="K70" s="431"/>
    </row>
    <row r="71" spans="2:11" x14ac:dyDescent="0.25">
      <c r="B71" s="448"/>
      <c r="C71" s="449"/>
      <c r="D71" s="450"/>
      <c r="E71" s="122"/>
      <c r="F71" s="120"/>
      <c r="G71" s="122"/>
      <c r="H71" s="118"/>
      <c r="I71" s="431"/>
      <c r="K71" s="431"/>
    </row>
    <row r="72" spans="2:11" x14ac:dyDescent="0.25">
      <c r="B72" s="448"/>
      <c r="C72" s="449"/>
      <c r="D72" s="450"/>
      <c r="E72" s="122"/>
      <c r="F72" s="120"/>
      <c r="G72" s="122"/>
      <c r="H72" s="118"/>
      <c r="I72" s="431"/>
      <c r="K72" s="431"/>
    </row>
    <row r="73" spans="2:11" x14ac:dyDescent="0.25">
      <c r="B73" s="448"/>
      <c r="C73" s="449"/>
      <c r="D73" s="450"/>
      <c r="E73" s="122"/>
      <c r="F73" s="120"/>
      <c r="G73" s="122"/>
      <c r="H73" s="118"/>
      <c r="I73" s="431"/>
      <c r="K73" s="431"/>
    </row>
    <row r="74" spans="2:11" x14ac:dyDescent="0.25">
      <c r="B74" s="448"/>
      <c r="C74" s="449"/>
      <c r="D74" s="450"/>
      <c r="E74" s="122"/>
      <c r="F74" s="120"/>
      <c r="G74" s="122"/>
      <c r="H74" s="118"/>
      <c r="I74" s="431"/>
      <c r="K74" s="431"/>
    </row>
    <row r="75" spans="2:11" x14ac:dyDescent="0.25">
      <c r="B75" s="448"/>
      <c r="C75" s="449"/>
      <c r="D75" s="450"/>
      <c r="E75" s="122"/>
      <c r="F75" s="120"/>
      <c r="G75" s="122"/>
      <c r="H75" s="118"/>
      <c r="I75" s="431"/>
      <c r="K75" s="431"/>
    </row>
    <row r="76" spans="2:11" x14ac:dyDescent="0.25">
      <c r="B76" s="448"/>
      <c r="C76" s="449"/>
      <c r="D76" s="450"/>
      <c r="E76" s="122"/>
      <c r="F76" s="120"/>
      <c r="G76" s="122"/>
      <c r="H76" s="118"/>
      <c r="I76" s="431"/>
      <c r="K76" s="431"/>
    </row>
    <row r="77" spans="2:11" x14ac:dyDescent="0.25">
      <c r="B77" s="448"/>
      <c r="C77" s="449"/>
      <c r="D77" s="450"/>
      <c r="E77" s="122"/>
      <c r="F77" s="120"/>
      <c r="G77" s="122"/>
      <c r="H77" s="118"/>
      <c r="I77" s="431"/>
      <c r="K77" s="431"/>
    </row>
    <row r="78" spans="2:11" x14ac:dyDescent="0.25">
      <c r="B78" s="448"/>
      <c r="C78" s="449"/>
      <c r="D78" s="450"/>
      <c r="E78" s="122"/>
      <c r="F78" s="120"/>
      <c r="G78" s="122"/>
      <c r="H78" s="118"/>
      <c r="I78" s="431"/>
      <c r="K78" s="431"/>
    </row>
    <row r="79" spans="2:11" x14ac:dyDescent="0.25">
      <c r="B79" s="448"/>
      <c r="C79" s="449"/>
      <c r="D79" s="450"/>
      <c r="E79" s="122"/>
      <c r="F79" s="120"/>
      <c r="G79" s="122"/>
      <c r="H79" s="118"/>
      <c r="I79" s="431"/>
      <c r="K79" s="431"/>
    </row>
    <row r="80" spans="2:11" x14ac:dyDescent="0.25">
      <c r="B80" s="448"/>
      <c r="C80" s="449"/>
      <c r="D80" s="450"/>
      <c r="E80" s="167"/>
      <c r="F80" s="120"/>
      <c r="G80" s="167"/>
      <c r="H80" s="118"/>
      <c r="I80" s="431"/>
      <c r="K80" s="431"/>
    </row>
    <row r="81" spans="1:12" x14ac:dyDescent="0.25">
      <c r="B81" s="488"/>
      <c r="C81" s="489"/>
      <c r="D81" s="490"/>
      <c r="E81" s="168"/>
      <c r="F81" s="168"/>
      <c r="G81" s="168"/>
      <c r="H81" s="118"/>
      <c r="I81" s="431"/>
      <c r="K81" s="431"/>
    </row>
    <row r="82" spans="1:12" x14ac:dyDescent="0.25">
      <c r="E82" s="431"/>
      <c r="G82" s="431"/>
      <c r="I82" s="431"/>
      <c r="K82" s="431"/>
    </row>
    <row r="83" spans="1:12" x14ac:dyDescent="0.25">
      <c r="E83" s="431"/>
      <c r="G83" s="431"/>
      <c r="I83" s="431"/>
      <c r="K83" s="431"/>
    </row>
    <row r="84" spans="1:12" x14ac:dyDescent="0.25">
      <c r="E84" s="431"/>
      <c r="G84" s="431"/>
      <c r="I84" s="431"/>
      <c r="K84" s="431"/>
    </row>
    <row r="85" spans="1:12" x14ac:dyDescent="0.25">
      <c r="E85" s="431"/>
      <c r="G85" s="431"/>
      <c r="I85" s="431"/>
      <c r="K85" s="431"/>
    </row>
    <row r="86" spans="1:12" x14ac:dyDescent="0.25">
      <c r="E86" s="431"/>
      <c r="G86" s="431"/>
      <c r="I86" s="431"/>
      <c r="K86" s="431"/>
    </row>
    <row r="87" spans="1:12" x14ac:dyDescent="0.25">
      <c r="E87" s="431"/>
      <c r="G87" s="431"/>
      <c r="I87" s="431"/>
      <c r="K87" s="431"/>
    </row>
    <row r="88" spans="1:12" x14ac:dyDescent="0.25">
      <c r="E88" s="431"/>
      <c r="G88" s="431"/>
      <c r="I88" s="431"/>
      <c r="K88" s="431"/>
    </row>
    <row r="89" spans="1:12" x14ac:dyDescent="0.25">
      <c r="E89" s="431"/>
      <c r="G89" s="431"/>
      <c r="I89" s="431"/>
      <c r="K89" s="431"/>
    </row>
    <row r="90" spans="1:12" x14ac:dyDescent="0.25">
      <c r="E90" s="431"/>
      <c r="G90" s="431"/>
      <c r="I90" s="431"/>
      <c r="K90" s="431"/>
    </row>
    <row r="91" spans="1:12" x14ac:dyDescent="0.25">
      <c r="E91" s="431"/>
      <c r="G91" s="431"/>
      <c r="I91" s="431"/>
      <c r="K91" s="431"/>
    </row>
    <row r="92" spans="1:12" x14ac:dyDescent="0.25">
      <c r="E92" s="431"/>
      <c r="G92" s="431"/>
      <c r="I92" s="431"/>
      <c r="K92" s="431"/>
    </row>
    <row r="93" spans="1:12" x14ac:dyDescent="0.25">
      <c r="E93" s="431"/>
      <c r="G93" s="431"/>
      <c r="I93" s="431"/>
      <c r="K93" s="431"/>
    </row>
    <row r="94" spans="1:12" s="438" customFormat="1" x14ac:dyDescent="0.25">
      <c r="A94" s="431"/>
      <c r="B94" s="431"/>
      <c r="C94" s="431"/>
      <c r="D94" s="431"/>
      <c r="E94" s="431"/>
      <c r="F94" s="431"/>
      <c r="G94" s="431"/>
      <c r="H94" s="431"/>
      <c r="I94" s="431"/>
      <c r="J94" s="431"/>
      <c r="K94" s="431"/>
    </row>
    <row r="95" spans="1:12" s="107" customFormat="1" x14ac:dyDescent="0.25">
      <c r="A95" s="431"/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</row>
    <row r="96" spans="1:12" x14ac:dyDescent="0.25">
      <c r="E96" s="431"/>
      <c r="G96" s="431"/>
      <c r="I96" s="431"/>
      <c r="K96" s="431"/>
    </row>
    <row r="97" spans="1:20" x14ac:dyDescent="0.25">
      <c r="E97" s="431"/>
      <c r="G97" s="431"/>
      <c r="I97" s="431"/>
      <c r="K97" s="431"/>
    </row>
    <row r="98" spans="1:20" x14ac:dyDescent="0.25">
      <c r="A98" s="460" t="s">
        <v>1874</v>
      </c>
      <c r="B98" s="461"/>
      <c r="C98" s="461"/>
      <c r="D98" s="461"/>
      <c r="E98" s="461"/>
      <c r="F98" s="461"/>
      <c r="G98" s="461"/>
      <c r="H98" s="461"/>
      <c r="I98" s="461"/>
      <c r="J98" s="461"/>
      <c r="K98" s="462"/>
    </row>
    <row r="99" spans="1:20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N99" s="436"/>
    </row>
    <row r="100" spans="1:20" x14ac:dyDescent="0.25">
      <c r="A100" s="470"/>
      <c r="B100" s="471"/>
      <c r="C100" s="471"/>
      <c r="D100" s="214"/>
      <c r="E100" s="213"/>
      <c r="F100" s="214"/>
      <c r="G100" s="213"/>
      <c r="H100" s="214"/>
      <c r="I100" s="213"/>
      <c r="J100" s="214"/>
      <c r="K100" s="213"/>
    </row>
    <row r="101" spans="1:20" x14ac:dyDescent="0.25">
      <c r="A101" s="454"/>
      <c r="B101" s="455"/>
      <c r="C101" s="456"/>
      <c r="D101" s="177"/>
      <c r="E101" s="106"/>
      <c r="F101" s="177"/>
      <c r="G101" s="106"/>
      <c r="H101" s="177"/>
      <c r="I101" s="106"/>
      <c r="J101" s="177"/>
      <c r="K101" s="106"/>
    </row>
    <row r="102" spans="1:20" x14ac:dyDescent="0.25">
      <c r="A102" s="454"/>
      <c r="B102" s="455"/>
      <c r="C102" s="456"/>
      <c r="D102" s="177"/>
      <c r="E102" s="106"/>
      <c r="F102" s="177"/>
      <c r="G102" s="106"/>
      <c r="H102" s="177"/>
      <c r="I102" s="106"/>
      <c r="J102" s="177"/>
      <c r="K102" s="106"/>
    </row>
    <row r="103" spans="1:20" x14ac:dyDescent="0.25">
      <c r="A103" s="451"/>
      <c r="B103" s="452"/>
      <c r="C103" s="453"/>
      <c r="D103" s="174"/>
      <c r="E103" s="104"/>
      <c r="F103" s="174"/>
      <c r="G103" s="104"/>
      <c r="H103" s="174"/>
      <c r="I103" s="104"/>
      <c r="J103" s="174"/>
      <c r="K103" s="104"/>
    </row>
    <row r="104" spans="1:20" x14ac:dyDescent="0.25">
      <c r="A104" s="454"/>
      <c r="B104" s="455"/>
      <c r="C104" s="456"/>
      <c r="D104" s="184"/>
      <c r="E104" s="106"/>
      <c r="F104" s="184"/>
      <c r="G104" s="106"/>
      <c r="H104" s="184"/>
      <c r="I104" s="106"/>
      <c r="J104" s="184"/>
      <c r="K104" s="106"/>
      <c r="M104" s="438"/>
      <c r="N104" s="438"/>
      <c r="O104" s="438"/>
      <c r="P104" s="438"/>
      <c r="Q104" s="438"/>
      <c r="R104" s="438"/>
      <c r="S104" s="438"/>
      <c r="T104" s="438"/>
    </row>
    <row r="105" spans="1:20" x14ac:dyDescent="0.25">
      <c r="A105" s="451"/>
      <c r="B105" s="452"/>
      <c r="C105" s="453"/>
      <c r="D105" s="174"/>
      <c r="E105" s="104"/>
      <c r="F105" s="174"/>
      <c r="G105" s="104"/>
      <c r="H105" s="174"/>
      <c r="I105" s="104"/>
      <c r="J105" s="174"/>
      <c r="K105" s="104"/>
      <c r="L105" s="438"/>
      <c r="M105" s="438"/>
      <c r="N105" s="438"/>
    </row>
    <row r="106" spans="1:20" x14ac:dyDescent="0.25">
      <c r="A106" s="454"/>
      <c r="B106" s="455"/>
      <c r="C106" s="456"/>
      <c r="D106" s="177"/>
      <c r="E106" s="106"/>
      <c r="F106" s="177"/>
      <c r="G106" s="106"/>
      <c r="H106" s="177"/>
      <c r="I106" s="106"/>
      <c r="J106" s="177"/>
      <c r="K106" s="106"/>
    </row>
    <row r="107" spans="1:20" x14ac:dyDescent="0.25">
      <c r="A107" s="485"/>
      <c r="B107" s="486"/>
      <c r="C107" s="487"/>
      <c r="D107" s="353"/>
      <c r="E107" s="354"/>
      <c r="F107" s="353"/>
      <c r="G107" s="354"/>
      <c r="H107" s="353"/>
      <c r="I107" s="354"/>
      <c r="J107" s="353"/>
      <c r="K107" s="354"/>
    </row>
    <row r="108" spans="1:20" x14ac:dyDescent="0.25">
      <c r="A108" s="451"/>
      <c r="B108" s="452"/>
      <c r="C108" s="453"/>
      <c r="D108" s="174"/>
      <c r="E108" s="104"/>
      <c r="F108" s="174"/>
      <c r="G108" s="104"/>
      <c r="H108" s="174"/>
      <c r="I108" s="104"/>
      <c r="J108" s="174"/>
      <c r="K108" s="104"/>
    </row>
    <row r="109" spans="1:20" x14ac:dyDescent="0.25">
      <c r="A109" s="454"/>
      <c r="B109" s="455"/>
      <c r="C109" s="456"/>
      <c r="D109" s="217"/>
      <c r="E109" s="106"/>
      <c r="F109" s="217"/>
      <c r="G109" s="106"/>
      <c r="H109" s="217"/>
      <c r="I109" s="106"/>
      <c r="J109" s="217"/>
      <c r="K109" s="106"/>
      <c r="M109" s="438"/>
      <c r="N109" s="438"/>
      <c r="O109" s="438"/>
      <c r="P109" s="438"/>
      <c r="Q109" s="438"/>
      <c r="R109" s="438"/>
      <c r="S109" s="438"/>
      <c r="T109" s="438"/>
    </row>
    <row r="110" spans="1:20" x14ac:dyDescent="0.25">
      <c r="A110" s="451"/>
      <c r="B110" s="452"/>
      <c r="C110" s="453"/>
      <c r="D110" s="218"/>
      <c r="E110" s="104"/>
      <c r="F110" s="218"/>
      <c r="G110" s="104"/>
      <c r="H110" s="218"/>
      <c r="I110" s="104"/>
      <c r="J110" s="218"/>
      <c r="K110" s="104"/>
      <c r="L110" s="438"/>
      <c r="M110" s="438"/>
      <c r="N110" s="438"/>
    </row>
    <row r="111" spans="1:20" x14ac:dyDescent="0.25">
      <c r="A111" s="451"/>
      <c r="B111" s="452"/>
      <c r="C111" s="453"/>
      <c r="D111" s="218"/>
      <c r="E111" s="104"/>
      <c r="F111" s="218"/>
      <c r="G111" s="104"/>
      <c r="H111" s="218"/>
      <c r="I111" s="104"/>
      <c r="J111" s="218"/>
      <c r="K111" s="104"/>
      <c r="L111" s="438"/>
      <c r="M111" s="438"/>
      <c r="N111" s="438"/>
    </row>
    <row r="112" spans="1:20" x14ac:dyDescent="0.25">
      <c r="A112" s="451"/>
      <c r="B112" s="452"/>
      <c r="C112" s="453"/>
      <c r="D112" s="218"/>
      <c r="E112" s="104"/>
      <c r="F112" s="218"/>
      <c r="G112" s="104"/>
      <c r="H112" s="218"/>
      <c r="I112" s="104"/>
      <c r="J112" s="218"/>
      <c r="K112" s="104"/>
      <c r="L112" s="438"/>
      <c r="M112" s="438"/>
      <c r="N112" s="438"/>
    </row>
    <row r="113" spans="1:20" x14ac:dyDescent="0.25">
      <c r="A113" s="454"/>
      <c r="B113" s="455"/>
      <c r="C113" s="456"/>
      <c r="D113" s="136"/>
      <c r="E113" s="106"/>
      <c r="F113" s="136"/>
      <c r="G113" s="106"/>
      <c r="H113" s="136"/>
      <c r="I113" s="106"/>
      <c r="J113" s="136"/>
      <c r="K113" s="106"/>
      <c r="L113" s="438"/>
      <c r="M113" s="438"/>
      <c r="N113" s="438"/>
    </row>
    <row r="114" spans="1:20" x14ac:dyDescent="0.25">
      <c r="A114" s="451"/>
      <c r="B114" s="452"/>
      <c r="C114" s="453"/>
      <c r="D114" s="218"/>
      <c r="E114" s="104"/>
      <c r="F114" s="218"/>
      <c r="G114" s="104"/>
      <c r="H114" s="218"/>
      <c r="I114" s="104"/>
      <c r="J114" s="218"/>
      <c r="K114" s="104"/>
      <c r="M114" s="438"/>
      <c r="N114" s="438"/>
      <c r="O114" s="438"/>
      <c r="P114" s="438"/>
      <c r="Q114" s="438"/>
      <c r="R114" s="438"/>
      <c r="S114" s="438"/>
      <c r="T114" s="438"/>
    </row>
    <row r="115" spans="1:20" s="107" customFormat="1" x14ac:dyDescent="0.25">
      <c r="A115" s="451"/>
      <c r="B115" s="452"/>
      <c r="C115" s="453"/>
      <c r="D115" s="150"/>
      <c r="E115" s="104"/>
      <c r="F115" s="150"/>
      <c r="G115" s="104"/>
      <c r="H115" s="150"/>
      <c r="I115" s="104"/>
      <c r="J115" s="218"/>
      <c r="K115" s="104"/>
    </row>
    <row r="116" spans="1:20" x14ac:dyDescent="0.25">
      <c r="A116" s="451"/>
      <c r="B116" s="452"/>
      <c r="C116" s="453"/>
      <c r="D116" s="150"/>
      <c r="E116" s="104"/>
      <c r="F116" s="150"/>
      <c r="G116" s="104"/>
      <c r="H116" s="150"/>
      <c r="I116" s="104"/>
      <c r="J116" s="218"/>
      <c r="K116" s="104"/>
    </row>
    <row r="117" spans="1:20" x14ac:dyDescent="0.25">
      <c r="A117" s="451"/>
      <c r="B117" s="452"/>
      <c r="C117" s="453"/>
      <c r="D117" s="150"/>
      <c r="E117" s="104"/>
      <c r="F117" s="150"/>
      <c r="G117" s="104"/>
      <c r="H117" s="150"/>
      <c r="I117" s="104"/>
      <c r="J117" s="218"/>
      <c r="K117" s="104"/>
    </row>
    <row r="118" spans="1:20" x14ac:dyDescent="0.25">
      <c r="A118" s="442"/>
      <c r="B118" s="443"/>
      <c r="C118" s="444"/>
      <c r="D118" s="151"/>
      <c r="E118" s="108"/>
      <c r="F118" s="151"/>
      <c r="G118" s="108"/>
      <c r="H118" s="151"/>
      <c r="I118" s="108"/>
      <c r="J118" s="358"/>
      <c r="K118" s="108"/>
    </row>
    <row r="119" spans="1:20" x14ac:dyDescent="0.25">
      <c r="A119" s="482"/>
      <c r="B119" s="482"/>
      <c r="C119" s="482"/>
      <c r="H119" s="117"/>
    </row>
    <row r="120" spans="1:20" x14ac:dyDescent="0.25">
      <c r="A120" s="470"/>
      <c r="B120" s="471"/>
      <c r="C120" s="471"/>
      <c r="D120" s="214"/>
      <c r="E120" s="213"/>
      <c r="F120" s="214"/>
      <c r="G120" s="213"/>
      <c r="H120" s="214"/>
      <c r="I120" s="213"/>
      <c r="J120" s="214"/>
      <c r="K120" s="213"/>
    </row>
    <row r="121" spans="1:20" x14ac:dyDescent="0.25">
      <c r="A121" s="483"/>
      <c r="B121" s="482"/>
      <c r="C121" s="484"/>
      <c r="D121" s="174"/>
      <c r="E121" s="104"/>
      <c r="F121" s="174"/>
      <c r="G121" s="104"/>
      <c r="H121" s="174"/>
      <c r="I121" s="104"/>
      <c r="J121" s="174"/>
      <c r="K121" s="104"/>
    </row>
    <row r="122" spans="1:20" x14ac:dyDescent="0.25">
      <c r="A122" s="451"/>
      <c r="B122" s="452"/>
      <c r="C122" s="453"/>
      <c r="D122" s="116"/>
      <c r="E122" s="104"/>
      <c r="F122" s="116"/>
      <c r="G122" s="104"/>
      <c r="H122" s="174"/>
      <c r="I122" s="104"/>
      <c r="J122" s="174"/>
      <c r="K122" s="104"/>
    </row>
    <row r="123" spans="1:20" x14ac:dyDescent="0.25">
      <c r="A123" s="476"/>
      <c r="B123" s="477"/>
      <c r="C123" s="478"/>
      <c r="D123" s="332"/>
      <c r="E123" s="333"/>
      <c r="F123" s="332"/>
      <c r="G123" s="333"/>
      <c r="H123" s="342"/>
      <c r="I123" s="333"/>
      <c r="J123" s="342"/>
      <c r="K123" s="333"/>
    </row>
    <row r="124" spans="1:20" x14ac:dyDescent="0.25">
      <c r="A124" s="451"/>
      <c r="B124" s="452"/>
      <c r="C124" s="453"/>
      <c r="D124" s="116"/>
      <c r="E124" s="104"/>
      <c r="F124" s="116"/>
      <c r="G124" s="104"/>
      <c r="H124" s="174"/>
      <c r="I124" s="104"/>
      <c r="J124" s="174"/>
      <c r="K124" s="104"/>
    </row>
    <row r="125" spans="1:20" x14ac:dyDescent="0.25">
      <c r="A125" s="451"/>
      <c r="B125" s="452"/>
      <c r="C125" s="453"/>
      <c r="D125" s="116"/>
      <c r="E125" s="104"/>
      <c r="F125" s="116"/>
      <c r="G125" s="104"/>
      <c r="H125" s="174"/>
      <c r="I125" s="104"/>
      <c r="J125" s="174"/>
      <c r="K125" s="104"/>
    </row>
    <row r="126" spans="1:20" x14ac:dyDescent="0.25">
      <c r="A126" s="476"/>
      <c r="B126" s="477"/>
      <c r="C126" s="478"/>
      <c r="D126" s="332"/>
      <c r="E126" s="333"/>
      <c r="F126" s="332"/>
      <c r="G126" s="333"/>
      <c r="H126" s="342"/>
      <c r="I126" s="333"/>
      <c r="J126" s="342"/>
      <c r="K126" s="333"/>
    </row>
    <row r="127" spans="1:20" x14ac:dyDescent="0.25">
      <c r="A127" s="451"/>
      <c r="B127" s="452"/>
      <c r="C127" s="453"/>
      <c r="D127" s="116"/>
      <c r="E127" s="104"/>
      <c r="F127" s="116"/>
      <c r="G127" s="104"/>
      <c r="H127" s="174"/>
      <c r="I127" s="104"/>
      <c r="J127" s="174"/>
      <c r="K127" s="104"/>
    </row>
    <row r="128" spans="1:20" x14ac:dyDescent="0.25">
      <c r="A128" s="451"/>
      <c r="B128" s="452"/>
      <c r="C128" s="453"/>
      <c r="D128" s="116"/>
      <c r="E128" s="104"/>
      <c r="F128" s="116"/>
      <c r="G128" s="104"/>
      <c r="H128" s="174"/>
      <c r="I128" s="104"/>
      <c r="J128" s="174"/>
      <c r="K128" s="104"/>
    </row>
    <row r="129" spans="1:11" x14ac:dyDescent="0.25">
      <c r="A129" s="476"/>
      <c r="B129" s="477"/>
      <c r="C129" s="478"/>
      <c r="D129" s="332"/>
      <c r="E129" s="333"/>
      <c r="F129" s="332"/>
      <c r="G129" s="333"/>
      <c r="H129" s="342"/>
      <c r="I129" s="333"/>
      <c r="J129" s="342"/>
      <c r="K129" s="333"/>
    </row>
    <row r="130" spans="1:11" x14ac:dyDescent="0.25">
      <c r="A130" s="451"/>
      <c r="B130" s="452"/>
      <c r="C130" s="453"/>
      <c r="D130" s="116"/>
      <c r="E130" s="104"/>
      <c r="F130" s="116"/>
      <c r="G130" s="104"/>
      <c r="H130" s="174"/>
      <c r="I130" s="104"/>
      <c r="J130" s="174"/>
      <c r="K130" s="104"/>
    </row>
    <row r="131" spans="1:11" x14ac:dyDescent="0.25">
      <c r="A131" s="451"/>
      <c r="B131" s="452"/>
      <c r="C131" s="453"/>
      <c r="D131" s="116"/>
      <c r="E131" s="104"/>
      <c r="F131" s="116"/>
      <c r="G131" s="104"/>
      <c r="H131" s="174"/>
      <c r="I131" s="104"/>
      <c r="J131" s="174"/>
      <c r="K131" s="104"/>
    </row>
    <row r="132" spans="1:11" x14ac:dyDescent="0.25">
      <c r="A132" s="476"/>
      <c r="B132" s="477"/>
      <c r="C132" s="478"/>
      <c r="D132" s="332"/>
      <c r="E132" s="333"/>
      <c r="F132" s="332"/>
      <c r="G132" s="333"/>
      <c r="H132" s="342"/>
      <c r="I132" s="333"/>
      <c r="J132" s="342"/>
      <c r="K132" s="333"/>
    </row>
    <row r="133" spans="1:11" x14ac:dyDescent="0.25">
      <c r="A133" s="479"/>
      <c r="B133" s="480"/>
      <c r="C133" s="481"/>
      <c r="D133" s="344"/>
      <c r="E133" s="345"/>
      <c r="F133" s="344"/>
      <c r="G133" s="345"/>
      <c r="H133" s="346"/>
      <c r="I133" s="345"/>
      <c r="J133" s="346"/>
      <c r="K133" s="345"/>
    </row>
    <row r="134" spans="1:11" x14ac:dyDescent="0.25">
      <c r="A134" s="451"/>
      <c r="B134" s="452"/>
      <c r="C134" s="453"/>
      <c r="D134" s="116"/>
      <c r="E134" s="104"/>
      <c r="F134" s="116"/>
      <c r="G134" s="104"/>
      <c r="H134" s="174"/>
      <c r="I134" s="104"/>
      <c r="J134" s="174"/>
      <c r="K134" s="104"/>
    </row>
    <row r="135" spans="1:11" x14ac:dyDescent="0.25">
      <c r="A135" s="451"/>
      <c r="B135" s="452"/>
      <c r="C135" s="453"/>
      <c r="D135" s="116"/>
      <c r="E135" s="104"/>
      <c r="F135" s="116"/>
      <c r="G135" s="104"/>
      <c r="H135" s="174"/>
      <c r="I135" s="104"/>
      <c r="J135" s="174"/>
      <c r="K135" s="104"/>
    </row>
    <row r="136" spans="1:11" x14ac:dyDescent="0.25">
      <c r="A136" s="476"/>
      <c r="B136" s="477"/>
      <c r="C136" s="478"/>
      <c r="D136" s="332"/>
      <c r="E136" s="333"/>
      <c r="F136" s="332"/>
      <c r="G136" s="333"/>
      <c r="H136" s="342"/>
      <c r="I136" s="333"/>
      <c r="J136" s="342"/>
      <c r="K136" s="333"/>
    </row>
    <row r="137" spans="1:11" x14ac:dyDescent="0.25">
      <c r="A137" s="451"/>
      <c r="B137" s="452"/>
      <c r="C137" s="453"/>
      <c r="D137" s="116"/>
      <c r="E137" s="104"/>
      <c r="F137" s="116"/>
      <c r="G137" s="104"/>
      <c r="H137" s="174"/>
      <c r="I137" s="104"/>
      <c r="J137" s="174"/>
      <c r="K137" s="104"/>
    </row>
    <row r="138" spans="1:11" x14ac:dyDescent="0.25">
      <c r="A138" s="451"/>
      <c r="B138" s="452"/>
      <c r="C138" s="453"/>
      <c r="D138" s="116"/>
      <c r="E138" s="104"/>
      <c r="F138" s="116"/>
      <c r="G138" s="104"/>
      <c r="H138" s="174"/>
      <c r="I138" s="104"/>
      <c r="J138" s="174"/>
      <c r="K138" s="104"/>
    </row>
    <row r="139" spans="1:11" x14ac:dyDescent="0.25">
      <c r="A139" s="476"/>
      <c r="B139" s="477"/>
      <c r="C139" s="478"/>
      <c r="D139" s="332"/>
      <c r="E139" s="333"/>
      <c r="F139" s="332"/>
      <c r="G139" s="333"/>
      <c r="H139" s="342"/>
      <c r="I139" s="333"/>
      <c r="J139" s="342"/>
      <c r="K139" s="333"/>
    </row>
    <row r="140" spans="1:11" x14ac:dyDescent="0.25">
      <c r="A140" s="451"/>
      <c r="B140" s="452"/>
      <c r="C140" s="453"/>
      <c r="D140" s="116"/>
      <c r="E140" s="104"/>
      <c r="F140" s="116"/>
      <c r="G140" s="104"/>
      <c r="H140" s="174"/>
      <c r="I140" s="104"/>
      <c r="J140" s="174"/>
      <c r="K140" s="104"/>
    </row>
    <row r="141" spans="1:11" x14ac:dyDescent="0.25">
      <c r="A141" s="451"/>
      <c r="B141" s="452"/>
      <c r="C141" s="453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76"/>
      <c r="B142" s="477"/>
      <c r="C142" s="478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51"/>
      <c r="B143" s="452"/>
      <c r="C143" s="453"/>
      <c r="D143" s="116"/>
      <c r="E143" s="104"/>
      <c r="F143" s="116"/>
      <c r="G143" s="104"/>
      <c r="H143" s="174"/>
      <c r="I143" s="104"/>
      <c r="J143" s="174"/>
      <c r="K143" s="104"/>
    </row>
    <row r="144" spans="1:11" x14ac:dyDescent="0.25">
      <c r="A144" s="451"/>
      <c r="B144" s="452"/>
      <c r="C144" s="453"/>
      <c r="D144" s="116"/>
      <c r="E144" s="104"/>
      <c r="F144" s="116"/>
      <c r="G144" s="104"/>
      <c r="H144" s="174"/>
      <c r="I144" s="104"/>
      <c r="J144" s="174"/>
      <c r="K144" s="104"/>
    </row>
    <row r="145" spans="1:11" x14ac:dyDescent="0.25">
      <c r="A145" s="476"/>
      <c r="B145" s="477"/>
      <c r="C145" s="478"/>
      <c r="D145" s="332"/>
      <c r="E145" s="333"/>
      <c r="F145" s="332"/>
      <c r="G145" s="333"/>
      <c r="H145" s="342"/>
      <c r="I145" s="333"/>
      <c r="J145" s="342"/>
      <c r="K145" s="333"/>
    </row>
    <row r="146" spans="1:11" x14ac:dyDescent="0.25">
      <c r="A146" s="451"/>
      <c r="B146" s="452"/>
      <c r="C146" s="453"/>
      <c r="D146" s="116"/>
      <c r="E146" s="104"/>
      <c r="F146" s="116"/>
      <c r="G146" s="104"/>
      <c r="H146" s="174"/>
      <c r="I146" s="104"/>
      <c r="J146" s="174"/>
      <c r="K146" s="104"/>
    </row>
    <row r="147" spans="1:11" x14ac:dyDescent="0.25">
      <c r="A147" s="451"/>
      <c r="B147" s="452"/>
      <c r="C147" s="453"/>
      <c r="D147" s="116"/>
      <c r="E147" s="104"/>
      <c r="F147" s="116"/>
      <c r="G147" s="104"/>
      <c r="H147" s="174"/>
      <c r="I147" s="104"/>
      <c r="J147" s="174"/>
      <c r="K147" s="104"/>
    </row>
    <row r="148" spans="1:11" x14ac:dyDescent="0.25">
      <c r="A148" s="473"/>
      <c r="B148" s="474"/>
      <c r="C148" s="475"/>
      <c r="D148" s="343"/>
      <c r="E148" s="334"/>
      <c r="F148" s="343"/>
      <c r="G148" s="334"/>
      <c r="H148" s="186"/>
      <c r="I148" s="334"/>
      <c r="J148" s="186"/>
      <c r="K148" s="334"/>
    </row>
    <row r="149" spans="1:11" x14ac:dyDescent="0.25">
      <c r="A149" s="451"/>
      <c r="B149" s="452"/>
      <c r="C149" s="453"/>
      <c r="D149" s="116"/>
      <c r="E149" s="104"/>
      <c r="F149" s="116"/>
      <c r="G149" s="104"/>
      <c r="H149" s="174"/>
      <c r="I149" s="104"/>
      <c r="J149" s="174"/>
      <c r="K149" s="104"/>
    </row>
    <row r="150" spans="1:11" x14ac:dyDescent="0.25">
      <c r="A150" s="451"/>
      <c r="B150" s="452"/>
      <c r="C150" s="453"/>
      <c r="D150" s="174"/>
      <c r="E150" s="104"/>
      <c r="F150" s="174"/>
      <c r="G150" s="104"/>
      <c r="H150" s="174"/>
      <c r="I150" s="104"/>
      <c r="J150" s="174"/>
      <c r="K150" s="104"/>
    </row>
    <row r="151" spans="1:11" s="438" customFormat="1" x14ac:dyDescent="0.25">
      <c r="A151" s="451"/>
      <c r="B151" s="452"/>
      <c r="C151" s="453"/>
      <c r="D151" s="174"/>
      <c r="E151" s="104"/>
      <c r="F151" s="174"/>
      <c r="G151" s="104"/>
      <c r="H151" s="174"/>
      <c r="I151" s="104"/>
      <c r="J151" s="174"/>
      <c r="K151" s="104"/>
    </row>
    <row r="152" spans="1:11" s="107" customFormat="1" x14ac:dyDescent="0.25">
      <c r="A152" s="451"/>
      <c r="B152" s="452"/>
      <c r="C152" s="453"/>
      <c r="D152" s="174"/>
      <c r="E152" s="104"/>
      <c r="F152" s="174"/>
      <c r="G152" s="104"/>
      <c r="H152" s="174"/>
      <c r="I152" s="104"/>
      <c r="J152" s="174"/>
      <c r="K152" s="104"/>
    </row>
    <row r="153" spans="1:11" x14ac:dyDescent="0.25">
      <c r="A153" s="473"/>
      <c r="B153" s="474"/>
      <c r="C153" s="475"/>
      <c r="D153" s="186"/>
      <c r="E153" s="334"/>
      <c r="F153" s="186"/>
      <c r="G153" s="334"/>
      <c r="H153" s="186"/>
      <c r="I153" s="334"/>
      <c r="J153" s="186"/>
      <c r="K153" s="334"/>
    </row>
    <row r="154" spans="1:11" x14ac:dyDescent="0.25">
      <c r="A154" s="451"/>
      <c r="B154" s="452"/>
      <c r="C154" s="453"/>
      <c r="D154" s="174"/>
      <c r="E154" s="104"/>
      <c r="F154" s="174"/>
      <c r="G154" s="104"/>
      <c r="H154" s="174"/>
      <c r="I154" s="104"/>
      <c r="J154" s="174"/>
      <c r="K154" s="104"/>
    </row>
    <row r="155" spans="1:11" x14ac:dyDescent="0.25">
      <c r="A155" s="442"/>
      <c r="B155" s="443"/>
      <c r="C155" s="444"/>
      <c r="D155" s="175"/>
      <c r="E155" s="204"/>
      <c r="F155" s="175"/>
      <c r="G155" s="204"/>
      <c r="H155" s="175"/>
      <c r="I155" s="204"/>
      <c r="J155" s="175"/>
      <c r="K155" s="204"/>
    </row>
    <row r="156" spans="1:11" x14ac:dyDescent="0.25">
      <c r="A156" s="438"/>
      <c r="B156" s="438"/>
      <c r="C156" s="438"/>
      <c r="D156" s="278"/>
      <c r="E156" s="190"/>
      <c r="F156" s="279"/>
      <c r="G156" s="190"/>
      <c r="H156" s="279"/>
      <c r="I156" s="190"/>
      <c r="J156" s="279"/>
      <c r="K156" s="190"/>
    </row>
    <row r="157" spans="1:11" x14ac:dyDescent="0.25">
      <c r="A157" s="470"/>
      <c r="B157" s="471"/>
      <c r="C157" s="471"/>
      <c r="D157" s="214"/>
      <c r="E157" s="213"/>
      <c r="F157" s="214"/>
      <c r="G157" s="213"/>
      <c r="H157" s="214"/>
      <c r="I157" s="213"/>
      <c r="J157" s="214"/>
      <c r="K157" s="213"/>
    </row>
    <row r="158" spans="1:11" x14ac:dyDescent="0.25">
      <c r="A158" s="466"/>
      <c r="B158" s="467"/>
      <c r="C158" s="468"/>
      <c r="D158" s="176"/>
      <c r="E158" s="111"/>
      <c r="F158" s="173"/>
      <c r="G158" s="111"/>
      <c r="H158" s="173"/>
      <c r="I158" s="111"/>
      <c r="J158" s="173"/>
      <c r="K158" s="111"/>
    </row>
    <row r="159" spans="1:11" x14ac:dyDescent="0.25">
      <c r="A159" s="451"/>
      <c r="B159" s="452"/>
      <c r="C159" s="453"/>
      <c r="D159" s="116"/>
      <c r="E159" s="104"/>
      <c r="F159" s="174"/>
      <c r="G159" s="104"/>
      <c r="H159" s="174"/>
      <c r="I159" s="104"/>
      <c r="J159" s="174"/>
      <c r="K159" s="104"/>
    </row>
    <row r="160" spans="1:11" x14ac:dyDescent="0.25">
      <c r="A160" s="454"/>
      <c r="B160" s="455"/>
      <c r="C160" s="456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51"/>
      <c r="B161" s="452"/>
      <c r="C161" s="453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54"/>
      <c r="B162" s="455"/>
      <c r="C162" s="456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51"/>
      <c r="B163" s="452"/>
      <c r="C163" s="453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54"/>
      <c r="B164" s="455"/>
      <c r="C164" s="456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51"/>
      <c r="B165" s="452"/>
      <c r="C165" s="453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54"/>
      <c r="B166" s="455"/>
      <c r="C166" s="456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51"/>
      <c r="B167" s="452"/>
      <c r="C167" s="453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54"/>
      <c r="B168" s="455"/>
      <c r="C168" s="456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51"/>
      <c r="B169" s="452"/>
      <c r="C169" s="453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54"/>
      <c r="B170" s="455"/>
      <c r="C170" s="456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51"/>
      <c r="B171" s="452"/>
      <c r="C171" s="453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54"/>
      <c r="B172" s="455"/>
      <c r="C172" s="456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51"/>
      <c r="B173" s="452"/>
      <c r="C173" s="453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54"/>
      <c r="B174" s="455"/>
      <c r="C174" s="456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51"/>
      <c r="B175" s="452"/>
      <c r="C175" s="453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54"/>
      <c r="B176" s="455"/>
      <c r="C176" s="456"/>
      <c r="D176" s="116"/>
      <c r="E176" s="106"/>
      <c r="F176" s="177"/>
      <c r="G176" s="106"/>
      <c r="H176" s="177"/>
      <c r="I176" s="106"/>
      <c r="J176" s="177"/>
      <c r="K176" s="106"/>
    </row>
    <row r="177" spans="1:11" x14ac:dyDescent="0.25">
      <c r="A177" s="451"/>
      <c r="B177" s="452"/>
      <c r="C177" s="453"/>
      <c r="D177" s="116"/>
      <c r="E177" s="104"/>
      <c r="F177" s="174"/>
      <c r="G177" s="104"/>
      <c r="H177" s="174"/>
      <c r="I177" s="104"/>
      <c r="J177" s="174"/>
      <c r="K177" s="104"/>
    </row>
    <row r="178" spans="1:11" s="438" customFormat="1" x14ac:dyDescent="0.25">
      <c r="A178" s="454"/>
      <c r="B178" s="455"/>
      <c r="C178" s="456"/>
      <c r="D178" s="116"/>
      <c r="E178" s="106"/>
      <c r="F178" s="177"/>
      <c r="G178" s="106"/>
      <c r="H178" s="177"/>
      <c r="I178" s="106"/>
      <c r="J178" s="177"/>
      <c r="K178" s="106"/>
    </row>
    <row r="179" spans="1:11" s="107" customFormat="1" x14ac:dyDescent="0.25">
      <c r="A179" s="451"/>
      <c r="B179" s="452"/>
      <c r="C179" s="453"/>
      <c r="D179" s="116"/>
      <c r="E179" s="104"/>
      <c r="F179" s="174"/>
      <c r="G179" s="104"/>
      <c r="H179" s="174"/>
      <c r="I179" s="104"/>
      <c r="J179" s="174"/>
      <c r="K179" s="104"/>
    </row>
    <row r="180" spans="1:11" x14ac:dyDescent="0.25">
      <c r="A180" s="454"/>
      <c r="B180" s="455"/>
      <c r="C180" s="456"/>
      <c r="D180" s="177"/>
      <c r="E180" s="106"/>
      <c r="F180" s="177"/>
      <c r="G180" s="106"/>
      <c r="H180" s="177"/>
      <c r="I180" s="106"/>
      <c r="J180" s="177"/>
      <c r="K180" s="106"/>
    </row>
    <row r="181" spans="1:11" x14ac:dyDescent="0.25">
      <c r="A181" s="451"/>
      <c r="B181" s="452"/>
      <c r="C181" s="453"/>
      <c r="D181" s="116"/>
      <c r="E181" s="104"/>
      <c r="F181" s="174"/>
      <c r="G181" s="104"/>
      <c r="H181" s="174"/>
      <c r="I181" s="104"/>
      <c r="J181" s="174"/>
      <c r="K181" s="104"/>
    </row>
    <row r="182" spans="1:11" x14ac:dyDescent="0.25">
      <c r="A182" s="457"/>
      <c r="B182" s="458"/>
      <c r="C182" s="459"/>
      <c r="D182" s="178"/>
      <c r="E182" s="115"/>
      <c r="F182" s="178"/>
      <c r="G182" s="114"/>
      <c r="H182" s="178"/>
      <c r="I182" s="114"/>
      <c r="J182" s="178"/>
      <c r="K182" s="114"/>
    </row>
    <row r="183" spans="1:11" x14ac:dyDescent="0.25">
      <c r="A183" s="469"/>
      <c r="B183" s="469"/>
      <c r="C183" s="469"/>
      <c r="D183" s="438"/>
      <c r="E183" s="190"/>
      <c r="F183" s="438"/>
      <c r="G183" s="190"/>
      <c r="H183" s="438"/>
      <c r="I183" s="190"/>
      <c r="J183" s="438"/>
      <c r="K183" s="190"/>
    </row>
    <row r="184" spans="1:11" s="107" customFormat="1" x14ac:dyDescent="0.25">
      <c r="A184" s="434"/>
      <c r="B184" s="435"/>
      <c r="C184" s="439"/>
      <c r="D184" s="214"/>
      <c r="E184" s="213"/>
      <c r="F184" s="214"/>
      <c r="G184" s="213"/>
      <c r="H184" s="214"/>
      <c r="I184" s="213"/>
      <c r="J184" s="214"/>
      <c r="K184" s="213"/>
    </row>
    <row r="185" spans="1:11" x14ac:dyDescent="0.25">
      <c r="A185" s="466"/>
      <c r="B185" s="467"/>
      <c r="C185" s="468"/>
      <c r="D185" s="173"/>
      <c r="E185" s="111"/>
      <c r="F185" s="173"/>
      <c r="G185" s="111"/>
      <c r="H185" s="173"/>
      <c r="I185" s="111"/>
      <c r="J185" s="173"/>
      <c r="K185" s="111"/>
    </row>
    <row r="186" spans="1:11" x14ac:dyDescent="0.25">
      <c r="A186" s="451"/>
      <c r="B186" s="452"/>
      <c r="C186" s="453"/>
      <c r="D186" s="174"/>
      <c r="E186" s="104"/>
      <c r="F186" s="174"/>
      <c r="G186" s="104"/>
      <c r="H186" s="174"/>
      <c r="I186" s="104"/>
      <c r="J186" s="174"/>
      <c r="K186" s="104"/>
    </row>
    <row r="187" spans="1:11" x14ac:dyDescent="0.25">
      <c r="A187" s="454"/>
      <c r="B187" s="455"/>
      <c r="C187" s="456"/>
      <c r="D187" s="177"/>
      <c r="E187" s="106"/>
      <c r="F187" s="177"/>
      <c r="G187" s="106"/>
      <c r="H187" s="177"/>
      <c r="I187" s="106"/>
      <c r="J187" s="177"/>
      <c r="K187" s="106"/>
    </row>
    <row r="188" spans="1:11" x14ac:dyDescent="0.25">
      <c r="A188" s="442"/>
      <c r="B188" s="443"/>
      <c r="C188" s="444"/>
      <c r="D188" s="179"/>
      <c r="E188" s="108"/>
      <c r="F188" s="179"/>
      <c r="G188" s="108"/>
      <c r="H188" s="179"/>
      <c r="I188" s="108"/>
      <c r="J188" s="179"/>
      <c r="K188" s="108"/>
    </row>
    <row r="189" spans="1:1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1" x14ac:dyDescent="0.25">
      <c r="A190" s="470"/>
      <c r="B190" s="471"/>
      <c r="C190" s="472"/>
      <c r="D190" s="214"/>
      <c r="E190" s="213"/>
      <c r="F190" s="214"/>
      <c r="G190" s="213"/>
      <c r="H190" s="214"/>
      <c r="I190" s="213"/>
      <c r="J190" s="214"/>
      <c r="K190" s="213"/>
    </row>
    <row r="191" spans="1:11" x14ac:dyDescent="0.25">
      <c r="A191" s="466"/>
      <c r="B191" s="467"/>
      <c r="C191" s="468"/>
      <c r="D191" s="173"/>
      <c r="E191" s="111"/>
      <c r="F191" s="173"/>
      <c r="G191" s="111"/>
      <c r="H191" s="173"/>
      <c r="I191" s="111"/>
      <c r="J191" s="173"/>
      <c r="K191" s="111"/>
    </row>
    <row r="192" spans="1:11" x14ac:dyDescent="0.25">
      <c r="A192" s="451"/>
      <c r="B192" s="452"/>
      <c r="C192" s="453"/>
      <c r="D192" s="174"/>
      <c r="E192" s="104"/>
      <c r="F192" s="174"/>
      <c r="G192" s="104"/>
      <c r="H192" s="174"/>
      <c r="I192" s="104"/>
      <c r="J192" s="174"/>
      <c r="K192" s="104"/>
    </row>
    <row r="193" spans="1:11" x14ac:dyDescent="0.25">
      <c r="A193" s="454"/>
      <c r="B193" s="455"/>
      <c r="C193" s="456"/>
      <c r="D193" s="177"/>
      <c r="E193" s="106"/>
      <c r="F193" s="177"/>
      <c r="G193" s="106"/>
      <c r="H193" s="177"/>
      <c r="I193" s="106"/>
      <c r="J193" s="177"/>
      <c r="K193" s="106"/>
    </row>
    <row r="194" spans="1:11" x14ac:dyDescent="0.25">
      <c r="A194" s="451"/>
      <c r="B194" s="452"/>
      <c r="C194" s="453"/>
      <c r="D194" s="174"/>
      <c r="E194" s="104"/>
      <c r="F194" s="174"/>
      <c r="G194" s="104"/>
      <c r="H194" s="174"/>
      <c r="I194" s="104"/>
      <c r="J194" s="174"/>
      <c r="K194" s="104"/>
    </row>
    <row r="195" spans="1:11" x14ac:dyDescent="0.25">
      <c r="A195" s="454"/>
      <c r="B195" s="455"/>
      <c r="C195" s="456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51"/>
      <c r="B196" s="452"/>
      <c r="C196" s="453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54"/>
      <c r="B197" s="455"/>
      <c r="C197" s="456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51"/>
      <c r="B198" s="452"/>
      <c r="C198" s="453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54"/>
      <c r="B199" s="455"/>
      <c r="C199" s="456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51"/>
      <c r="B200" s="452"/>
      <c r="C200" s="453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54"/>
      <c r="B201" s="455"/>
      <c r="C201" s="456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51"/>
      <c r="B202" s="452"/>
      <c r="C202" s="453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54"/>
      <c r="B203" s="455"/>
      <c r="C203" s="456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51"/>
      <c r="B204" s="452"/>
      <c r="C204" s="453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54"/>
      <c r="B205" s="455"/>
      <c r="C205" s="456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51"/>
      <c r="B206" s="452"/>
      <c r="C206" s="453"/>
      <c r="D206" s="174"/>
      <c r="E206" s="104"/>
      <c r="F206" s="174"/>
      <c r="G206" s="104"/>
      <c r="H206" s="174"/>
      <c r="I206" s="104"/>
      <c r="J206" s="174"/>
      <c r="K206" s="104"/>
    </row>
    <row r="207" spans="1:11" s="438" customFormat="1" x14ac:dyDescent="0.25">
      <c r="A207" s="454"/>
      <c r="B207" s="455"/>
      <c r="C207" s="456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51"/>
      <c r="B208" s="452"/>
      <c r="C208" s="453"/>
      <c r="D208" s="174"/>
      <c r="E208" s="104"/>
      <c r="F208" s="174"/>
      <c r="G208" s="104"/>
      <c r="H208" s="174"/>
      <c r="I208" s="104"/>
      <c r="J208" s="174"/>
      <c r="K208" s="104"/>
    </row>
    <row r="209" spans="1:11" s="438" customFormat="1" x14ac:dyDescent="0.25">
      <c r="A209" s="454"/>
      <c r="B209" s="455"/>
      <c r="C209" s="456"/>
      <c r="D209" s="177"/>
      <c r="E209" s="106"/>
      <c r="F209" s="177"/>
      <c r="G209" s="106"/>
      <c r="H209" s="177"/>
      <c r="I209" s="106"/>
      <c r="J209" s="177"/>
      <c r="K209" s="106"/>
    </row>
    <row r="210" spans="1:11" s="438" customFormat="1" x14ac:dyDescent="0.25">
      <c r="A210" s="451"/>
      <c r="B210" s="452"/>
      <c r="C210" s="453"/>
      <c r="D210" s="174"/>
      <c r="E210" s="104"/>
      <c r="F210" s="174"/>
      <c r="G210" s="104"/>
      <c r="H210" s="174"/>
      <c r="I210" s="104"/>
      <c r="J210" s="174"/>
      <c r="K210" s="104"/>
    </row>
    <row r="211" spans="1:11" s="438" customFormat="1" x14ac:dyDescent="0.25">
      <c r="A211" s="457"/>
      <c r="B211" s="458"/>
      <c r="C211" s="459"/>
      <c r="D211" s="178"/>
      <c r="E211" s="114"/>
      <c r="F211" s="178"/>
      <c r="G211" s="114"/>
      <c r="H211" s="178"/>
      <c r="I211" s="114"/>
      <c r="J211" s="178"/>
      <c r="K211" s="114"/>
    </row>
    <row r="212" spans="1:11" s="4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s="438" customFormat="1" x14ac:dyDescent="0.25">
      <c r="A213" s="460" t="s">
        <v>1873</v>
      </c>
      <c r="B213" s="461"/>
      <c r="C213" s="461"/>
      <c r="D213" s="461"/>
      <c r="E213" s="461"/>
      <c r="F213" s="461"/>
      <c r="G213" s="461"/>
      <c r="H213" s="461"/>
      <c r="I213" s="461"/>
      <c r="J213" s="461"/>
      <c r="K213" s="462"/>
    </row>
    <row r="214" spans="1:11" s="4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4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4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4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4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4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4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4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4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4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4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07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x14ac:dyDescent="0.25">
      <c r="A230" s="463"/>
      <c r="B230" s="464"/>
      <c r="C230" s="464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65"/>
      <c r="B231" s="465"/>
      <c r="C231" s="465"/>
      <c r="D231" s="173"/>
      <c r="E231" s="111"/>
      <c r="F231" s="173"/>
      <c r="G231" s="111"/>
      <c r="H231" s="173"/>
      <c r="I231" s="111"/>
      <c r="J231" s="173"/>
      <c r="K231" s="111"/>
    </row>
    <row r="232" spans="1:12" x14ac:dyDescent="0.25">
      <c r="A232" s="446"/>
      <c r="B232" s="446"/>
      <c r="C232" s="446"/>
      <c r="D232" s="183"/>
      <c r="E232" s="157"/>
      <c r="F232" s="183"/>
      <c r="G232" s="157"/>
      <c r="H232" s="183"/>
      <c r="I232" s="157"/>
      <c r="J232" s="183"/>
      <c r="K232" s="157"/>
    </row>
    <row r="233" spans="1:12" x14ac:dyDescent="0.25">
      <c r="A233" s="447"/>
      <c r="B233" s="447"/>
      <c r="C233" s="447"/>
      <c r="D233" s="177"/>
      <c r="E233" s="106"/>
      <c r="F233" s="177"/>
      <c r="G233" s="106"/>
      <c r="H233" s="177"/>
      <c r="I233" s="106"/>
      <c r="J233" s="177"/>
      <c r="K233" s="106"/>
      <c r="L233" s="438"/>
    </row>
    <row r="234" spans="1:12" x14ac:dyDescent="0.25">
      <c r="A234" s="446"/>
      <c r="B234" s="446"/>
      <c r="C234" s="446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47"/>
      <c r="B235" s="447"/>
      <c r="C235" s="447"/>
      <c r="D235" s="177"/>
      <c r="E235" s="106"/>
      <c r="F235" s="177"/>
      <c r="G235" s="106"/>
      <c r="H235" s="177"/>
      <c r="I235" s="106"/>
      <c r="J235" s="177"/>
      <c r="K235" s="106"/>
    </row>
    <row r="236" spans="1:12" s="438" customFormat="1" x14ac:dyDescent="0.25">
      <c r="A236" s="446"/>
      <c r="B236" s="446"/>
      <c r="C236" s="446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47"/>
      <c r="B237" s="447"/>
      <c r="C237" s="447"/>
      <c r="D237" s="105"/>
      <c r="E237" s="106"/>
      <c r="F237" s="105"/>
      <c r="G237" s="106"/>
      <c r="H237" s="105"/>
      <c r="I237" s="106"/>
      <c r="J237" s="105"/>
      <c r="K237" s="106"/>
    </row>
    <row r="238" spans="1:12" x14ac:dyDescent="0.25">
      <c r="A238" s="446"/>
      <c r="B238" s="446"/>
      <c r="C238" s="446"/>
      <c r="D238" s="174"/>
      <c r="E238" s="104"/>
      <c r="F238" s="174"/>
      <c r="G238" s="104"/>
      <c r="H238" s="174"/>
      <c r="I238" s="104"/>
      <c r="J238" s="174"/>
      <c r="K238" s="104"/>
    </row>
    <row r="239" spans="1:12" x14ac:dyDescent="0.25">
      <c r="A239" s="447"/>
      <c r="B239" s="447"/>
      <c r="C239" s="447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46"/>
      <c r="B240" s="446"/>
      <c r="C240" s="446"/>
      <c r="D240" s="174"/>
      <c r="E240" s="104"/>
      <c r="F240" s="174"/>
      <c r="G240" s="104"/>
      <c r="H240" s="174"/>
      <c r="I240" s="104"/>
      <c r="J240" s="174"/>
      <c r="K240" s="104"/>
    </row>
    <row r="241" spans="1:12" x14ac:dyDescent="0.25">
      <c r="A241" s="448"/>
      <c r="B241" s="449"/>
      <c r="C241" s="450"/>
      <c r="D241" s="182"/>
      <c r="E241" s="153"/>
      <c r="F241" s="182"/>
      <c r="G241" s="153"/>
      <c r="H241" s="182"/>
      <c r="I241" s="153"/>
      <c r="J241" s="182"/>
      <c r="K241" s="153"/>
    </row>
    <row r="242" spans="1:12" x14ac:dyDescent="0.25">
      <c r="A242" s="451"/>
      <c r="B242" s="452"/>
      <c r="C242" s="453"/>
      <c r="D242" s="174"/>
      <c r="E242" s="104"/>
      <c r="F242" s="174"/>
      <c r="G242" s="104"/>
      <c r="H242" s="174"/>
      <c r="I242" s="104"/>
      <c r="J242" s="174"/>
      <c r="K242" s="104"/>
    </row>
    <row r="243" spans="1:12" x14ac:dyDescent="0.25">
      <c r="A243" s="451"/>
      <c r="B243" s="452"/>
      <c r="C243" s="453"/>
      <c r="D243" s="174"/>
      <c r="E243" s="104"/>
      <c r="F243" s="174"/>
      <c r="G243" s="104"/>
      <c r="H243" s="174"/>
      <c r="I243" s="104"/>
      <c r="J243" s="174"/>
      <c r="K243" s="104"/>
    </row>
    <row r="244" spans="1:12" x14ac:dyDescent="0.25">
      <c r="A244" s="442"/>
      <c r="B244" s="443"/>
      <c r="C244" s="444"/>
      <c r="D244" s="179"/>
      <c r="E244" s="108"/>
      <c r="F244" s="179"/>
      <c r="G244" s="108"/>
      <c r="H244" s="179"/>
      <c r="I244" s="108"/>
      <c r="J244" s="179"/>
      <c r="K244" s="108"/>
    </row>
    <row r="245" spans="1:12" x14ac:dyDescent="0.25">
      <c r="C245" s="445" t="s">
        <v>3251</v>
      </c>
      <c r="D245" s="445"/>
      <c r="E245" s="445"/>
      <c r="F245" s="445"/>
      <c r="G245" s="445"/>
      <c r="H245" s="445"/>
      <c r="I245" s="445"/>
      <c r="J245" s="445"/>
      <c r="K245" s="445"/>
      <c r="L245" s="234"/>
    </row>
    <row r="246" spans="1:12" ht="15" customHeight="1" x14ac:dyDescent="0.25"/>
  </sheetData>
  <mergeCells count="183">
    <mergeCell ref="B6:D6"/>
    <mergeCell ref="F6:H6"/>
    <mergeCell ref="J6:K6"/>
    <mergeCell ref="B7:D7"/>
    <mergeCell ref="F7:H7"/>
    <mergeCell ref="J7:K7"/>
    <mergeCell ref="A3:K3"/>
    <mergeCell ref="B4:D4"/>
    <mergeCell ref="F4:H4"/>
    <mergeCell ref="J4:K4"/>
    <mergeCell ref="B5:D5"/>
    <mergeCell ref="F5:H5"/>
    <mergeCell ref="J5:K5"/>
    <mergeCell ref="B43:D43"/>
    <mergeCell ref="B44:D44"/>
    <mergeCell ref="B45:D45"/>
    <mergeCell ref="B47:D47"/>
    <mergeCell ref="B48:D48"/>
    <mergeCell ref="B49:D49"/>
    <mergeCell ref="A8:C8"/>
    <mergeCell ref="B38:D38"/>
    <mergeCell ref="B39:D39"/>
    <mergeCell ref="B40:D40"/>
    <mergeCell ref="B41:D41"/>
    <mergeCell ref="B42:D42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5:D55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A98:K98"/>
    <mergeCell ref="A100:C100"/>
    <mergeCell ref="A101:C101"/>
    <mergeCell ref="A102:C102"/>
    <mergeCell ref="A103:C103"/>
    <mergeCell ref="B75:D75"/>
    <mergeCell ref="B76:D76"/>
    <mergeCell ref="B77:D77"/>
    <mergeCell ref="B78:D78"/>
    <mergeCell ref="B79:D79"/>
    <mergeCell ref="B80:D80"/>
    <mergeCell ref="A110:C110"/>
    <mergeCell ref="A111:C111"/>
    <mergeCell ref="A112:C112"/>
    <mergeCell ref="A113:C113"/>
    <mergeCell ref="A114:C114"/>
    <mergeCell ref="A115:C115"/>
    <mergeCell ref="A104:C104"/>
    <mergeCell ref="A105:C105"/>
    <mergeCell ref="A106:C106"/>
    <mergeCell ref="A107:C107"/>
    <mergeCell ref="A108:C108"/>
    <mergeCell ref="A109:C109"/>
    <mergeCell ref="A122:C122"/>
    <mergeCell ref="A123:C123"/>
    <mergeCell ref="A124:C124"/>
    <mergeCell ref="A125:C125"/>
    <mergeCell ref="A126:C126"/>
    <mergeCell ref="A127:C127"/>
    <mergeCell ref="A116:C116"/>
    <mergeCell ref="A117:C117"/>
    <mergeCell ref="A118:C118"/>
    <mergeCell ref="A119:C119"/>
    <mergeCell ref="A120:C120"/>
    <mergeCell ref="A121:C121"/>
    <mergeCell ref="A134:C134"/>
    <mergeCell ref="A135:C135"/>
    <mergeCell ref="A136:C136"/>
    <mergeCell ref="A137:C137"/>
    <mergeCell ref="A138:C138"/>
    <mergeCell ref="A139:C139"/>
    <mergeCell ref="A128:C128"/>
    <mergeCell ref="A129:C129"/>
    <mergeCell ref="A130:C130"/>
    <mergeCell ref="A131:C131"/>
    <mergeCell ref="A132:C132"/>
    <mergeCell ref="A133:C133"/>
    <mergeCell ref="A146:C146"/>
    <mergeCell ref="A147:C147"/>
    <mergeCell ref="A148:C148"/>
    <mergeCell ref="A149:C149"/>
    <mergeCell ref="A150:C150"/>
    <mergeCell ref="A151:C151"/>
    <mergeCell ref="A140:C140"/>
    <mergeCell ref="A141:C141"/>
    <mergeCell ref="A142:C142"/>
    <mergeCell ref="A143:C143"/>
    <mergeCell ref="A144:C144"/>
    <mergeCell ref="A145:C145"/>
    <mergeCell ref="A159:C159"/>
    <mergeCell ref="A160:C160"/>
    <mergeCell ref="A161:C161"/>
    <mergeCell ref="A162:C162"/>
    <mergeCell ref="A163:C163"/>
    <mergeCell ref="A164:C164"/>
    <mergeCell ref="A152:C152"/>
    <mergeCell ref="A153:C153"/>
    <mergeCell ref="A154:C154"/>
    <mergeCell ref="A155:C155"/>
    <mergeCell ref="A157:C157"/>
    <mergeCell ref="A158:C158"/>
    <mergeCell ref="A171:C171"/>
    <mergeCell ref="A172:C172"/>
    <mergeCell ref="A173:C173"/>
    <mergeCell ref="A174:C174"/>
    <mergeCell ref="A175:C175"/>
    <mergeCell ref="A176:C176"/>
    <mergeCell ref="A165:C165"/>
    <mergeCell ref="A166:C166"/>
    <mergeCell ref="A167:C167"/>
    <mergeCell ref="A168:C168"/>
    <mergeCell ref="A169:C169"/>
    <mergeCell ref="A170:C170"/>
    <mergeCell ref="A183:C183"/>
    <mergeCell ref="A185:C185"/>
    <mergeCell ref="A186:C186"/>
    <mergeCell ref="A187:C187"/>
    <mergeCell ref="A188:C188"/>
    <mergeCell ref="A190:C190"/>
    <mergeCell ref="A177:C177"/>
    <mergeCell ref="A178:C178"/>
    <mergeCell ref="A179:C179"/>
    <mergeCell ref="A180:C180"/>
    <mergeCell ref="A181:C181"/>
    <mergeCell ref="A182:C182"/>
    <mergeCell ref="A197:C197"/>
    <mergeCell ref="A198:C198"/>
    <mergeCell ref="A199:C199"/>
    <mergeCell ref="A200:C200"/>
    <mergeCell ref="A201:C201"/>
    <mergeCell ref="A202:C202"/>
    <mergeCell ref="A191:C191"/>
    <mergeCell ref="A192:C192"/>
    <mergeCell ref="A193:C193"/>
    <mergeCell ref="A194:C194"/>
    <mergeCell ref="A195:C195"/>
    <mergeCell ref="A196:C196"/>
    <mergeCell ref="A209:C209"/>
    <mergeCell ref="A210:C210"/>
    <mergeCell ref="A211:C211"/>
    <mergeCell ref="A213:K213"/>
    <mergeCell ref="A230:C230"/>
    <mergeCell ref="A231:C231"/>
    <mergeCell ref="A203:C203"/>
    <mergeCell ref="A204:C204"/>
    <mergeCell ref="A205:C205"/>
    <mergeCell ref="A206:C206"/>
    <mergeCell ref="A207:C207"/>
    <mergeCell ref="A208:C208"/>
    <mergeCell ref="A244:C244"/>
    <mergeCell ref="C245:K245"/>
    <mergeCell ref="A238:C238"/>
    <mergeCell ref="A239:C239"/>
    <mergeCell ref="A240:C240"/>
    <mergeCell ref="A241:C241"/>
    <mergeCell ref="A242:C242"/>
    <mergeCell ref="A243:C243"/>
    <mergeCell ref="A232:C232"/>
    <mergeCell ref="A233:C233"/>
    <mergeCell ref="A234:C234"/>
    <mergeCell ref="A235:C235"/>
    <mergeCell ref="A236:C236"/>
    <mergeCell ref="A237:C237"/>
  </mergeCells>
  <conditionalFormatting sqref="A121:K128 A153:K154 A231:K240 A104:K105 A112:K114 A155:D155 J155 H155 F155 A133:K138 A140:K151 A139 D139:K139">
    <cfRule type="expression" dxfId="181" priority="51">
      <formula>MOD(ROW(),2)=0</formula>
    </cfRule>
    <cfRule type="expression" dxfId="180" priority="52">
      <formula>MOD(ROW(),2)=1</formula>
    </cfRule>
  </conditionalFormatting>
  <conditionalFormatting sqref="A191:K211 A101:K101 A180:K180 A158:C179 E158:K179 A181:C181 E181:K181 A182:D182 F182:K182 A103:K103">
    <cfRule type="expression" dxfId="179" priority="49">
      <formula>MOD(ROW(),2)=0</formula>
    </cfRule>
    <cfRule type="expression" dxfId="178" priority="50">
      <formula>MOD(ROW(),2)=1</formula>
    </cfRule>
  </conditionalFormatting>
  <conditionalFormatting sqref="E182">
    <cfRule type="expression" dxfId="177" priority="43">
      <formula>MOD(ROW(),2)=0</formula>
    </cfRule>
    <cfRule type="expression" dxfId="176" priority="44">
      <formula>MOD(ROW(),2)=1</formula>
    </cfRule>
  </conditionalFormatting>
  <conditionalFormatting sqref="D159:D179">
    <cfRule type="expression" dxfId="175" priority="47">
      <formula>MOD(ROW(),2)=0</formula>
    </cfRule>
    <cfRule type="expression" dxfId="174" priority="48">
      <formula>MOD(ROW(),2)=1</formula>
    </cfRule>
  </conditionalFormatting>
  <conditionalFormatting sqref="D181">
    <cfRule type="expression" dxfId="173" priority="45">
      <formula>MOD(ROW(),2)=0</formula>
    </cfRule>
    <cfRule type="expression" dxfId="172" priority="46">
      <formula>MOD(ROW(),2)=1</formula>
    </cfRule>
  </conditionalFormatting>
  <conditionalFormatting sqref="D158">
    <cfRule type="expression" dxfId="171" priority="41">
      <formula>MOD(ROW(),2)=0</formula>
    </cfRule>
    <cfRule type="expression" dxfId="170" priority="42">
      <formula>MOD(ROW(),2)=1</formula>
    </cfRule>
  </conditionalFormatting>
  <conditionalFormatting sqref="B39:D40 B52:D54 B42:D50 E42:E54 F58:G80 F39:G54">
    <cfRule type="expression" dxfId="169" priority="39">
      <formula>MOD(ROW(),2)=1</formula>
    </cfRule>
    <cfRule type="expression" dxfId="168" priority="40">
      <formula>MOD(ROW(),2)=0</formula>
    </cfRule>
  </conditionalFormatting>
  <conditionalFormatting sqref="B58:D80">
    <cfRule type="expression" dxfId="167" priority="37">
      <formula>MOD(ROW(),2)=1</formula>
    </cfRule>
    <cfRule type="expression" dxfId="166" priority="38">
      <formula>MOD(ROW(),2)=0</formula>
    </cfRule>
  </conditionalFormatting>
  <conditionalFormatting sqref="A152:K152">
    <cfRule type="expression" dxfId="165" priority="35">
      <formula>MOD(ROW(),2)=0</formula>
    </cfRule>
    <cfRule type="expression" dxfId="164" priority="36">
      <formula>MOD(ROW(),2)=1</formula>
    </cfRule>
  </conditionalFormatting>
  <conditionalFormatting sqref="B41:D41">
    <cfRule type="expression" dxfId="163" priority="33">
      <formula>MOD(ROW(),2)=1</formula>
    </cfRule>
    <cfRule type="expression" dxfId="162" priority="34">
      <formula>MOD(ROW(),2)=0</formula>
    </cfRule>
  </conditionalFormatting>
  <conditionalFormatting sqref="A111:K111">
    <cfRule type="expression" dxfId="161" priority="31">
      <formula>MOD(ROW(),2)=0</formula>
    </cfRule>
    <cfRule type="expression" dxfId="160" priority="32">
      <formula>MOD(ROW(),2)=1</formula>
    </cfRule>
  </conditionalFormatting>
  <conditionalFormatting sqref="D115:K118">
    <cfRule type="expression" dxfId="159" priority="29">
      <formula>MOD(ROW(),2)=0</formula>
    </cfRule>
    <cfRule type="expression" dxfId="158" priority="30">
      <formula>MOD(ROW(),2)=1</formula>
    </cfRule>
  </conditionalFormatting>
  <conditionalFormatting sqref="A241:C244">
    <cfRule type="expression" dxfId="157" priority="27">
      <formula>MOD(ROW(),2)=0</formula>
    </cfRule>
    <cfRule type="expression" dxfId="156" priority="28">
      <formula>MOD(ROW(),2)=1</formula>
    </cfRule>
  </conditionalFormatting>
  <conditionalFormatting sqref="D241:K244">
    <cfRule type="expression" dxfId="155" priority="25">
      <formula>MOD(ROW(),2)=0</formula>
    </cfRule>
    <cfRule type="expression" dxfId="154" priority="26">
      <formula>MOD(ROW(),2)=1</formula>
    </cfRule>
  </conditionalFormatting>
  <conditionalFormatting sqref="E39:E40">
    <cfRule type="expression" dxfId="153" priority="23">
      <formula>MOD(ROW(),2)=1</formula>
    </cfRule>
    <cfRule type="expression" dxfId="152" priority="24">
      <formula>MOD(ROW(),2)=0</formula>
    </cfRule>
  </conditionalFormatting>
  <conditionalFormatting sqref="E41">
    <cfRule type="expression" dxfId="151" priority="21">
      <formula>MOD(ROW(),2)=1</formula>
    </cfRule>
    <cfRule type="expression" dxfId="150" priority="22">
      <formula>MOD(ROW(),2)=0</formula>
    </cfRule>
  </conditionalFormatting>
  <conditionalFormatting sqref="E58:E80">
    <cfRule type="expression" dxfId="149" priority="19">
      <formula>MOD(ROW(),2)=1</formula>
    </cfRule>
    <cfRule type="expression" dxfId="148" priority="20">
      <formula>MOD(ROW(),2)=0</formula>
    </cfRule>
  </conditionalFormatting>
  <conditionalFormatting sqref="B51:D51">
    <cfRule type="expression" dxfId="147" priority="17">
      <formula>MOD(ROW(),2)=1</formula>
    </cfRule>
    <cfRule type="expression" dxfId="146" priority="18">
      <formula>MOD(ROW(),2)=0</formula>
    </cfRule>
  </conditionalFormatting>
  <conditionalFormatting sqref="A115:A118">
    <cfRule type="expression" dxfId="145" priority="15">
      <formula>MOD(ROW(),2)=0</formula>
    </cfRule>
    <cfRule type="expression" dxfId="144" priority="16">
      <formula>MOD(ROW(),2)=1</formula>
    </cfRule>
  </conditionalFormatting>
  <conditionalFormatting sqref="E155 G155 I155 K155">
    <cfRule type="expression" dxfId="143" priority="13">
      <formula>MOD(ROW(),2)=0</formula>
    </cfRule>
    <cfRule type="expression" dxfId="142" priority="14">
      <formula>MOD(ROW(),2)=1</formula>
    </cfRule>
  </conditionalFormatting>
  <conditionalFormatting sqref="A102:K102">
    <cfRule type="expression" dxfId="141" priority="11">
      <formula>MOD(ROW(),2)=0</formula>
    </cfRule>
    <cfRule type="expression" dxfId="140" priority="12">
      <formula>MOD(ROW(),2)=1</formula>
    </cfRule>
  </conditionalFormatting>
  <conditionalFormatting sqref="A109:K110">
    <cfRule type="expression" dxfId="139" priority="9">
      <formula>MOD(ROW(),2)=0</formula>
    </cfRule>
    <cfRule type="expression" dxfId="138" priority="10">
      <formula>MOD(ROW(),2)=1</formula>
    </cfRule>
  </conditionalFormatting>
  <conditionalFormatting sqref="A106:K106 A108:K108">
    <cfRule type="expression" dxfId="137" priority="7">
      <formula>MOD(ROW(),2)=0</formula>
    </cfRule>
    <cfRule type="expression" dxfId="136" priority="8">
      <formula>MOD(ROW(),2)=1</formula>
    </cfRule>
  </conditionalFormatting>
  <conditionalFormatting sqref="A107:K107">
    <cfRule type="expression" dxfId="135" priority="5">
      <formula>MOD(ROW(),2)=0</formula>
    </cfRule>
    <cfRule type="expression" dxfId="134" priority="6">
      <formula>MOD(ROW(),2)=1</formula>
    </cfRule>
  </conditionalFormatting>
  <conditionalFormatting sqref="A129:K132">
    <cfRule type="expression" dxfId="133" priority="3">
      <formula>MOD(ROW(),2)=0</formula>
    </cfRule>
    <cfRule type="expression" dxfId="132" priority="4">
      <formula>MOD(ROW(),2)=1</formula>
    </cfRule>
  </conditionalFormatting>
  <conditionalFormatting sqref="A185:K188">
    <cfRule type="expression" dxfId="131" priority="1">
      <formula>MOD(ROW(),2)=1</formula>
    </cfRule>
    <cfRule type="expression" dxfId="130" priority="2">
      <formula>MOD(ROW(),2)=0</formula>
    </cfRule>
  </conditionalFormatting>
  <pageMargins left="0.7" right="0.7" top="0.75" bottom="0.75" header="0.3" footer="0.3"/>
  <pageSetup scale="47" orientation="portrait" r:id="rId1"/>
  <rowBreaks count="1" manualBreakCount="1">
    <brk id="177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244"/>
  <sheetViews>
    <sheetView topLeftCell="A29" zoomScale="80" zoomScaleNormal="80" zoomScalePageLayoutView="90" workbookViewId="0">
      <selection activeCell="F68" sqref="F68"/>
    </sheetView>
  </sheetViews>
  <sheetFormatPr defaultColWidth="8.85546875" defaultRowHeight="15" x14ac:dyDescent="0.25"/>
  <cols>
    <col min="1" max="2" width="10.7109375" style="143" customWidth="1"/>
    <col min="3" max="3" width="45.7109375" style="143" customWidth="1"/>
    <col min="4" max="4" width="13.7109375" style="143" customWidth="1"/>
    <col min="5" max="5" width="13.7109375" style="103" customWidth="1"/>
    <col min="6" max="6" width="13.7109375" style="143" customWidth="1"/>
    <col min="7" max="7" width="13.7109375" style="103" customWidth="1"/>
    <col min="8" max="8" width="13.7109375" style="143" customWidth="1"/>
    <col min="9" max="9" width="13.7109375" style="103" customWidth="1"/>
    <col min="10" max="10" width="13.7109375" style="143" customWidth="1"/>
    <col min="11" max="11" width="13.7109375" style="103" customWidth="1"/>
    <col min="12" max="16" width="10.7109375" style="143" customWidth="1"/>
    <col min="17" max="16384" width="8.85546875" style="143"/>
  </cols>
  <sheetData>
    <row r="1" spans="1:16" x14ac:dyDescent="0.25">
      <c r="A1" s="132"/>
      <c r="B1" s="132"/>
      <c r="C1" s="132"/>
    </row>
    <row r="3" spans="1:16" x14ac:dyDescent="0.25">
      <c r="A3" s="460" t="s">
        <v>1860</v>
      </c>
      <c r="B3" s="461"/>
      <c r="C3" s="461"/>
      <c r="D3" s="461"/>
      <c r="E3" s="461"/>
      <c r="F3" s="461"/>
      <c r="G3" s="461"/>
      <c r="H3" s="461"/>
      <c r="I3" s="461"/>
      <c r="J3" s="461"/>
      <c r="K3" s="462"/>
      <c r="L3" s="140"/>
      <c r="M3" s="140"/>
      <c r="N3" s="140"/>
      <c r="O3" s="140"/>
      <c r="P3" s="140"/>
    </row>
    <row r="4" spans="1:16" x14ac:dyDescent="0.25">
      <c r="A4" s="127" t="s">
        <v>1861</v>
      </c>
      <c r="B4" s="502"/>
      <c r="C4" s="502"/>
      <c r="D4" s="502"/>
      <c r="E4" s="191" t="s">
        <v>2411</v>
      </c>
      <c r="F4" s="503"/>
      <c r="G4" s="503"/>
      <c r="H4" s="503"/>
      <c r="I4" s="131" t="s">
        <v>1881</v>
      </c>
      <c r="J4" s="504"/>
      <c r="K4" s="505"/>
      <c r="L4" s="129"/>
      <c r="P4" s="129"/>
    </row>
    <row r="5" spans="1:16" s="138" customFormat="1" x14ac:dyDescent="0.25">
      <c r="A5" s="128" t="s">
        <v>1862</v>
      </c>
      <c r="B5" s="506"/>
      <c r="C5" s="506"/>
      <c r="D5" s="506"/>
      <c r="E5" s="192" t="s">
        <v>2412</v>
      </c>
      <c r="F5" s="507"/>
      <c r="G5" s="507"/>
      <c r="H5" s="507"/>
      <c r="I5" s="195" t="s">
        <v>1881</v>
      </c>
      <c r="J5" s="508"/>
      <c r="K5" s="509"/>
    </row>
    <row r="6" spans="1:16" x14ac:dyDescent="0.25">
      <c r="A6" s="127" t="s">
        <v>1863</v>
      </c>
      <c r="B6" s="495"/>
      <c r="C6" s="495"/>
      <c r="D6" s="495"/>
      <c r="E6" s="193" t="s">
        <v>2413</v>
      </c>
      <c r="F6" s="496"/>
      <c r="G6" s="496"/>
      <c r="H6" s="496"/>
      <c r="I6" s="131" t="s">
        <v>1881</v>
      </c>
      <c r="J6" s="497"/>
      <c r="K6" s="498"/>
    </row>
    <row r="7" spans="1:16" s="138" customFormat="1" x14ac:dyDescent="0.25">
      <c r="A7" s="124" t="s">
        <v>1864</v>
      </c>
      <c r="B7" s="499"/>
      <c r="C7" s="499"/>
      <c r="D7" s="499"/>
      <c r="E7" s="194" t="s">
        <v>2414</v>
      </c>
      <c r="F7" s="500"/>
      <c r="G7" s="500"/>
      <c r="H7" s="500"/>
      <c r="I7" s="123"/>
      <c r="J7" s="500"/>
      <c r="K7" s="501"/>
    </row>
    <row r="8" spans="1:16" x14ac:dyDescent="0.25">
      <c r="A8" s="494"/>
      <c r="B8" s="494"/>
      <c r="C8" s="494"/>
    </row>
    <row r="9" spans="1:16" x14ac:dyDescent="0.25">
      <c r="G9" s="143"/>
      <c r="I9" s="143"/>
      <c r="K9" s="143"/>
    </row>
    <row r="10" spans="1:16" x14ac:dyDescent="0.25">
      <c r="G10" s="143"/>
      <c r="I10" s="143"/>
      <c r="K10" s="143"/>
    </row>
    <row r="11" spans="1:16" x14ac:dyDescent="0.25">
      <c r="G11" s="143"/>
      <c r="I11" s="143"/>
      <c r="K11" s="143"/>
    </row>
    <row r="12" spans="1:16" x14ac:dyDescent="0.25">
      <c r="G12" s="143"/>
      <c r="I12" s="143"/>
      <c r="K12" s="143"/>
    </row>
    <row r="13" spans="1:16" x14ac:dyDescent="0.25">
      <c r="G13" s="143"/>
      <c r="I13" s="143"/>
      <c r="K13" s="143"/>
      <c r="L13" s="138"/>
      <c r="M13" s="138"/>
      <c r="N13" s="138"/>
      <c r="O13" s="138"/>
    </row>
    <row r="14" spans="1:16" x14ac:dyDescent="0.25">
      <c r="G14" s="143"/>
      <c r="I14" s="143"/>
      <c r="K14" s="143"/>
    </row>
    <row r="15" spans="1:16" x14ac:dyDescent="0.25">
      <c r="G15" s="143"/>
      <c r="I15" s="143"/>
      <c r="K15" s="143"/>
    </row>
    <row r="16" spans="1:16" x14ac:dyDescent="0.25">
      <c r="G16" s="143"/>
      <c r="I16" s="143"/>
      <c r="K16" s="143"/>
    </row>
    <row r="17" spans="5:5" s="143" customFormat="1" x14ac:dyDescent="0.25">
      <c r="E17" s="103"/>
    </row>
    <row r="18" spans="5:5" s="143" customFormat="1" x14ac:dyDescent="0.25">
      <c r="E18" s="103"/>
    </row>
    <row r="19" spans="5:5" s="143" customFormat="1" x14ac:dyDescent="0.25">
      <c r="E19" s="103"/>
    </row>
    <row r="20" spans="5:5" s="143" customFormat="1" x14ac:dyDescent="0.25">
      <c r="E20" s="103"/>
    </row>
    <row r="21" spans="5:5" s="143" customFormat="1" x14ac:dyDescent="0.25">
      <c r="E21" s="103"/>
    </row>
    <row r="22" spans="5:5" s="143" customFormat="1" x14ac:dyDescent="0.25">
      <c r="E22" s="103"/>
    </row>
    <row r="23" spans="5:5" s="143" customFormat="1" x14ac:dyDescent="0.25">
      <c r="E23" s="103"/>
    </row>
    <row r="24" spans="5:5" s="143" customFormat="1" x14ac:dyDescent="0.25">
      <c r="E24" s="103"/>
    </row>
    <row r="25" spans="5:5" s="143" customFormat="1" x14ac:dyDescent="0.25">
      <c r="E25" s="103"/>
    </row>
    <row r="26" spans="5:5" s="143" customFormat="1" x14ac:dyDescent="0.25">
      <c r="E26" s="103"/>
    </row>
    <row r="27" spans="5:5" s="143" customFormat="1" x14ac:dyDescent="0.25">
      <c r="E27" s="103"/>
    </row>
    <row r="28" spans="5:5" s="143" customFormat="1" x14ac:dyDescent="0.25">
      <c r="E28" s="103"/>
    </row>
    <row r="29" spans="5:5" s="143" customFormat="1" x14ac:dyDescent="0.25">
      <c r="E29" s="103"/>
    </row>
    <row r="30" spans="5:5" s="143" customFormat="1" x14ac:dyDescent="0.25">
      <c r="E30" s="103"/>
    </row>
    <row r="31" spans="5:5" s="143" customFormat="1" x14ac:dyDescent="0.25">
      <c r="E31" s="103"/>
    </row>
    <row r="32" spans="5:5" s="143" customFormat="1" x14ac:dyDescent="0.25">
      <c r="E32" s="103"/>
    </row>
    <row r="33" spans="2:13" x14ac:dyDescent="0.25">
      <c r="G33" s="143"/>
      <c r="I33" s="143"/>
      <c r="K33" s="143"/>
    </row>
    <row r="34" spans="2:13" x14ac:dyDescent="0.25">
      <c r="E34" s="143"/>
      <c r="G34" s="143"/>
      <c r="I34" s="143"/>
      <c r="K34" s="143"/>
    </row>
    <row r="35" spans="2:13" x14ac:dyDescent="0.25">
      <c r="E35" s="143"/>
      <c r="G35" s="143"/>
      <c r="I35" s="143"/>
      <c r="K35" s="143"/>
    </row>
    <row r="36" spans="2:13" x14ac:dyDescent="0.25">
      <c r="E36" s="143"/>
      <c r="G36" s="143"/>
      <c r="I36" s="143"/>
      <c r="K36" s="143"/>
    </row>
    <row r="37" spans="2:13" x14ac:dyDescent="0.25">
      <c r="E37" s="113"/>
      <c r="F37" s="113"/>
      <c r="G37" s="113"/>
      <c r="H37" s="113"/>
      <c r="I37" s="143"/>
      <c r="K37" s="143"/>
    </row>
    <row r="38" spans="2:13" x14ac:dyDescent="0.25">
      <c r="B38" s="460"/>
      <c r="C38" s="461"/>
      <c r="D38" s="462"/>
      <c r="E38" s="383" t="s">
        <v>3256</v>
      </c>
      <c r="F38" s="133" t="s">
        <v>1878</v>
      </c>
      <c r="G38" s="133" t="s">
        <v>1877</v>
      </c>
      <c r="H38" s="133" t="s">
        <v>1876</v>
      </c>
      <c r="I38" s="133" t="s">
        <v>1875</v>
      </c>
      <c r="J38" s="134" t="s">
        <v>3257</v>
      </c>
      <c r="K38" s="143"/>
    </row>
    <row r="39" spans="2:13" x14ac:dyDescent="0.25">
      <c r="B39" s="483"/>
      <c r="C39" s="482"/>
      <c r="D39" s="484"/>
      <c r="E39" s="170"/>
      <c r="F39" s="120"/>
      <c r="G39" s="120"/>
      <c r="H39" s="120"/>
      <c r="I39" s="120"/>
      <c r="J39" s="170"/>
      <c r="K39" s="143"/>
    </row>
    <row r="40" spans="2:13" x14ac:dyDescent="0.25">
      <c r="B40" s="451"/>
      <c r="C40" s="452"/>
      <c r="D40" s="453"/>
      <c r="E40" s="159"/>
      <c r="F40" s="120"/>
      <c r="G40" s="120"/>
      <c r="H40" s="120"/>
      <c r="I40" s="120"/>
      <c r="J40" s="122"/>
      <c r="K40" s="143"/>
    </row>
    <row r="41" spans="2:13" x14ac:dyDescent="0.25">
      <c r="B41" s="451"/>
      <c r="C41" s="452"/>
      <c r="D41" s="453"/>
      <c r="E41" s="159"/>
      <c r="F41" s="120"/>
      <c r="G41" s="120"/>
      <c r="H41" s="120"/>
      <c r="I41" s="120"/>
      <c r="J41" s="122"/>
      <c r="K41" s="138"/>
      <c r="L41" s="138"/>
      <c r="M41" s="138"/>
    </row>
    <row r="42" spans="2:13" x14ac:dyDescent="0.25">
      <c r="B42" s="451"/>
      <c r="C42" s="452"/>
      <c r="D42" s="453"/>
      <c r="E42" s="159"/>
      <c r="F42" s="120"/>
      <c r="G42" s="120"/>
      <c r="H42" s="120"/>
      <c r="I42" s="120"/>
      <c r="J42" s="122"/>
      <c r="K42" s="143"/>
    </row>
    <row r="43" spans="2:13" x14ac:dyDescent="0.25">
      <c r="B43" s="451"/>
      <c r="C43" s="452"/>
      <c r="D43" s="453"/>
      <c r="E43" s="159"/>
      <c r="F43" s="120"/>
      <c r="G43" s="120"/>
      <c r="H43" s="120"/>
      <c r="I43" s="120"/>
      <c r="J43" s="122"/>
      <c r="K43" s="138"/>
      <c r="L43" s="138"/>
      <c r="M43" s="138"/>
    </row>
    <row r="44" spans="2:13" x14ac:dyDescent="0.25">
      <c r="B44" s="451"/>
      <c r="C44" s="452"/>
      <c r="D44" s="453"/>
      <c r="E44" s="159"/>
      <c r="F44" s="120"/>
      <c r="G44" s="120"/>
      <c r="H44" s="120"/>
      <c r="I44" s="120"/>
      <c r="J44" s="122"/>
      <c r="K44" s="143"/>
    </row>
    <row r="45" spans="2:13" x14ac:dyDescent="0.25">
      <c r="B45" s="451"/>
      <c r="C45" s="452"/>
      <c r="D45" s="453"/>
      <c r="E45" s="159"/>
      <c r="F45" s="120"/>
      <c r="G45" s="120"/>
      <c r="H45" s="120"/>
      <c r="I45" s="120"/>
      <c r="J45" s="122"/>
      <c r="K45" s="143"/>
    </row>
    <row r="46" spans="2:13" x14ac:dyDescent="0.25">
      <c r="B46" s="451"/>
      <c r="C46" s="452"/>
      <c r="D46" s="453"/>
      <c r="E46" s="159"/>
      <c r="F46" s="120"/>
      <c r="G46" s="120"/>
      <c r="H46" s="120"/>
      <c r="I46" s="120"/>
      <c r="J46" s="122"/>
      <c r="K46" s="143"/>
    </row>
    <row r="47" spans="2:13" x14ac:dyDescent="0.25">
      <c r="B47" s="451"/>
      <c r="C47" s="452"/>
      <c r="D47" s="453"/>
      <c r="E47" s="159"/>
      <c r="F47" s="120"/>
      <c r="G47" s="120"/>
      <c r="H47" s="120"/>
      <c r="I47" s="120"/>
      <c r="J47" s="122"/>
      <c r="K47" s="143"/>
    </row>
    <row r="48" spans="2:13" s="274" customFormat="1" x14ac:dyDescent="0.25">
      <c r="B48" s="272"/>
      <c r="C48" s="273"/>
      <c r="D48" s="273"/>
      <c r="E48" s="159"/>
      <c r="F48" s="120"/>
      <c r="G48" s="120"/>
      <c r="H48" s="120"/>
      <c r="I48" s="120"/>
      <c r="J48" s="122"/>
    </row>
    <row r="49" spans="2:12" x14ac:dyDescent="0.25">
      <c r="B49" s="451"/>
      <c r="C49" s="452"/>
      <c r="D49" s="453"/>
      <c r="E49" s="159"/>
      <c r="F49" s="120"/>
      <c r="G49" s="120"/>
      <c r="H49" s="120"/>
      <c r="I49" s="120"/>
      <c r="J49" s="122"/>
      <c r="K49" s="143"/>
    </row>
    <row r="50" spans="2:12" x14ac:dyDescent="0.25">
      <c r="B50" s="451"/>
      <c r="C50" s="452"/>
      <c r="D50" s="453"/>
      <c r="E50" s="159"/>
      <c r="F50" s="120"/>
      <c r="G50" s="120"/>
      <c r="H50" s="120"/>
      <c r="I50" s="120"/>
      <c r="J50" s="122"/>
      <c r="K50" s="143"/>
    </row>
    <row r="51" spans="2:12" x14ac:dyDescent="0.25">
      <c r="B51" s="451"/>
      <c r="C51" s="452"/>
      <c r="D51" s="453"/>
      <c r="E51" s="159"/>
      <c r="F51" s="120"/>
      <c r="G51" s="120"/>
      <c r="H51" s="120"/>
      <c r="I51" s="120"/>
      <c r="J51" s="122"/>
      <c r="K51" s="143"/>
    </row>
    <row r="52" spans="2:12" x14ac:dyDescent="0.25">
      <c r="B52" s="451"/>
      <c r="C52" s="452"/>
      <c r="D52" s="453"/>
      <c r="E52" s="159"/>
      <c r="F52" s="120"/>
      <c r="G52" s="120"/>
      <c r="H52" s="120"/>
      <c r="I52" s="120"/>
      <c r="J52" s="122"/>
      <c r="K52" s="143"/>
    </row>
    <row r="53" spans="2:12" x14ac:dyDescent="0.25">
      <c r="B53" s="451"/>
      <c r="C53" s="452"/>
      <c r="D53" s="453"/>
      <c r="E53" s="159"/>
      <c r="F53" s="120"/>
      <c r="G53" s="120"/>
      <c r="H53" s="120"/>
      <c r="I53" s="120"/>
      <c r="J53" s="122"/>
      <c r="K53" s="143"/>
    </row>
    <row r="54" spans="2:12" x14ac:dyDescent="0.25">
      <c r="B54" s="492"/>
      <c r="C54" s="493"/>
      <c r="D54" s="513"/>
      <c r="E54" s="171"/>
      <c r="F54" s="120"/>
      <c r="G54" s="120"/>
      <c r="H54" s="120"/>
      <c r="I54" s="120"/>
      <c r="J54" s="159"/>
      <c r="K54" s="143"/>
    </row>
    <row r="55" spans="2:12" x14ac:dyDescent="0.25">
      <c r="B55" s="473"/>
      <c r="C55" s="474"/>
      <c r="D55" s="475"/>
      <c r="E55" s="169"/>
      <c r="F55" s="186"/>
      <c r="G55" s="172"/>
      <c r="H55" s="172"/>
      <c r="I55" s="168"/>
      <c r="J55" s="169"/>
      <c r="K55" s="143"/>
    </row>
    <row r="56" spans="2:12" x14ac:dyDescent="0.25">
      <c r="B56" s="139"/>
      <c r="C56" s="137"/>
      <c r="D56" s="137"/>
      <c r="E56" s="118"/>
      <c r="F56" s="118"/>
      <c r="G56" s="118"/>
      <c r="H56" s="118"/>
      <c r="I56" s="118"/>
      <c r="J56" s="118"/>
      <c r="K56" s="138"/>
      <c r="L56" s="138"/>
    </row>
    <row r="57" spans="2:12" x14ac:dyDescent="0.25">
      <c r="B57" s="460"/>
      <c r="C57" s="461"/>
      <c r="D57" s="462"/>
      <c r="E57" s="383" t="s">
        <v>3256</v>
      </c>
      <c r="F57" s="133" t="s">
        <v>1878</v>
      </c>
      <c r="G57" s="133" t="s">
        <v>1877</v>
      </c>
      <c r="H57" s="133" t="s">
        <v>1876</v>
      </c>
      <c r="I57" s="133" t="s">
        <v>1875</v>
      </c>
      <c r="J57" s="134" t="s">
        <v>3257</v>
      </c>
      <c r="K57" s="143"/>
    </row>
    <row r="58" spans="2:12" x14ac:dyDescent="0.25">
      <c r="B58" s="510"/>
      <c r="C58" s="511"/>
      <c r="D58" s="512"/>
      <c r="E58" s="166"/>
      <c r="F58" s="120"/>
      <c r="G58" s="120"/>
      <c r="H58" s="120"/>
      <c r="I58" s="120"/>
      <c r="J58" s="166"/>
      <c r="K58" s="143"/>
    </row>
    <row r="59" spans="2:12" x14ac:dyDescent="0.25">
      <c r="B59" s="448"/>
      <c r="C59" s="449"/>
      <c r="D59" s="450"/>
      <c r="E59" s="122"/>
      <c r="F59" s="120"/>
      <c r="G59" s="120"/>
      <c r="H59" s="120"/>
      <c r="I59" s="120"/>
      <c r="J59" s="122"/>
      <c r="K59" s="143"/>
    </row>
    <row r="60" spans="2:12" x14ac:dyDescent="0.25">
      <c r="B60" s="448"/>
      <c r="C60" s="449"/>
      <c r="D60" s="450"/>
      <c r="E60" s="122"/>
      <c r="F60" s="120"/>
      <c r="G60" s="120"/>
      <c r="H60" s="120"/>
      <c r="I60" s="120"/>
      <c r="J60" s="122"/>
      <c r="K60" s="118"/>
    </row>
    <row r="61" spans="2:12" x14ac:dyDescent="0.25">
      <c r="B61" s="448"/>
      <c r="C61" s="449"/>
      <c r="D61" s="450"/>
      <c r="E61" s="122"/>
      <c r="F61" s="120"/>
      <c r="G61" s="120"/>
      <c r="H61" s="120"/>
      <c r="I61" s="120"/>
      <c r="J61" s="122"/>
      <c r="K61" s="118"/>
    </row>
    <row r="62" spans="2:12" x14ac:dyDescent="0.25">
      <c r="B62" s="448"/>
      <c r="C62" s="449"/>
      <c r="D62" s="450"/>
      <c r="E62" s="122"/>
      <c r="F62" s="120"/>
      <c r="G62" s="120"/>
      <c r="H62" s="120"/>
      <c r="I62" s="120"/>
      <c r="J62" s="122"/>
      <c r="K62" s="118"/>
    </row>
    <row r="63" spans="2:12" x14ac:dyDescent="0.25">
      <c r="B63" s="448"/>
      <c r="C63" s="449"/>
      <c r="D63" s="450"/>
      <c r="E63" s="122"/>
      <c r="F63" s="120"/>
      <c r="G63" s="120"/>
      <c r="H63" s="120"/>
      <c r="I63" s="120"/>
      <c r="J63" s="122"/>
      <c r="K63" s="118"/>
    </row>
    <row r="64" spans="2:12" x14ac:dyDescent="0.25">
      <c r="B64" s="448"/>
      <c r="C64" s="449"/>
      <c r="D64" s="450"/>
      <c r="E64" s="122"/>
      <c r="F64" s="120"/>
      <c r="G64" s="120"/>
      <c r="H64" s="120"/>
      <c r="I64" s="120"/>
      <c r="J64" s="122"/>
      <c r="K64" s="118"/>
    </row>
    <row r="65" spans="2:11" x14ac:dyDescent="0.25">
      <c r="B65" s="448"/>
      <c r="C65" s="449"/>
      <c r="D65" s="450"/>
      <c r="E65" s="122"/>
      <c r="F65" s="120"/>
      <c r="G65" s="120"/>
      <c r="H65" s="120"/>
      <c r="I65" s="120"/>
      <c r="J65" s="122"/>
      <c r="K65" s="118"/>
    </row>
    <row r="66" spans="2:11" x14ac:dyDescent="0.25">
      <c r="B66" s="448"/>
      <c r="C66" s="449"/>
      <c r="D66" s="450"/>
      <c r="E66" s="122"/>
      <c r="F66" s="120"/>
      <c r="G66" s="120"/>
      <c r="H66" s="120"/>
      <c r="I66" s="120"/>
      <c r="J66" s="122"/>
      <c r="K66" s="118"/>
    </row>
    <row r="67" spans="2:11" x14ac:dyDescent="0.25">
      <c r="B67" s="448"/>
      <c r="C67" s="449"/>
      <c r="D67" s="450"/>
      <c r="E67" s="122"/>
      <c r="F67" s="120"/>
      <c r="G67" s="120"/>
      <c r="H67" s="120"/>
      <c r="I67" s="120"/>
      <c r="J67" s="122"/>
      <c r="K67" s="118"/>
    </row>
    <row r="68" spans="2:11" x14ac:dyDescent="0.25">
      <c r="B68" s="448"/>
      <c r="C68" s="449"/>
      <c r="D68" s="450"/>
      <c r="E68" s="122"/>
      <c r="F68" s="120"/>
      <c r="G68" s="120"/>
      <c r="H68" s="120"/>
      <c r="I68" s="120"/>
      <c r="J68" s="122"/>
      <c r="K68" s="118"/>
    </row>
    <row r="69" spans="2:11" x14ac:dyDescent="0.25">
      <c r="B69" s="448"/>
      <c r="C69" s="449"/>
      <c r="D69" s="450"/>
      <c r="E69" s="122"/>
      <c r="F69" s="120"/>
      <c r="G69" s="120"/>
      <c r="H69" s="120"/>
      <c r="I69" s="120"/>
      <c r="J69" s="122"/>
      <c r="K69" s="118"/>
    </row>
    <row r="70" spans="2:11" x14ac:dyDescent="0.25">
      <c r="B70" s="448"/>
      <c r="C70" s="449"/>
      <c r="D70" s="450"/>
      <c r="E70" s="122"/>
      <c r="F70" s="120"/>
      <c r="G70" s="120"/>
      <c r="H70" s="120"/>
      <c r="I70" s="120"/>
      <c r="J70" s="122"/>
      <c r="K70" s="118"/>
    </row>
    <row r="71" spans="2:11" x14ac:dyDescent="0.25">
      <c r="B71" s="448"/>
      <c r="C71" s="449"/>
      <c r="D71" s="450"/>
      <c r="E71" s="122"/>
      <c r="F71" s="120"/>
      <c r="G71" s="120"/>
      <c r="H71" s="120"/>
      <c r="I71" s="120"/>
      <c r="J71" s="122"/>
      <c r="K71" s="118"/>
    </row>
    <row r="72" spans="2:11" x14ac:dyDescent="0.25">
      <c r="B72" s="448"/>
      <c r="C72" s="449"/>
      <c r="D72" s="450"/>
      <c r="E72" s="122"/>
      <c r="F72" s="120"/>
      <c r="G72" s="120"/>
      <c r="H72" s="120"/>
      <c r="I72" s="120"/>
      <c r="J72" s="122"/>
      <c r="K72" s="118"/>
    </row>
    <row r="73" spans="2:11" x14ac:dyDescent="0.25">
      <c r="B73" s="448"/>
      <c r="C73" s="449"/>
      <c r="D73" s="450"/>
      <c r="E73" s="122"/>
      <c r="F73" s="120"/>
      <c r="G73" s="120"/>
      <c r="H73" s="120"/>
      <c r="I73" s="120"/>
      <c r="J73" s="122"/>
      <c r="K73" s="118"/>
    </row>
    <row r="74" spans="2:11" x14ac:dyDescent="0.25">
      <c r="B74" s="448"/>
      <c r="C74" s="449"/>
      <c r="D74" s="450"/>
      <c r="E74" s="122"/>
      <c r="F74" s="120"/>
      <c r="G74" s="120"/>
      <c r="H74" s="120"/>
      <c r="I74" s="120"/>
      <c r="J74" s="122"/>
      <c r="K74" s="118"/>
    </row>
    <row r="75" spans="2:11" x14ac:dyDescent="0.25">
      <c r="B75" s="448"/>
      <c r="C75" s="449"/>
      <c r="D75" s="450"/>
      <c r="E75" s="122"/>
      <c r="F75" s="120"/>
      <c r="G75" s="120"/>
      <c r="H75" s="120"/>
      <c r="I75" s="120"/>
      <c r="J75" s="122"/>
      <c r="K75" s="118"/>
    </row>
    <row r="76" spans="2:11" x14ac:dyDescent="0.25">
      <c r="B76" s="448"/>
      <c r="C76" s="449"/>
      <c r="D76" s="450"/>
      <c r="E76" s="122"/>
      <c r="F76" s="120"/>
      <c r="G76" s="120"/>
      <c r="H76" s="120"/>
      <c r="I76" s="120"/>
      <c r="J76" s="122"/>
      <c r="K76" s="118"/>
    </row>
    <row r="77" spans="2:11" x14ac:dyDescent="0.25">
      <c r="B77" s="448"/>
      <c r="C77" s="449"/>
      <c r="D77" s="450"/>
      <c r="E77" s="122"/>
      <c r="F77" s="120"/>
      <c r="G77" s="120"/>
      <c r="H77" s="120"/>
      <c r="I77" s="120"/>
      <c r="J77" s="122"/>
      <c r="K77" s="118"/>
    </row>
    <row r="78" spans="2:11" x14ac:dyDescent="0.25">
      <c r="B78" s="448"/>
      <c r="C78" s="449"/>
      <c r="D78" s="450"/>
      <c r="E78" s="122"/>
      <c r="F78" s="120"/>
      <c r="G78" s="120"/>
      <c r="H78" s="120"/>
      <c r="I78" s="120"/>
      <c r="J78" s="122"/>
      <c r="K78" s="118"/>
    </row>
    <row r="79" spans="2:11" x14ac:dyDescent="0.25">
      <c r="B79" s="448"/>
      <c r="C79" s="449"/>
      <c r="D79" s="450"/>
      <c r="E79" s="122"/>
      <c r="F79" s="120"/>
      <c r="G79" s="120"/>
      <c r="H79" s="120"/>
      <c r="I79" s="120"/>
      <c r="J79" s="122"/>
      <c r="K79" s="118"/>
    </row>
    <row r="80" spans="2:11" x14ac:dyDescent="0.25">
      <c r="B80" s="448"/>
      <c r="C80" s="449"/>
      <c r="D80" s="450"/>
      <c r="E80" s="167"/>
      <c r="F80" s="120"/>
      <c r="G80" s="120"/>
      <c r="H80" s="120"/>
      <c r="I80" s="120"/>
      <c r="J80" s="167"/>
      <c r="K80" s="118"/>
    </row>
    <row r="81" spans="2:11" x14ac:dyDescent="0.25">
      <c r="B81" s="488"/>
      <c r="C81" s="489"/>
      <c r="D81" s="490"/>
      <c r="E81" s="168"/>
      <c r="F81" s="186"/>
      <c r="G81" s="172"/>
      <c r="H81" s="172"/>
      <c r="I81" s="168"/>
      <c r="J81" s="168"/>
      <c r="K81" s="118"/>
    </row>
    <row r="82" spans="2:11" x14ac:dyDescent="0.25">
      <c r="E82" s="143"/>
      <c r="G82" s="143"/>
      <c r="I82" s="143"/>
      <c r="K82" s="143"/>
    </row>
    <row r="83" spans="2:11" x14ac:dyDescent="0.25">
      <c r="E83" s="143"/>
      <c r="G83" s="143"/>
      <c r="I83" s="143"/>
      <c r="K83" s="143"/>
    </row>
    <row r="84" spans="2:11" x14ac:dyDescent="0.25">
      <c r="E84" s="143"/>
      <c r="G84" s="143"/>
      <c r="I84" s="143"/>
      <c r="K84" s="143"/>
    </row>
    <row r="85" spans="2:11" x14ac:dyDescent="0.25">
      <c r="E85" s="143"/>
      <c r="G85" s="143"/>
      <c r="I85" s="143"/>
      <c r="K85" s="143"/>
    </row>
    <row r="86" spans="2:11" x14ac:dyDescent="0.25">
      <c r="E86" s="143"/>
      <c r="G86" s="143"/>
      <c r="I86" s="143"/>
      <c r="K86" s="143"/>
    </row>
    <row r="87" spans="2:11" x14ac:dyDescent="0.25">
      <c r="E87" s="143"/>
      <c r="G87" s="143"/>
      <c r="I87" s="143"/>
      <c r="K87" s="143"/>
    </row>
    <row r="88" spans="2:11" x14ac:dyDescent="0.25">
      <c r="E88" s="143"/>
      <c r="G88" s="143"/>
      <c r="I88" s="143"/>
      <c r="K88" s="143"/>
    </row>
    <row r="89" spans="2:11" x14ac:dyDescent="0.25">
      <c r="E89" s="143"/>
      <c r="G89" s="143"/>
      <c r="I89" s="143"/>
      <c r="K89" s="143"/>
    </row>
    <row r="90" spans="2:11" x14ac:dyDescent="0.25">
      <c r="E90" s="143"/>
      <c r="G90" s="143"/>
      <c r="I90" s="143"/>
      <c r="K90" s="143"/>
    </row>
    <row r="91" spans="2:11" x14ac:dyDescent="0.25">
      <c r="E91" s="143"/>
      <c r="G91" s="143"/>
      <c r="I91" s="143"/>
      <c r="K91" s="143"/>
    </row>
    <row r="92" spans="2:11" x14ac:dyDescent="0.25">
      <c r="E92" s="143"/>
      <c r="G92" s="143"/>
      <c r="I92" s="143"/>
      <c r="K92" s="143"/>
    </row>
    <row r="93" spans="2:11" x14ac:dyDescent="0.25">
      <c r="E93" s="143"/>
      <c r="G93" s="143"/>
      <c r="I93" s="143"/>
      <c r="K93" s="143"/>
    </row>
    <row r="94" spans="2:11" x14ac:dyDescent="0.25">
      <c r="E94" s="143"/>
      <c r="G94" s="143"/>
      <c r="I94" s="143"/>
      <c r="K94" s="143"/>
    </row>
    <row r="95" spans="2:11" x14ac:dyDescent="0.25">
      <c r="E95" s="143"/>
      <c r="G95" s="143"/>
      <c r="I95" s="143"/>
      <c r="K95" s="143"/>
    </row>
    <row r="96" spans="2:11" x14ac:dyDescent="0.25">
      <c r="E96" s="143"/>
      <c r="G96" s="143"/>
      <c r="I96" s="143"/>
      <c r="K96" s="143"/>
    </row>
    <row r="97" spans="1:15" x14ac:dyDescent="0.25">
      <c r="E97" s="143"/>
      <c r="G97" s="143"/>
      <c r="I97" s="143"/>
      <c r="K97" s="143"/>
    </row>
    <row r="98" spans="1:15" x14ac:dyDescent="0.25">
      <c r="A98" s="460" t="s">
        <v>1874</v>
      </c>
      <c r="B98" s="461"/>
      <c r="C98" s="461"/>
      <c r="D98" s="461"/>
      <c r="E98" s="461"/>
      <c r="F98" s="461"/>
      <c r="G98" s="461"/>
      <c r="H98" s="461"/>
      <c r="I98" s="461"/>
      <c r="J98" s="461"/>
      <c r="K98" s="462"/>
    </row>
    <row r="99" spans="1:15" s="138" customFormat="1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</row>
    <row r="100" spans="1:15" s="107" customFormat="1" x14ac:dyDescent="0.25">
      <c r="A100" s="470"/>
      <c r="B100" s="471"/>
      <c r="C100" s="471"/>
      <c r="D100" s="214"/>
      <c r="E100" s="213"/>
      <c r="F100" s="214"/>
      <c r="G100" s="213"/>
      <c r="H100" s="214"/>
      <c r="I100" s="213"/>
      <c r="J100" s="214"/>
      <c r="K100" s="213"/>
      <c r="L100" s="143"/>
    </row>
    <row r="101" spans="1:15" x14ac:dyDescent="0.25">
      <c r="A101" s="454"/>
      <c r="B101" s="455"/>
      <c r="C101" s="456"/>
      <c r="D101" s="177"/>
      <c r="E101" s="106"/>
      <c r="F101" s="177"/>
      <c r="G101" s="106"/>
      <c r="H101" s="177"/>
      <c r="I101" s="106"/>
      <c r="J101" s="177"/>
      <c r="K101" s="106"/>
    </row>
    <row r="102" spans="1:15" x14ac:dyDescent="0.25">
      <c r="A102" s="451"/>
      <c r="B102" s="452"/>
      <c r="C102" s="453"/>
      <c r="D102" s="174"/>
      <c r="E102" s="104"/>
      <c r="F102" s="174"/>
      <c r="G102" s="104"/>
      <c r="H102" s="174"/>
      <c r="I102" s="104"/>
      <c r="J102" s="174"/>
      <c r="K102" s="104"/>
    </row>
    <row r="103" spans="1:15" x14ac:dyDescent="0.25">
      <c r="A103" s="451"/>
      <c r="B103" s="452"/>
      <c r="C103" s="453"/>
      <c r="D103" s="174"/>
      <c r="E103" s="104"/>
      <c r="F103" s="174"/>
      <c r="G103" s="104"/>
      <c r="H103" s="174"/>
      <c r="I103" s="104"/>
      <c r="J103" s="174"/>
      <c r="K103" s="104"/>
    </row>
    <row r="104" spans="1:15" x14ac:dyDescent="0.25">
      <c r="A104" s="454"/>
      <c r="B104" s="455"/>
      <c r="C104" s="456"/>
      <c r="D104" s="180"/>
      <c r="E104" s="181"/>
      <c r="F104" s="180"/>
      <c r="G104" s="181"/>
      <c r="H104" s="180"/>
      <c r="I104" s="181"/>
      <c r="J104" s="180"/>
      <c r="K104" s="181"/>
      <c r="L104" s="138"/>
      <c r="M104" s="138"/>
      <c r="N104" s="138"/>
      <c r="O104" s="138"/>
    </row>
    <row r="105" spans="1:15" s="152" customFormat="1" x14ac:dyDescent="0.25">
      <c r="A105" s="454"/>
      <c r="B105" s="455"/>
      <c r="C105" s="456"/>
      <c r="D105" s="180"/>
      <c r="E105" s="181"/>
      <c r="F105" s="180"/>
      <c r="G105" s="181"/>
      <c r="H105" s="180"/>
      <c r="I105" s="181"/>
      <c r="J105" s="180"/>
      <c r="K105" s="181"/>
      <c r="L105" s="138"/>
      <c r="M105" s="138"/>
      <c r="N105" s="138"/>
      <c r="O105" s="138"/>
    </row>
    <row r="106" spans="1:15" x14ac:dyDescent="0.25">
      <c r="A106" s="454"/>
      <c r="B106" s="455"/>
      <c r="C106" s="456"/>
      <c r="D106" s="177"/>
      <c r="E106" s="106"/>
      <c r="F106" s="177"/>
      <c r="G106" s="106"/>
      <c r="H106" s="177"/>
      <c r="I106" s="106"/>
      <c r="J106" s="177"/>
      <c r="K106" s="106"/>
      <c r="L106" s="138"/>
      <c r="M106" s="138"/>
      <c r="N106" s="138"/>
      <c r="O106" s="138"/>
    </row>
    <row r="107" spans="1:15" x14ac:dyDescent="0.25">
      <c r="A107" s="473"/>
      <c r="B107" s="474"/>
      <c r="C107" s="475"/>
      <c r="D107" s="186"/>
      <c r="E107" s="334"/>
      <c r="F107" s="186"/>
      <c r="G107" s="334"/>
      <c r="H107" s="186"/>
      <c r="I107" s="334"/>
      <c r="J107" s="186"/>
      <c r="K107" s="334"/>
      <c r="L107" s="138"/>
      <c r="M107" s="138"/>
      <c r="N107" s="138"/>
      <c r="O107" s="138"/>
    </row>
    <row r="108" spans="1:15" s="152" customFormat="1" x14ac:dyDescent="0.25">
      <c r="A108" s="451"/>
      <c r="B108" s="452"/>
      <c r="C108" s="453"/>
      <c r="D108" s="347"/>
      <c r="E108" s="104"/>
      <c r="F108" s="347"/>
      <c r="G108" s="104"/>
      <c r="H108" s="347"/>
      <c r="I108" s="104"/>
      <c r="J108" s="174"/>
      <c r="K108" s="104"/>
      <c r="L108" s="138"/>
      <c r="M108" s="138"/>
      <c r="N108" s="138"/>
      <c r="O108" s="138"/>
    </row>
    <row r="109" spans="1:15" s="152" customFormat="1" x14ac:dyDescent="0.25">
      <c r="A109" s="451"/>
      <c r="B109" s="452"/>
      <c r="C109" s="453"/>
      <c r="D109" s="150"/>
      <c r="E109" s="104"/>
      <c r="F109" s="150"/>
      <c r="G109" s="104"/>
      <c r="H109" s="150"/>
      <c r="I109" s="104"/>
      <c r="J109" s="218"/>
      <c r="K109" s="104"/>
      <c r="L109" s="138"/>
      <c r="M109" s="138"/>
      <c r="N109" s="138"/>
      <c r="O109" s="138"/>
    </row>
    <row r="110" spans="1:15" s="152" customFormat="1" x14ac:dyDescent="0.25">
      <c r="A110" s="451"/>
      <c r="B110" s="452"/>
      <c r="C110" s="453"/>
      <c r="D110" s="150"/>
      <c r="E110" s="104"/>
      <c r="F110" s="150"/>
      <c r="G110" s="104"/>
      <c r="H110" s="150"/>
      <c r="I110" s="104"/>
      <c r="J110" s="218"/>
      <c r="K110" s="104"/>
      <c r="L110" s="138"/>
      <c r="M110" s="138"/>
      <c r="N110" s="138"/>
      <c r="O110" s="138"/>
    </row>
    <row r="111" spans="1:15" s="291" customFormat="1" x14ac:dyDescent="0.25">
      <c r="A111" s="451"/>
      <c r="B111" s="452"/>
      <c r="C111" s="453"/>
      <c r="D111" s="150"/>
      <c r="E111" s="104"/>
      <c r="F111" s="150"/>
      <c r="G111" s="104"/>
      <c r="H111" s="150"/>
      <c r="I111" s="104"/>
      <c r="J111" s="218"/>
      <c r="K111" s="104"/>
      <c r="L111" s="290"/>
      <c r="M111" s="290"/>
      <c r="N111" s="290"/>
      <c r="O111" s="290"/>
    </row>
    <row r="112" spans="1:15" s="291" customFormat="1" x14ac:dyDescent="0.25">
      <c r="A112" s="454"/>
      <c r="B112" s="455"/>
      <c r="C112" s="456"/>
      <c r="D112" s="219"/>
      <c r="E112" s="181"/>
      <c r="F112" s="219"/>
      <c r="G112" s="181"/>
      <c r="H112" s="219"/>
      <c r="I112" s="181"/>
      <c r="J112" s="219"/>
      <c r="K112" s="181"/>
      <c r="L112" s="290"/>
      <c r="M112" s="290"/>
      <c r="N112" s="290"/>
      <c r="O112" s="290"/>
    </row>
    <row r="113" spans="1:15" s="291" customFormat="1" x14ac:dyDescent="0.25">
      <c r="A113" s="454"/>
      <c r="B113" s="455"/>
      <c r="C113" s="456"/>
      <c r="D113" s="136"/>
      <c r="E113" s="106"/>
      <c r="F113" s="136"/>
      <c r="G113" s="106"/>
      <c r="H113" s="136"/>
      <c r="I113" s="106"/>
      <c r="J113" s="136"/>
      <c r="K113" s="106"/>
      <c r="L113" s="290"/>
      <c r="M113" s="290"/>
      <c r="N113" s="290"/>
      <c r="O113" s="290"/>
    </row>
    <row r="114" spans="1:15" s="291" customFormat="1" x14ac:dyDescent="0.25">
      <c r="A114" s="451"/>
      <c r="B114" s="452"/>
      <c r="C114" s="453"/>
      <c r="D114" s="218"/>
      <c r="E114" s="104"/>
      <c r="F114" s="218"/>
      <c r="G114" s="104"/>
      <c r="H114" s="218"/>
      <c r="I114" s="104"/>
      <c r="J114" s="218"/>
      <c r="K114" s="104"/>
      <c r="L114" s="290"/>
      <c r="M114" s="290"/>
      <c r="N114" s="290"/>
      <c r="O114" s="290"/>
    </row>
    <row r="115" spans="1:15" s="291" customFormat="1" x14ac:dyDescent="0.25">
      <c r="A115" s="451"/>
      <c r="B115" s="452"/>
      <c r="C115" s="453"/>
      <c r="D115" s="150"/>
      <c r="E115" s="104"/>
      <c r="F115" s="150"/>
      <c r="G115" s="104"/>
      <c r="H115" s="150"/>
      <c r="I115" s="104"/>
      <c r="J115" s="150"/>
      <c r="K115" s="104"/>
      <c r="L115" s="290"/>
      <c r="M115" s="290"/>
      <c r="N115" s="290"/>
      <c r="O115" s="290"/>
    </row>
    <row r="116" spans="1:15" s="291" customFormat="1" x14ac:dyDescent="0.25">
      <c r="A116" s="451"/>
      <c r="B116" s="452"/>
      <c r="C116" s="453"/>
      <c r="D116" s="150"/>
      <c r="E116" s="104"/>
      <c r="F116" s="150"/>
      <c r="G116" s="104"/>
      <c r="H116" s="150"/>
      <c r="I116" s="104"/>
      <c r="J116" s="218"/>
      <c r="K116" s="104"/>
      <c r="L116" s="290"/>
      <c r="M116" s="290"/>
      <c r="N116" s="290"/>
      <c r="O116" s="290"/>
    </row>
    <row r="117" spans="1:15" s="291" customFormat="1" x14ac:dyDescent="0.25">
      <c r="A117" s="451"/>
      <c r="B117" s="452"/>
      <c r="C117" s="453"/>
      <c r="D117" s="150"/>
      <c r="E117" s="104"/>
      <c r="F117" s="150"/>
      <c r="G117" s="104"/>
      <c r="H117" s="150"/>
      <c r="I117" s="104"/>
      <c r="J117" s="218"/>
      <c r="K117" s="104"/>
      <c r="L117" s="290"/>
      <c r="M117" s="290"/>
      <c r="N117" s="290"/>
      <c r="O117" s="290"/>
    </row>
    <row r="118" spans="1:15" s="152" customFormat="1" x14ac:dyDescent="0.25">
      <c r="A118" s="442"/>
      <c r="B118" s="443"/>
      <c r="C118" s="444"/>
      <c r="D118" s="151"/>
      <c r="E118" s="108"/>
      <c r="F118" s="151"/>
      <c r="G118" s="108"/>
      <c r="H118" s="151"/>
      <c r="I118" s="108"/>
      <c r="J118" s="358"/>
      <c r="K118" s="108"/>
      <c r="L118" s="138"/>
      <c r="M118" s="138"/>
      <c r="N118" s="138"/>
      <c r="O118" s="138"/>
    </row>
    <row r="119" spans="1:15" x14ac:dyDescent="0.25">
      <c r="A119" s="482"/>
      <c r="B119" s="482"/>
      <c r="C119" s="482"/>
      <c r="H119" s="117"/>
    </row>
    <row r="120" spans="1:15" s="107" customFormat="1" x14ac:dyDescent="0.25">
      <c r="A120" s="470"/>
      <c r="B120" s="471"/>
      <c r="C120" s="471"/>
      <c r="D120" s="214"/>
      <c r="E120" s="213"/>
      <c r="F120" s="214"/>
      <c r="G120" s="213"/>
      <c r="H120" s="214"/>
      <c r="I120" s="213"/>
      <c r="J120" s="214"/>
      <c r="K120" s="213"/>
    </row>
    <row r="121" spans="1:15" x14ac:dyDescent="0.25">
      <c r="A121" s="451"/>
      <c r="B121" s="452"/>
      <c r="C121" s="453"/>
      <c r="D121" s="174"/>
      <c r="E121" s="104"/>
      <c r="F121" s="174"/>
      <c r="G121" s="104"/>
      <c r="H121" s="174"/>
      <c r="I121" s="104"/>
      <c r="J121" s="174"/>
      <c r="K121" s="104"/>
    </row>
    <row r="122" spans="1:15" x14ac:dyDescent="0.25">
      <c r="A122" s="451"/>
      <c r="B122" s="452"/>
      <c r="C122" s="453"/>
      <c r="D122" s="116"/>
      <c r="E122" s="104"/>
      <c r="F122" s="116"/>
      <c r="G122" s="104"/>
      <c r="H122" s="174"/>
      <c r="I122" s="104"/>
      <c r="J122" s="174"/>
      <c r="K122" s="104"/>
    </row>
    <row r="123" spans="1:15" x14ac:dyDescent="0.25">
      <c r="A123" s="476"/>
      <c r="B123" s="477"/>
      <c r="C123" s="478"/>
      <c r="D123" s="332"/>
      <c r="E123" s="333"/>
      <c r="F123" s="332"/>
      <c r="G123" s="333"/>
      <c r="H123" s="342"/>
      <c r="I123" s="333"/>
      <c r="J123" s="342"/>
      <c r="K123" s="333"/>
    </row>
    <row r="124" spans="1:15" x14ac:dyDescent="0.25">
      <c r="A124" s="451"/>
      <c r="B124" s="452"/>
      <c r="C124" s="453"/>
      <c r="D124" s="116"/>
      <c r="E124" s="104"/>
      <c r="F124" s="116"/>
      <c r="G124" s="104"/>
      <c r="H124" s="174"/>
      <c r="I124" s="104"/>
      <c r="J124" s="174"/>
      <c r="K124" s="104"/>
    </row>
    <row r="125" spans="1:15" x14ac:dyDescent="0.25">
      <c r="A125" s="451"/>
      <c r="B125" s="452"/>
      <c r="C125" s="453"/>
      <c r="D125" s="116"/>
      <c r="E125" s="104"/>
      <c r="F125" s="116"/>
      <c r="G125" s="104"/>
      <c r="H125" s="174"/>
      <c r="I125" s="104"/>
      <c r="J125" s="174"/>
      <c r="K125" s="104"/>
    </row>
    <row r="126" spans="1:15" x14ac:dyDescent="0.25">
      <c r="A126" s="476"/>
      <c r="B126" s="477"/>
      <c r="C126" s="478"/>
      <c r="D126" s="332"/>
      <c r="E126" s="333"/>
      <c r="F126" s="332"/>
      <c r="G126" s="333"/>
      <c r="H126" s="342"/>
      <c r="I126" s="333"/>
      <c r="J126" s="342"/>
      <c r="K126" s="333"/>
    </row>
    <row r="127" spans="1:15" x14ac:dyDescent="0.25">
      <c r="A127" s="451"/>
      <c r="B127" s="452"/>
      <c r="C127" s="453"/>
      <c r="D127" s="116"/>
      <c r="E127" s="104"/>
      <c r="F127" s="116"/>
      <c r="G127" s="104"/>
      <c r="H127" s="174"/>
      <c r="I127" s="104"/>
      <c r="J127" s="174"/>
      <c r="K127" s="104"/>
    </row>
    <row r="128" spans="1:15" x14ac:dyDescent="0.25">
      <c r="A128" s="451"/>
      <c r="B128" s="452"/>
      <c r="C128" s="453"/>
      <c r="D128" s="116"/>
      <c r="E128" s="104"/>
      <c r="F128" s="116"/>
      <c r="G128" s="104"/>
      <c r="H128" s="174"/>
      <c r="I128" s="104"/>
      <c r="J128" s="174"/>
      <c r="K128" s="104"/>
    </row>
    <row r="129" spans="1:11" x14ac:dyDescent="0.25">
      <c r="A129" s="476"/>
      <c r="B129" s="477"/>
      <c r="C129" s="478"/>
      <c r="D129" s="332"/>
      <c r="E129" s="333"/>
      <c r="F129" s="332"/>
      <c r="G129" s="333"/>
      <c r="H129" s="342"/>
      <c r="I129" s="333"/>
      <c r="J129" s="342"/>
      <c r="K129" s="333"/>
    </row>
    <row r="130" spans="1:11" x14ac:dyDescent="0.25">
      <c r="A130" s="451"/>
      <c r="B130" s="452"/>
      <c r="C130" s="453"/>
      <c r="D130" s="116"/>
      <c r="E130" s="104"/>
      <c r="F130" s="116"/>
      <c r="G130" s="104"/>
      <c r="H130" s="174"/>
      <c r="I130" s="104"/>
      <c r="J130" s="174"/>
      <c r="K130" s="104"/>
    </row>
    <row r="131" spans="1:11" x14ac:dyDescent="0.25">
      <c r="A131" s="451"/>
      <c r="B131" s="452"/>
      <c r="C131" s="453"/>
      <c r="D131" s="116"/>
      <c r="E131" s="104"/>
      <c r="F131" s="116"/>
      <c r="G131" s="104"/>
      <c r="H131" s="174"/>
      <c r="I131" s="104"/>
      <c r="J131" s="174"/>
      <c r="K131" s="104"/>
    </row>
    <row r="132" spans="1:11" x14ac:dyDescent="0.25">
      <c r="A132" s="451"/>
      <c r="B132" s="452"/>
      <c r="C132" s="453"/>
      <c r="D132" s="116"/>
      <c r="E132" s="104"/>
      <c r="F132" s="116"/>
      <c r="G132" s="104"/>
      <c r="H132" s="174"/>
      <c r="I132" s="104"/>
      <c r="J132" s="174"/>
      <c r="K132" s="104"/>
    </row>
    <row r="133" spans="1:11" x14ac:dyDescent="0.25">
      <c r="A133" s="479"/>
      <c r="B133" s="480"/>
      <c r="C133" s="481"/>
      <c r="D133" s="344"/>
      <c r="E133" s="345"/>
      <c r="F133" s="344"/>
      <c r="G133" s="345"/>
      <c r="H133" s="346"/>
      <c r="I133" s="345"/>
      <c r="J133" s="346"/>
      <c r="K133" s="345"/>
    </row>
    <row r="134" spans="1:11" s="291" customFormat="1" x14ac:dyDescent="0.25">
      <c r="A134" s="451"/>
      <c r="B134" s="452"/>
      <c r="C134" s="453"/>
      <c r="D134" s="116"/>
      <c r="E134" s="104"/>
      <c r="F134" s="116"/>
      <c r="G134" s="104"/>
      <c r="H134" s="174"/>
      <c r="I134" s="104"/>
      <c r="J134" s="174"/>
      <c r="K134" s="104"/>
    </row>
    <row r="135" spans="1:11" s="291" customFormat="1" x14ac:dyDescent="0.25">
      <c r="A135" s="451"/>
      <c r="B135" s="452"/>
      <c r="C135" s="453"/>
      <c r="D135" s="116"/>
      <c r="E135" s="104"/>
      <c r="F135" s="116"/>
      <c r="G135" s="104"/>
      <c r="H135" s="174"/>
      <c r="I135" s="104"/>
      <c r="J135" s="174"/>
      <c r="K135" s="104"/>
    </row>
    <row r="136" spans="1:11" s="291" customFormat="1" x14ac:dyDescent="0.25">
      <c r="A136" s="476"/>
      <c r="B136" s="477"/>
      <c r="C136" s="478"/>
      <c r="D136" s="332"/>
      <c r="E136" s="333"/>
      <c r="F136" s="332"/>
      <c r="G136" s="333"/>
      <c r="H136" s="342"/>
      <c r="I136" s="333"/>
      <c r="J136" s="342"/>
      <c r="K136" s="333"/>
    </row>
    <row r="137" spans="1:11" s="291" customFormat="1" x14ac:dyDescent="0.25">
      <c r="A137" s="451"/>
      <c r="B137" s="452"/>
      <c r="C137" s="453"/>
      <c r="D137" s="116"/>
      <c r="E137" s="104"/>
      <c r="F137" s="116"/>
      <c r="G137" s="104"/>
      <c r="H137" s="174"/>
      <c r="I137" s="104"/>
      <c r="J137" s="174"/>
      <c r="K137" s="104"/>
    </row>
    <row r="138" spans="1:11" x14ac:dyDescent="0.25">
      <c r="A138" s="451"/>
      <c r="B138" s="452"/>
      <c r="C138" s="453"/>
      <c r="D138" s="116"/>
      <c r="E138" s="104"/>
      <c r="F138" s="116"/>
      <c r="G138" s="104"/>
      <c r="H138" s="174"/>
      <c r="I138" s="104"/>
      <c r="J138" s="174"/>
      <c r="K138" s="104"/>
    </row>
    <row r="139" spans="1:11" x14ac:dyDescent="0.25">
      <c r="A139" s="476"/>
      <c r="B139" s="477"/>
      <c r="C139" s="478"/>
      <c r="D139" s="332"/>
      <c r="E139" s="333"/>
      <c r="F139" s="332"/>
      <c r="G139" s="333"/>
      <c r="H139" s="342"/>
      <c r="I139" s="333"/>
      <c r="J139" s="342"/>
      <c r="K139" s="333"/>
    </row>
    <row r="140" spans="1:11" s="274" customFormat="1" x14ac:dyDescent="0.25">
      <c r="A140" s="285"/>
      <c r="B140" s="286"/>
      <c r="C140" s="287"/>
      <c r="D140" s="116"/>
      <c r="E140" s="104"/>
      <c r="F140" s="116"/>
      <c r="G140" s="104"/>
      <c r="H140" s="174"/>
      <c r="I140" s="104"/>
      <c r="J140" s="174"/>
      <c r="K140" s="104"/>
    </row>
    <row r="141" spans="1:11" x14ac:dyDescent="0.25">
      <c r="A141" s="451"/>
      <c r="B141" s="452"/>
      <c r="C141" s="453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76"/>
      <c r="B142" s="477"/>
      <c r="C142" s="478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51"/>
      <c r="B143" s="452"/>
      <c r="C143" s="453"/>
      <c r="D143" s="116"/>
      <c r="E143" s="104"/>
      <c r="F143" s="116"/>
      <c r="G143" s="104"/>
      <c r="H143" s="174"/>
      <c r="I143" s="104"/>
      <c r="J143" s="174"/>
      <c r="K143" s="104"/>
    </row>
    <row r="144" spans="1:11" x14ac:dyDescent="0.25">
      <c r="A144" s="451"/>
      <c r="B144" s="452"/>
      <c r="C144" s="453"/>
      <c r="D144" s="116"/>
      <c r="E144" s="104"/>
      <c r="F144" s="116"/>
      <c r="G144" s="104"/>
      <c r="H144" s="174"/>
      <c r="I144" s="104"/>
      <c r="J144" s="174"/>
      <c r="K144" s="104"/>
    </row>
    <row r="145" spans="1:11" x14ac:dyDescent="0.25">
      <c r="A145" s="476"/>
      <c r="B145" s="477"/>
      <c r="C145" s="478"/>
      <c r="D145" s="332"/>
      <c r="E145" s="333"/>
      <c r="F145" s="332"/>
      <c r="G145" s="333"/>
      <c r="H145" s="342"/>
      <c r="I145" s="333"/>
      <c r="J145" s="342"/>
      <c r="K145" s="333"/>
    </row>
    <row r="146" spans="1:11" x14ac:dyDescent="0.25">
      <c r="A146" s="451"/>
      <c r="B146" s="452"/>
      <c r="C146" s="453"/>
      <c r="D146" s="116"/>
      <c r="E146" s="104"/>
      <c r="F146" s="116"/>
      <c r="G146" s="104"/>
      <c r="H146" s="174"/>
      <c r="I146" s="104"/>
      <c r="J146" s="174"/>
      <c r="K146" s="104"/>
    </row>
    <row r="147" spans="1:11" x14ac:dyDescent="0.25">
      <c r="A147" s="451"/>
      <c r="B147" s="452"/>
      <c r="C147" s="453"/>
      <c r="D147" s="116"/>
      <c r="E147" s="104"/>
      <c r="F147" s="116"/>
      <c r="G147" s="104"/>
      <c r="H147" s="174"/>
      <c r="I147" s="104"/>
      <c r="J147" s="174"/>
      <c r="K147" s="104"/>
    </row>
    <row r="148" spans="1:11" x14ac:dyDescent="0.25">
      <c r="A148" s="473"/>
      <c r="B148" s="474"/>
      <c r="C148" s="475"/>
      <c r="D148" s="343"/>
      <c r="E148" s="334"/>
      <c r="F148" s="343"/>
      <c r="G148" s="334"/>
      <c r="H148" s="186"/>
      <c r="I148" s="334"/>
      <c r="J148" s="186"/>
      <c r="K148" s="334"/>
    </row>
    <row r="149" spans="1:11" x14ac:dyDescent="0.25">
      <c r="A149" s="451"/>
      <c r="B149" s="452"/>
      <c r="C149" s="453"/>
      <c r="D149" s="116"/>
      <c r="E149" s="104"/>
      <c r="F149" s="116"/>
      <c r="G149" s="104"/>
      <c r="H149" s="174"/>
      <c r="I149" s="104"/>
      <c r="J149" s="174"/>
      <c r="K149" s="104"/>
    </row>
    <row r="150" spans="1:11" x14ac:dyDescent="0.25">
      <c r="A150" s="451"/>
      <c r="B150" s="452"/>
      <c r="C150" s="453"/>
      <c r="D150" s="174"/>
      <c r="E150" s="104"/>
      <c r="F150" s="174"/>
      <c r="G150" s="104"/>
      <c r="H150" s="174"/>
      <c r="I150" s="104"/>
      <c r="J150" s="174"/>
      <c r="K150" s="104"/>
    </row>
    <row r="151" spans="1:11" x14ac:dyDescent="0.25">
      <c r="A151" s="451"/>
      <c r="B151" s="452"/>
      <c r="C151" s="453"/>
      <c r="D151" s="174"/>
      <c r="E151" s="104"/>
      <c r="F151" s="174"/>
      <c r="G151" s="104"/>
      <c r="H151" s="174"/>
      <c r="I151" s="104"/>
      <c r="J151" s="174"/>
      <c r="K151" s="104"/>
    </row>
    <row r="152" spans="1:11" x14ac:dyDescent="0.25">
      <c r="A152" s="451"/>
      <c r="B152" s="452"/>
      <c r="C152" s="453"/>
      <c r="D152" s="174"/>
      <c r="E152" s="104"/>
      <c r="F152" s="174"/>
      <c r="G152" s="104"/>
      <c r="H152" s="174"/>
      <c r="I152" s="104"/>
      <c r="J152" s="174"/>
      <c r="K152" s="104"/>
    </row>
    <row r="153" spans="1:11" x14ac:dyDescent="0.25">
      <c r="A153" s="473"/>
      <c r="B153" s="474"/>
      <c r="C153" s="475"/>
      <c r="D153" s="186"/>
      <c r="E153" s="334"/>
      <c r="F153" s="186"/>
      <c r="G153" s="334"/>
      <c r="H153" s="186"/>
      <c r="I153" s="334"/>
      <c r="J153" s="186"/>
      <c r="K153" s="334"/>
    </row>
    <row r="154" spans="1:11" x14ac:dyDescent="0.25">
      <c r="A154" s="451"/>
      <c r="B154" s="452"/>
      <c r="C154" s="453"/>
      <c r="D154" s="174"/>
      <c r="E154" s="104"/>
      <c r="F154" s="174"/>
      <c r="G154" s="104"/>
      <c r="H154" s="174"/>
      <c r="I154" s="104"/>
      <c r="J154" s="174"/>
      <c r="K154" s="104"/>
    </row>
    <row r="155" spans="1:11" x14ac:dyDescent="0.25">
      <c r="A155" s="442"/>
      <c r="B155" s="443"/>
      <c r="C155" s="444"/>
      <c r="D155" s="175"/>
      <c r="E155" s="204"/>
      <c r="F155" s="175"/>
      <c r="G155" s="204"/>
      <c r="H155" s="175"/>
      <c r="I155" s="204"/>
      <c r="J155" s="175"/>
      <c r="K155" s="204"/>
    </row>
    <row r="156" spans="1:11" s="138" customFormat="1" x14ac:dyDescent="0.25">
      <c r="D156" s="278"/>
      <c r="E156" s="190"/>
      <c r="F156" s="279"/>
      <c r="G156" s="190"/>
      <c r="H156" s="279"/>
      <c r="I156" s="190"/>
      <c r="J156" s="279"/>
      <c r="K156" s="190"/>
    </row>
    <row r="157" spans="1:11" s="107" customFormat="1" x14ac:dyDescent="0.25">
      <c r="A157" s="470"/>
      <c r="B157" s="471"/>
      <c r="C157" s="471"/>
      <c r="D157" s="214"/>
      <c r="E157" s="213"/>
      <c r="F157" s="214"/>
      <c r="G157" s="213"/>
      <c r="H157" s="214"/>
      <c r="I157" s="213"/>
      <c r="J157" s="214"/>
      <c r="K157" s="213"/>
    </row>
    <row r="158" spans="1:11" x14ac:dyDescent="0.25">
      <c r="A158" s="454"/>
      <c r="B158" s="455"/>
      <c r="C158" s="456"/>
      <c r="D158" s="216"/>
      <c r="E158" s="106"/>
      <c r="F158" s="177"/>
      <c r="G158" s="106"/>
      <c r="H158" s="177"/>
      <c r="I158" s="106"/>
      <c r="J158" s="177"/>
      <c r="K158" s="106"/>
    </row>
    <row r="159" spans="1:11" x14ac:dyDescent="0.25">
      <c r="A159" s="451"/>
      <c r="B159" s="452"/>
      <c r="C159" s="453"/>
      <c r="D159" s="116"/>
      <c r="E159" s="104"/>
      <c r="F159" s="174"/>
      <c r="G159" s="104"/>
      <c r="H159" s="174"/>
      <c r="I159" s="104"/>
      <c r="J159" s="174"/>
      <c r="K159" s="104"/>
    </row>
    <row r="160" spans="1:11" x14ac:dyDescent="0.25">
      <c r="A160" s="454"/>
      <c r="B160" s="455"/>
      <c r="C160" s="456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51"/>
      <c r="B161" s="452"/>
      <c r="C161" s="453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54"/>
      <c r="B162" s="455"/>
      <c r="C162" s="456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51"/>
      <c r="B163" s="452"/>
      <c r="C163" s="453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54"/>
      <c r="B164" s="455"/>
      <c r="C164" s="456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51"/>
      <c r="B165" s="452"/>
      <c r="C165" s="453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54"/>
      <c r="B166" s="455"/>
      <c r="C166" s="456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51"/>
      <c r="B167" s="452"/>
      <c r="C167" s="453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54"/>
      <c r="B168" s="455"/>
      <c r="C168" s="456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51"/>
      <c r="B169" s="452"/>
      <c r="C169" s="453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54"/>
      <c r="B170" s="455"/>
      <c r="C170" s="456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51"/>
      <c r="B171" s="452"/>
      <c r="C171" s="453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54"/>
      <c r="B172" s="455"/>
      <c r="C172" s="456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51"/>
      <c r="B173" s="452"/>
      <c r="C173" s="453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54"/>
      <c r="B174" s="455"/>
      <c r="C174" s="456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51"/>
      <c r="B175" s="452"/>
      <c r="C175" s="453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54"/>
      <c r="B176" s="455"/>
      <c r="C176" s="456"/>
      <c r="D176" s="116"/>
      <c r="E176" s="106"/>
      <c r="F176" s="177"/>
      <c r="G176" s="106"/>
      <c r="H176" s="177"/>
      <c r="I176" s="106"/>
      <c r="J176" s="177"/>
      <c r="K176" s="106"/>
    </row>
    <row r="177" spans="1:17" x14ac:dyDescent="0.25">
      <c r="A177" s="451"/>
      <c r="B177" s="452"/>
      <c r="C177" s="453"/>
      <c r="D177" s="116"/>
      <c r="E177" s="104"/>
      <c r="F177" s="174"/>
      <c r="G177" s="104"/>
      <c r="H177" s="174"/>
      <c r="I177" s="104"/>
      <c r="J177" s="174"/>
      <c r="K177" s="104"/>
    </row>
    <row r="178" spans="1:17" x14ac:dyDescent="0.25">
      <c r="A178" s="454"/>
      <c r="B178" s="455"/>
      <c r="C178" s="456"/>
      <c r="D178" s="116"/>
      <c r="E178" s="106"/>
      <c r="F178" s="177"/>
      <c r="G178" s="106"/>
      <c r="H178" s="177"/>
      <c r="I178" s="106"/>
      <c r="J178" s="177"/>
      <c r="K178" s="106"/>
    </row>
    <row r="179" spans="1:17" x14ac:dyDescent="0.25">
      <c r="A179" s="451"/>
      <c r="B179" s="452"/>
      <c r="C179" s="453"/>
      <c r="D179" s="116"/>
      <c r="E179" s="104"/>
      <c r="F179" s="174"/>
      <c r="G179" s="104"/>
      <c r="H179" s="174"/>
      <c r="I179" s="104"/>
      <c r="J179" s="174"/>
      <c r="K179" s="104"/>
    </row>
    <row r="180" spans="1:17" x14ac:dyDescent="0.25">
      <c r="A180" s="454"/>
      <c r="B180" s="455"/>
      <c r="C180" s="456"/>
      <c r="D180" s="177"/>
      <c r="E180" s="106"/>
      <c r="F180" s="177"/>
      <c r="G180" s="106"/>
      <c r="H180" s="177"/>
      <c r="I180" s="106"/>
      <c r="J180" s="177"/>
      <c r="K180" s="106"/>
    </row>
    <row r="181" spans="1:17" x14ac:dyDescent="0.25">
      <c r="A181" s="451"/>
      <c r="B181" s="452"/>
      <c r="C181" s="453"/>
      <c r="D181" s="116"/>
      <c r="E181" s="104"/>
      <c r="F181" s="174"/>
      <c r="G181" s="104"/>
      <c r="H181" s="174"/>
      <c r="I181" s="104"/>
      <c r="J181" s="174"/>
      <c r="K181" s="104"/>
    </row>
    <row r="182" spans="1:17" x14ac:dyDescent="0.25">
      <c r="A182" s="457"/>
      <c r="B182" s="458"/>
      <c r="C182" s="459"/>
      <c r="D182" s="178"/>
      <c r="E182" s="115"/>
      <c r="F182" s="178"/>
      <c r="G182" s="114"/>
      <c r="H182" s="178"/>
      <c r="I182" s="114"/>
      <c r="J182" s="178"/>
      <c r="K182" s="114"/>
    </row>
    <row r="183" spans="1:17" s="138" customFormat="1" x14ac:dyDescent="0.25">
      <c r="A183" s="469"/>
      <c r="B183" s="469"/>
      <c r="C183" s="469"/>
      <c r="E183" s="190"/>
      <c r="G183" s="190"/>
      <c r="I183" s="190"/>
      <c r="K183" s="190"/>
    </row>
    <row r="184" spans="1:17" s="107" customFormat="1" x14ac:dyDescent="0.25">
      <c r="A184" s="288"/>
      <c r="B184" s="289"/>
      <c r="C184" s="327"/>
      <c r="D184" s="214"/>
      <c r="E184" s="213"/>
      <c r="F184" s="214"/>
      <c r="G184" s="213"/>
      <c r="H184" s="214"/>
      <c r="I184" s="213"/>
      <c r="J184" s="214"/>
      <c r="K184" s="213"/>
    </row>
    <row r="185" spans="1:17" s="291" customFormat="1" x14ac:dyDescent="0.25">
      <c r="A185" s="466"/>
      <c r="B185" s="467"/>
      <c r="C185" s="468"/>
      <c r="D185" s="173"/>
      <c r="E185" s="111"/>
      <c r="F185" s="173"/>
      <c r="G185" s="111"/>
      <c r="H185" s="173"/>
      <c r="I185" s="111"/>
      <c r="J185" s="173"/>
      <c r="K185" s="111"/>
    </row>
    <row r="186" spans="1:17" s="291" customFormat="1" x14ac:dyDescent="0.25">
      <c r="A186" s="451"/>
      <c r="B186" s="452"/>
      <c r="C186" s="453"/>
      <c r="D186" s="174"/>
      <c r="E186" s="104"/>
      <c r="F186" s="174"/>
      <c r="G186" s="104"/>
      <c r="H186" s="174"/>
      <c r="I186" s="104"/>
      <c r="J186" s="174"/>
      <c r="K186" s="104"/>
    </row>
    <row r="187" spans="1:17" s="291" customFormat="1" x14ac:dyDescent="0.25">
      <c r="A187" s="454"/>
      <c r="B187" s="455"/>
      <c r="C187" s="456"/>
      <c r="D187" s="177"/>
      <c r="E187" s="106"/>
      <c r="F187" s="177"/>
      <c r="G187" s="106"/>
      <c r="H187" s="177"/>
      <c r="I187" s="106"/>
      <c r="J187" s="177"/>
      <c r="K187" s="106"/>
    </row>
    <row r="188" spans="1:17" s="291" customFormat="1" x14ac:dyDescent="0.25">
      <c r="A188" s="442"/>
      <c r="B188" s="443"/>
      <c r="C188" s="444"/>
      <c r="D188" s="179"/>
      <c r="E188" s="108"/>
      <c r="F188" s="179"/>
      <c r="G188" s="108"/>
      <c r="H188" s="179"/>
      <c r="I188" s="108"/>
      <c r="J188" s="179"/>
      <c r="K188" s="108"/>
    </row>
    <row r="189" spans="1:17" s="291" customFormat="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7" s="107" customFormat="1" x14ac:dyDescent="0.25">
      <c r="A190" s="470"/>
      <c r="B190" s="471"/>
      <c r="C190" s="471"/>
      <c r="D190" s="214"/>
      <c r="E190" s="213"/>
      <c r="F190" s="214"/>
      <c r="G190" s="213"/>
      <c r="H190" s="214"/>
      <c r="I190" s="213"/>
      <c r="J190" s="214"/>
      <c r="K190" s="213"/>
      <c r="L190" s="144"/>
      <c r="M190" s="144"/>
      <c r="N190" s="144"/>
      <c r="O190" s="144"/>
      <c r="P190" s="144"/>
      <c r="Q190" s="144"/>
    </row>
    <row r="191" spans="1:17" x14ac:dyDescent="0.25">
      <c r="A191" s="454"/>
      <c r="B191" s="455"/>
      <c r="C191" s="456"/>
      <c r="D191" s="177"/>
      <c r="E191" s="106"/>
      <c r="F191" s="177"/>
      <c r="G191" s="106"/>
      <c r="H191" s="177"/>
      <c r="I191" s="106"/>
      <c r="J191" s="177"/>
      <c r="K191" s="106"/>
    </row>
    <row r="192" spans="1:17" x14ac:dyDescent="0.25">
      <c r="A192" s="451"/>
      <c r="B192" s="452"/>
      <c r="C192" s="453"/>
      <c r="D192" s="174"/>
      <c r="E192" s="104"/>
      <c r="F192" s="174"/>
      <c r="G192" s="104"/>
      <c r="H192" s="174"/>
      <c r="I192" s="104"/>
      <c r="J192" s="174"/>
      <c r="K192" s="104"/>
    </row>
    <row r="193" spans="1:11" x14ac:dyDescent="0.25">
      <c r="A193" s="454"/>
      <c r="B193" s="455"/>
      <c r="C193" s="456"/>
      <c r="D193" s="177"/>
      <c r="E193" s="106"/>
      <c r="F193" s="177"/>
      <c r="G193" s="106"/>
      <c r="H193" s="177"/>
      <c r="I193" s="106"/>
      <c r="J193" s="177"/>
      <c r="K193" s="106"/>
    </row>
    <row r="194" spans="1:11" x14ac:dyDescent="0.25">
      <c r="A194" s="451"/>
      <c r="B194" s="452"/>
      <c r="C194" s="453"/>
      <c r="D194" s="174"/>
      <c r="E194" s="104"/>
      <c r="F194" s="174"/>
      <c r="G194" s="104"/>
      <c r="H194" s="174"/>
      <c r="I194" s="104"/>
      <c r="J194" s="174"/>
      <c r="K194" s="104"/>
    </row>
    <row r="195" spans="1:11" x14ac:dyDescent="0.25">
      <c r="A195" s="454"/>
      <c r="B195" s="455"/>
      <c r="C195" s="456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51"/>
      <c r="B196" s="452"/>
      <c r="C196" s="453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54"/>
      <c r="B197" s="455"/>
      <c r="C197" s="456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51"/>
      <c r="B198" s="452"/>
      <c r="C198" s="453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54"/>
      <c r="B199" s="455"/>
      <c r="C199" s="456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51"/>
      <c r="B200" s="452"/>
      <c r="C200" s="453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54"/>
      <c r="B201" s="455"/>
      <c r="C201" s="456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51"/>
      <c r="B202" s="452"/>
      <c r="C202" s="453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54"/>
      <c r="B203" s="455"/>
      <c r="C203" s="456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51"/>
      <c r="B204" s="452"/>
      <c r="C204" s="453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54"/>
      <c r="B205" s="455"/>
      <c r="C205" s="456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51"/>
      <c r="B206" s="452"/>
      <c r="C206" s="453"/>
      <c r="D206" s="174"/>
      <c r="E206" s="104"/>
      <c r="F206" s="174"/>
      <c r="G206" s="104"/>
      <c r="H206" s="174"/>
      <c r="I206" s="104"/>
      <c r="J206" s="174"/>
      <c r="K206" s="104"/>
    </row>
    <row r="207" spans="1:11" x14ac:dyDescent="0.25">
      <c r="A207" s="454"/>
      <c r="B207" s="455"/>
      <c r="C207" s="456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51"/>
      <c r="B208" s="452"/>
      <c r="C208" s="453"/>
      <c r="D208" s="174"/>
      <c r="E208" s="104"/>
      <c r="F208" s="174"/>
      <c r="G208" s="104"/>
      <c r="H208" s="174"/>
      <c r="I208" s="104"/>
      <c r="J208" s="174"/>
      <c r="K208" s="104"/>
    </row>
    <row r="209" spans="1:11" x14ac:dyDescent="0.25">
      <c r="A209" s="454"/>
      <c r="B209" s="455"/>
      <c r="C209" s="456"/>
      <c r="D209" s="177"/>
      <c r="E209" s="106"/>
      <c r="F209" s="177"/>
      <c r="G209" s="106"/>
      <c r="H209" s="177"/>
      <c r="I209" s="106"/>
      <c r="J209" s="177"/>
      <c r="K209" s="106"/>
    </row>
    <row r="210" spans="1:11" x14ac:dyDescent="0.25">
      <c r="A210" s="451"/>
      <c r="B210" s="452"/>
      <c r="C210" s="453"/>
      <c r="D210" s="174"/>
      <c r="E210" s="104"/>
      <c r="F210" s="174"/>
      <c r="G210" s="104"/>
      <c r="H210" s="174"/>
      <c r="I210" s="104"/>
      <c r="J210" s="174"/>
      <c r="K210" s="104"/>
    </row>
    <row r="211" spans="1:11" x14ac:dyDescent="0.25">
      <c r="A211" s="457"/>
      <c r="B211" s="458"/>
      <c r="C211" s="459"/>
      <c r="D211" s="178"/>
      <c r="E211" s="114"/>
      <c r="F211" s="178"/>
      <c r="G211" s="114"/>
      <c r="H211" s="178"/>
      <c r="I211" s="114"/>
      <c r="J211" s="178"/>
      <c r="K211" s="114"/>
    </row>
    <row r="212" spans="1:11" s="1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x14ac:dyDescent="0.25">
      <c r="A213" s="460" t="s">
        <v>1873</v>
      </c>
      <c r="B213" s="461"/>
      <c r="C213" s="461"/>
      <c r="D213" s="461"/>
      <c r="E213" s="461"/>
      <c r="F213" s="461"/>
      <c r="G213" s="461"/>
      <c r="H213" s="461"/>
      <c r="I213" s="461"/>
      <c r="J213" s="461"/>
      <c r="K213" s="462"/>
    </row>
    <row r="214" spans="1:11" s="1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1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1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1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1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1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1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1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1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1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1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38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s="138" customFormat="1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s="138" customFormat="1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s="138" customFormat="1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s="138" customFormat="1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s="107" customFormat="1" x14ac:dyDescent="0.25">
      <c r="A230" s="463"/>
      <c r="B230" s="464"/>
      <c r="C230" s="464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54"/>
      <c r="B231" s="455"/>
      <c r="C231" s="456"/>
      <c r="D231" s="177"/>
      <c r="E231" s="106"/>
      <c r="F231" s="177"/>
      <c r="G231" s="106"/>
      <c r="H231" s="177"/>
      <c r="I231" s="106"/>
      <c r="J231" s="177"/>
      <c r="K231" s="106"/>
    </row>
    <row r="232" spans="1:12" x14ac:dyDescent="0.25">
      <c r="A232" s="451"/>
      <c r="B232" s="452"/>
      <c r="C232" s="453"/>
      <c r="D232" s="183"/>
      <c r="E232" s="157"/>
      <c r="F232" s="183"/>
      <c r="G232" s="157"/>
      <c r="H232" s="183"/>
      <c r="I232" s="157"/>
      <c r="J232" s="183"/>
      <c r="K232" s="157"/>
    </row>
    <row r="233" spans="1:12" x14ac:dyDescent="0.25">
      <c r="A233" s="454"/>
      <c r="B233" s="455"/>
      <c r="C233" s="456"/>
      <c r="D233" s="177"/>
      <c r="E233" s="106"/>
      <c r="F233" s="177"/>
      <c r="G233" s="106"/>
      <c r="H233" s="177"/>
      <c r="I233" s="106"/>
      <c r="J233" s="177"/>
      <c r="K233" s="106"/>
    </row>
    <row r="234" spans="1:12" x14ac:dyDescent="0.25">
      <c r="A234" s="451"/>
      <c r="B234" s="452"/>
      <c r="C234" s="453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54"/>
      <c r="B235" s="455"/>
      <c r="C235" s="456"/>
      <c r="D235" s="177"/>
      <c r="E235" s="106"/>
      <c r="F235" s="177"/>
      <c r="G235" s="106"/>
      <c r="H235" s="177"/>
      <c r="I235" s="106"/>
      <c r="J235" s="177"/>
      <c r="K235" s="106"/>
    </row>
    <row r="236" spans="1:12" x14ac:dyDescent="0.25">
      <c r="A236" s="451"/>
      <c r="B236" s="452"/>
      <c r="C236" s="453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54"/>
      <c r="B237" s="455"/>
      <c r="C237" s="456"/>
      <c r="D237" s="136"/>
      <c r="E237" s="106"/>
      <c r="F237" s="136"/>
      <c r="G237" s="106"/>
      <c r="H237" s="136"/>
      <c r="I237" s="106"/>
      <c r="J237" s="136"/>
      <c r="K237" s="106"/>
    </row>
    <row r="238" spans="1:12" x14ac:dyDescent="0.25">
      <c r="A238" s="451"/>
      <c r="B238" s="452"/>
      <c r="C238" s="453"/>
      <c r="D238" s="109"/>
      <c r="E238" s="104"/>
      <c r="F238" s="109"/>
      <c r="G238" s="104"/>
      <c r="H238" s="109"/>
      <c r="I238" s="104"/>
      <c r="J238" s="174"/>
      <c r="K238" s="104"/>
      <c r="L238" s="138"/>
    </row>
    <row r="239" spans="1:12" x14ac:dyDescent="0.25">
      <c r="A239" s="454"/>
      <c r="B239" s="455"/>
      <c r="C239" s="456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51"/>
      <c r="B240" s="452"/>
      <c r="C240" s="453"/>
      <c r="D240" s="174"/>
      <c r="E240" s="104"/>
      <c r="F240" s="174"/>
      <c r="G240" s="104"/>
      <c r="H240" s="174"/>
      <c r="I240" s="104"/>
      <c r="J240" s="174"/>
      <c r="K240" s="104"/>
    </row>
    <row r="241" spans="1:11" x14ac:dyDescent="0.25">
      <c r="A241" s="454"/>
      <c r="B241" s="455"/>
      <c r="C241" s="456"/>
      <c r="D241" s="184"/>
      <c r="E241" s="106"/>
      <c r="F241" s="184"/>
      <c r="G241" s="106"/>
      <c r="H241" s="184"/>
      <c r="I241" s="106"/>
      <c r="J241" s="184"/>
      <c r="K241" s="106"/>
    </row>
    <row r="242" spans="1:11" x14ac:dyDescent="0.25">
      <c r="A242" s="457"/>
      <c r="B242" s="458"/>
      <c r="C242" s="459"/>
      <c r="D242" s="178"/>
      <c r="E242" s="114"/>
      <c r="F242" s="178"/>
      <c r="G242" s="114"/>
      <c r="H242" s="178"/>
      <c r="I242" s="114"/>
      <c r="J242" s="178"/>
      <c r="K242" s="114"/>
    </row>
    <row r="243" spans="1:11" x14ac:dyDescent="0.25">
      <c r="A243" s="374"/>
      <c r="B243" s="374"/>
      <c r="C243" s="374" t="s">
        <v>3251</v>
      </c>
      <c r="D243" s="185"/>
      <c r="F243" s="373"/>
      <c r="H243" s="373"/>
      <c r="J243" s="152"/>
    </row>
    <row r="244" spans="1:11" ht="15" customHeight="1" x14ac:dyDescent="0.25"/>
  </sheetData>
  <mergeCells count="179">
    <mergeCell ref="B45:D45"/>
    <mergeCell ref="B44:D44"/>
    <mergeCell ref="B43:D43"/>
    <mergeCell ref="B42:D42"/>
    <mergeCell ref="B41:D41"/>
    <mergeCell ref="B40:D40"/>
    <mergeCell ref="B39:D39"/>
    <mergeCell ref="B38:D38"/>
    <mergeCell ref="B64:D64"/>
    <mergeCell ref="B54:D54"/>
    <mergeCell ref="B53:D53"/>
    <mergeCell ref="B52:D52"/>
    <mergeCell ref="B51:D51"/>
    <mergeCell ref="B50:D50"/>
    <mergeCell ref="B49:D49"/>
    <mergeCell ref="B47:D47"/>
    <mergeCell ref="B61:D61"/>
    <mergeCell ref="B46:D46"/>
    <mergeCell ref="B65:D65"/>
    <mergeCell ref="B66:D66"/>
    <mergeCell ref="B67:D67"/>
    <mergeCell ref="B55:D55"/>
    <mergeCell ref="B57:D57"/>
    <mergeCell ref="B58:D58"/>
    <mergeCell ref="B59:D59"/>
    <mergeCell ref="B60:D60"/>
    <mergeCell ref="B63:D63"/>
    <mergeCell ref="B62:D62"/>
    <mergeCell ref="F4:H4"/>
    <mergeCell ref="A3:K3"/>
    <mergeCell ref="A8:C8"/>
    <mergeCell ref="J7:K7"/>
    <mergeCell ref="J6:K6"/>
    <mergeCell ref="J5:K5"/>
    <mergeCell ref="J4:K4"/>
    <mergeCell ref="B4:D4"/>
    <mergeCell ref="B7:D7"/>
    <mergeCell ref="B6:D6"/>
    <mergeCell ref="B5:D5"/>
    <mergeCell ref="F7:H7"/>
    <mergeCell ref="F6:H6"/>
    <mergeCell ref="F5:H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0:D80"/>
    <mergeCell ref="B81:D81"/>
    <mergeCell ref="A98:K98"/>
    <mergeCell ref="A100:C100"/>
    <mergeCell ref="A101:C101"/>
    <mergeCell ref="A105:C105"/>
    <mergeCell ref="A108:C108"/>
    <mergeCell ref="A109:C109"/>
    <mergeCell ref="A110:C110"/>
    <mergeCell ref="A102:C102"/>
    <mergeCell ref="A103:C103"/>
    <mergeCell ref="A104:C104"/>
    <mergeCell ref="A106:C106"/>
    <mergeCell ref="A119:C119"/>
    <mergeCell ref="A120:C120"/>
    <mergeCell ref="A121:C121"/>
    <mergeCell ref="A122:C122"/>
    <mergeCell ref="A123:C123"/>
    <mergeCell ref="A118:C118"/>
    <mergeCell ref="A107:C107"/>
    <mergeCell ref="A130:C130"/>
    <mergeCell ref="A111:C111"/>
    <mergeCell ref="A112:C112"/>
    <mergeCell ref="A113:C113"/>
    <mergeCell ref="A114:C114"/>
    <mergeCell ref="A115:C115"/>
    <mergeCell ref="A116:C116"/>
    <mergeCell ref="A117:C117"/>
    <mergeCell ref="A131:C131"/>
    <mergeCell ref="A132:C132"/>
    <mergeCell ref="A133:C133"/>
    <mergeCell ref="A138:C138"/>
    <mergeCell ref="A139:C139"/>
    <mergeCell ref="A124:C124"/>
    <mergeCell ref="A125:C125"/>
    <mergeCell ref="A126:C126"/>
    <mergeCell ref="A127:C127"/>
    <mergeCell ref="A128:C128"/>
    <mergeCell ref="A129:C129"/>
    <mergeCell ref="A134:C134"/>
    <mergeCell ref="A135:C135"/>
    <mergeCell ref="A136:C136"/>
    <mergeCell ref="A137:C137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45:C145"/>
    <mergeCell ref="A146:C146"/>
    <mergeCell ref="A157:C157"/>
    <mergeCell ref="A158:C158"/>
    <mergeCell ref="A159:C159"/>
    <mergeCell ref="A160:C160"/>
    <mergeCell ref="A161:C161"/>
    <mergeCell ref="A162:C162"/>
    <mergeCell ref="A152:C152"/>
    <mergeCell ref="A153:C153"/>
    <mergeCell ref="A154:C154"/>
    <mergeCell ref="A155:C155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83:C183"/>
    <mergeCell ref="A190:C190"/>
    <mergeCell ref="A191:C191"/>
    <mergeCell ref="A192:C192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5:C185"/>
    <mergeCell ref="A186:C186"/>
    <mergeCell ref="A187:C187"/>
    <mergeCell ref="A188:C18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208:C208"/>
    <mergeCell ref="A193:C193"/>
    <mergeCell ref="A194:C194"/>
    <mergeCell ref="A195:C195"/>
    <mergeCell ref="A196:C196"/>
    <mergeCell ref="A197:C197"/>
    <mergeCell ref="A198:C198"/>
    <mergeCell ref="A205:C205"/>
    <mergeCell ref="A206:C206"/>
    <mergeCell ref="A207:C207"/>
    <mergeCell ref="A242:C242"/>
    <mergeCell ref="A235:C235"/>
    <mergeCell ref="A236:C236"/>
    <mergeCell ref="A237:C237"/>
    <mergeCell ref="A238:C238"/>
    <mergeCell ref="A239:C239"/>
    <mergeCell ref="A211:C211"/>
    <mergeCell ref="A213:K213"/>
    <mergeCell ref="A230:C230"/>
    <mergeCell ref="A231:C231"/>
    <mergeCell ref="A232:C232"/>
    <mergeCell ref="A233:C233"/>
    <mergeCell ref="A240:C240"/>
    <mergeCell ref="A241:C241"/>
    <mergeCell ref="A234:C234"/>
  </mergeCells>
  <conditionalFormatting sqref="B39:D40 F39:J40 B42:J54">
    <cfRule type="expression" dxfId="31" priority="41">
      <formula>MOD(ROW(),2)=1</formula>
    </cfRule>
    <cfRule type="expression" dxfId="30" priority="42">
      <formula>MOD(ROW(),2)=0</formula>
    </cfRule>
  </conditionalFormatting>
  <conditionalFormatting sqref="B58:D80 F58:J80">
    <cfRule type="expression" dxfId="29" priority="39">
      <formula>MOD(ROW(),2)=1</formula>
    </cfRule>
    <cfRule type="expression" dxfId="28" priority="40">
      <formula>MOD(ROW(),2)=0</formula>
    </cfRule>
  </conditionalFormatting>
  <conditionalFormatting sqref="B41:D41 F41:J41">
    <cfRule type="expression" dxfId="27" priority="29">
      <formula>MOD(ROW(),2)=1</formula>
    </cfRule>
    <cfRule type="expression" dxfId="26" priority="30">
      <formula>MOD(ROW(),2)=0</formula>
    </cfRule>
  </conditionalFormatting>
  <conditionalFormatting sqref="E39:E40">
    <cfRule type="expression" dxfId="25" priority="19">
      <formula>MOD(ROW(),2)=1</formula>
    </cfRule>
    <cfRule type="expression" dxfId="24" priority="20">
      <formula>MOD(ROW(),2)=0</formula>
    </cfRule>
  </conditionalFormatting>
  <conditionalFormatting sqref="E41">
    <cfRule type="expression" dxfId="23" priority="17">
      <formula>MOD(ROW(),2)=1</formula>
    </cfRule>
    <cfRule type="expression" dxfId="22" priority="18">
      <formula>MOD(ROW(),2)=0</formula>
    </cfRule>
  </conditionalFormatting>
  <conditionalFormatting sqref="E58:E80">
    <cfRule type="expression" dxfId="21" priority="15">
      <formula>MOD(ROW(),2)=1</formula>
    </cfRule>
    <cfRule type="expression" dxfId="20" priority="16">
      <formula>MOD(ROW(),2)=0</formula>
    </cfRule>
  </conditionalFormatting>
  <conditionalFormatting sqref="A101:K118 A121:K155 A158:K182 A185:K188 A191:K211 A231:K242">
    <cfRule type="expression" dxfId="19" priority="1">
      <formula>MOD(ROW(),2)=1</formula>
    </cfRule>
    <cfRule type="expression" dxfId="18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8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249"/>
  <sheetViews>
    <sheetView topLeftCell="A44" zoomScale="80" zoomScaleNormal="80" zoomScalePageLayoutView="90" workbookViewId="0">
      <selection activeCell="A183" sqref="A183"/>
    </sheetView>
  </sheetViews>
  <sheetFormatPr defaultColWidth="8.85546875" defaultRowHeight="15" x14ac:dyDescent="0.25"/>
  <cols>
    <col min="1" max="2" width="10.7109375" style="143" customWidth="1"/>
    <col min="3" max="3" width="45.7109375" style="143" customWidth="1"/>
    <col min="4" max="4" width="13.7109375" style="143" customWidth="1"/>
    <col min="5" max="5" width="13.7109375" style="103" customWidth="1"/>
    <col min="6" max="6" width="13.7109375" style="143" customWidth="1"/>
    <col min="7" max="7" width="13.7109375" style="103" customWidth="1"/>
    <col min="8" max="8" width="13.7109375" style="143" customWidth="1"/>
    <col min="9" max="9" width="13.7109375" style="103" customWidth="1"/>
    <col min="10" max="10" width="13.7109375" style="143" customWidth="1"/>
    <col min="11" max="11" width="13.7109375" style="103" customWidth="1"/>
    <col min="12" max="16" width="10.7109375" style="143" customWidth="1"/>
    <col min="17" max="16384" width="8.85546875" style="143"/>
  </cols>
  <sheetData>
    <row r="1" spans="1:16" x14ac:dyDescent="0.25">
      <c r="A1" s="132"/>
      <c r="B1" s="132"/>
      <c r="C1" s="132"/>
    </row>
    <row r="3" spans="1:16" x14ac:dyDescent="0.25">
      <c r="A3" s="460" t="s">
        <v>1860</v>
      </c>
      <c r="B3" s="461"/>
      <c r="C3" s="461"/>
      <c r="D3" s="461"/>
      <c r="E3" s="461"/>
      <c r="F3" s="461"/>
      <c r="G3" s="461"/>
      <c r="H3" s="461"/>
      <c r="I3" s="461"/>
      <c r="J3" s="461"/>
      <c r="K3" s="462"/>
      <c r="L3" s="140"/>
      <c r="M3" s="140"/>
      <c r="N3" s="140"/>
      <c r="O3" s="140"/>
      <c r="P3" s="140"/>
    </row>
    <row r="4" spans="1:16" x14ac:dyDescent="0.25">
      <c r="A4" s="127" t="s">
        <v>1861</v>
      </c>
      <c r="B4" s="502"/>
      <c r="C4" s="502"/>
      <c r="D4" s="502"/>
      <c r="E4" s="191" t="s">
        <v>2411</v>
      </c>
      <c r="F4" s="503"/>
      <c r="G4" s="503"/>
      <c r="H4" s="503"/>
      <c r="I4" s="131" t="s">
        <v>1881</v>
      </c>
      <c r="J4" s="504"/>
      <c r="K4" s="505"/>
      <c r="L4" s="129"/>
      <c r="P4" s="129"/>
    </row>
    <row r="5" spans="1:16" s="138" customFormat="1" x14ac:dyDescent="0.25">
      <c r="A5" s="128" t="s">
        <v>1862</v>
      </c>
      <c r="B5" s="506"/>
      <c r="C5" s="506"/>
      <c r="D5" s="506"/>
      <c r="E5" s="192" t="s">
        <v>2412</v>
      </c>
      <c r="F5" s="507"/>
      <c r="G5" s="507"/>
      <c r="H5" s="507"/>
      <c r="I5" s="195" t="s">
        <v>1881</v>
      </c>
      <c r="J5" s="508"/>
      <c r="K5" s="509"/>
    </row>
    <row r="6" spans="1:16" x14ac:dyDescent="0.25">
      <c r="A6" s="127" t="s">
        <v>1863</v>
      </c>
      <c r="B6" s="495"/>
      <c r="C6" s="495"/>
      <c r="D6" s="495"/>
      <c r="E6" s="193" t="s">
        <v>2413</v>
      </c>
      <c r="F6" s="496"/>
      <c r="G6" s="496"/>
      <c r="H6" s="496"/>
      <c r="I6" s="131" t="s">
        <v>1881</v>
      </c>
      <c r="J6" s="497"/>
      <c r="K6" s="498"/>
    </row>
    <row r="7" spans="1:16" s="138" customFormat="1" x14ac:dyDescent="0.25">
      <c r="A7" s="124" t="s">
        <v>1864</v>
      </c>
      <c r="B7" s="499"/>
      <c r="C7" s="499"/>
      <c r="D7" s="499"/>
      <c r="E7" s="194" t="s">
        <v>2414</v>
      </c>
      <c r="F7" s="500"/>
      <c r="G7" s="500"/>
      <c r="H7" s="500"/>
      <c r="I7" s="123"/>
      <c r="J7" s="500"/>
      <c r="K7" s="501"/>
    </row>
    <row r="8" spans="1:16" x14ac:dyDescent="0.25">
      <c r="A8" s="494"/>
      <c r="B8" s="494"/>
      <c r="C8" s="494"/>
    </row>
    <row r="9" spans="1:16" x14ac:dyDescent="0.25">
      <c r="G9" s="143"/>
      <c r="I9" s="143"/>
      <c r="K9" s="143"/>
    </row>
    <row r="10" spans="1:16" x14ac:dyDescent="0.25">
      <c r="G10" s="143"/>
      <c r="I10" s="143"/>
      <c r="K10" s="143"/>
    </row>
    <row r="11" spans="1:16" x14ac:dyDescent="0.25">
      <c r="G11" s="143"/>
      <c r="I11" s="143"/>
      <c r="K11" s="143"/>
    </row>
    <row r="12" spans="1:16" x14ac:dyDescent="0.25">
      <c r="G12" s="143"/>
      <c r="I12" s="143"/>
      <c r="K12" s="143"/>
    </row>
    <row r="13" spans="1:16" x14ac:dyDescent="0.25">
      <c r="G13" s="143"/>
      <c r="I13" s="143"/>
      <c r="K13" s="143"/>
    </row>
    <row r="14" spans="1:16" x14ac:dyDescent="0.25">
      <c r="G14" s="143"/>
      <c r="I14" s="143"/>
      <c r="K14" s="143"/>
    </row>
    <row r="15" spans="1:16" x14ac:dyDescent="0.25">
      <c r="G15" s="143"/>
      <c r="I15" s="143"/>
      <c r="K15" s="143"/>
    </row>
    <row r="16" spans="1:16" x14ac:dyDescent="0.25">
      <c r="G16" s="143"/>
      <c r="I16" s="143"/>
      <c r="K16" s="143"/>
    </row>
    <row r="17" spans="5:5" s="143" customFormat="1" x14ac:dyDescent="0.25">
      <c r="E17" s="103"/>
    </row>
    <row r="18" spans="5:5" s="143" customFormat="1" x14ac:dyDescent="0.25">
      <c r="E18" s="103"/>
    </row>
    <row r="19" spans="5:5" s="143" customFormat="1" x14ac:dyDescent="0.25">
      <c r="E19" s="103"/>
    </row>
    <row r="20" spans="5:5" s="143" customFormat="1" x14ac:dyDescent="0.25">
      <c r="E20" s="103"/>
    </row>
    <row r="21" spans="5:5" s="143" customFormat="1" x14ac:dyDescent="0.25">
      <c r="E21" s="103"/>
    </row>
    <row r="22" spans="5:5" s="143" customFormat="1" x14ac:dyDescent="0.25">
      <c r="E22" s="103"/>
    </row>
    <row r="23" spans="5:5" s="143" customFormat="1" x14ac:dyDescent="0.25">
      <c r="E23" s="103"/>
    </row>
    <row r="24" spans="5:5" s="143" customFormat="1" x14ac:dyDescent="0.25">
      <c r="E24" s="103"/>
    </row>
    <row r="25" spans="5:5" s="143" customFormat="1" x14ac:dyDescent="0.25">
      <c r="E25" s="103"/>
    </row>
    <row r="26" spans="5:5" s="143" customFormat="1" x14ac:dyDescent="0.25">
      <c r="E26" s="103"/>
    </row>
    <row r="27" spans="5:5" s="143" customFormat="1" x14ac:dyDescent="0.25">
      <c r="E27" s="103"/>
    </row>
    <row r="28" spans="5:5" s="143" customFormat="1" x14ac:dyDescent="0.25">
      <c r="E28" s="103"/>
    </row>
    <row r="29" spans="5:5" s="143" customFormat="1" x14ac:dyDescent="0.25">
      <c r="E29" s="103"/>
    </row>
    <row r="30" spans="5:5" s="143" customFormat="1" x14ac:dyDescent="0.25">
      <c r="E30" s="103"/>
    </row>
    <row r="31" spans="5:5" s="143" customFormat="1" x14ac:dyDescent="0.25">
      <c r="E31" s="103"/>
    </row>
    <row r="32" spans="5:5" s="143" customFormat="1" x14ac:dyDescent="0.25">
      <c r="E32" s="103"/>
    </row>
    <row r="33" spans="2:14" x14ac:dyDescent="0.25">
      <c r="G33" s="143"/>
      <c r="I33" s="143"/>
      <c r="K33" s="143"/>
    </row>
    <row r="34" spans="2:14" x14ac:dyDescent="0.25">
      <c r="E34" s="143"/>
      <c r="G34" s="143"/>
      <c r="I34" s="143"/>
      <c r="K34" s="143"/>
    </row>
    <row r="35" spans="2:14" x14ac:dyDescent="0.25">
      <c r="E35" s="143"/>
      <c r="G35" s="143"/>
      <c r="I35" s="143"/>
      <c r="K35" s="143"/>
    </row>
    <row r="36" spans="2:14" x14ac:dyDescent="0.25">
      <c r="E36" s="143"/>
      <c r="G36" s="143"/>
      <c r="I36" s="143"/>
      <c r="K36" s="143"/>
    </row>
    <row r="37" spans="2:14" x14ac:dyDescent="0.25">
      <c r="E37" s="113"/>
      <c r="F37" s="113"/>
      <c r="G37" s="113"/>
      <c r="H37" s="113"/>
      <c r="I37" s="143"/>
      <c r="K37" s="143"/>
    </row>
    <row r="38" spans="2:14" x14ac:dyDescent="0.25">
      <c r="B38" s="460"/>
      <c r="C38" s="461"/>
      <c r="D38" s="461"/>
      <c r="E38" s="383" t="s">
        <v>3256</v>
      </c>
      <c r="F38" s="133" t="s">
        <v>1878</v>
      </c>
      <c r="G38" s="133" t="s">
        <v>1877</v>
      </c>
      <c r="H38" s="133" t="s">
        <v>1876</v>
      </c>
      <c r="I38" s="133" t="s">
        <v>1875</v>
      </c>
      <c r="J38" s="134" t="s">
        <v>3257</v>
      </c>
      <c r="K38" s="143"/>
    </row>
    <row r="39" spans="2:14" x14ac:dyDescent="0.25">
      <c r="B39" s="483"/>
      <c r="C39" s="482"/>
      <c r="D39" s="482"/>
      <c r="E39" s="170"/>
      <c r="F39" s="120"/>
      <c r="G39" s="120"/>
      <c r="H39" s="120"/>
      <c r="I39" s="120"/>
      <c r="J39" s="170"/>
      <c r="K39" s="143"/>
    </row>
    <row r="40" spans="2:14" x14ac:dyDescent="0.25">
      <c r="B40" s="451"/>
      <c r="C40" s="452"/>
      <c r="D40" s="452"/>
      <c r="E40" s="159"/>
      <c r="F40" s="120"/>
      <c r="G40" s="120"/>
      <c r="H40" s="120"/>
      <c r="I40" s="120"/>
      <c r="J40" s="122"/>
      <c r="K40" s="143"/>
    </row>
    <row r="41" spans="2:14" x14ac:dyDescent="0.25">
      <c r="B41" s="451"/>
      <c r="C41" s="452"/>
      <c r="D41" s="452"/>
      <c r="E41" s="159"/>
      <c r="F41" s="120"/>
      <c r="G41" s="120"/>
      <c r="H41" s="120"/>
      <c r="I41" s="120"/>
      <c r="J41" s="122"/>
      <c r="K41" s="138"/>
      <c r="L41" s="138"/>
      <c r="M41" s="138"/>
      <c r="N41" s="138"/>
    </row>
    <row r="42" spans="2:14" x14ac:dyDescent="0.25">
      <c r="B42" s="451"/>
      <c r="C42" s="452"/>
      <c r="D42" s="452"/>
      <c r="E42" s="159"/>
      <c r="F42" s="120"/>
      <c r="G42" s="120"/>
      <c r="H42" s="120"/>
      <c r="I42" s="120"/>
      <c r="J42" s="122"/>
      <c r="K42" s="143"/>
    </row>
    <row r="43" spans="2:14" x14ac:dyDescent="0.25">
      <c r="B43" s="451"/>
      <c r="C43" s="452"/>
      <c r="D43" s="452"/>
      <c r="E43" s="159"/>
      <c r="F43" s="120"/>
      <c r="G43" s="120"/>
      <c r="H43" s="120"/>
      <c r="I43" s="120"/>
      <c r="J43" s="122"/>
      <c r="K43" s="143"/>
    </row>
    <row r="44" spans="2:14" x14ac:dyDescent="0.25">
      <c r="B44" s="451"/>
      <c r="C44" s="452"/>
      <c r="D44" s="452"/>
      <c r="E44" s="159"/>
      <c r="F44" s="120"/>
      <c r="G44" s="120"/>
      <c r="H44" s="120"/>
      <c r="I44" s="120"/>
      <c r="J44" s="122"/>
      <c r="K44" s="143"/>
    </row>
    <row r="45" spans="2:14" x14ac:dyDescent="0.25">
      <c r="B45" s="451"/>
      <c r="C45" s="452"/>
      <c r="D45" s="452"/>
      <c r="E45" s="159"/>
      <c r="F45" s="120"/>
      <c r="G45" s="120"/>
      <c r="H45" s="120"/>
      <c r="I45" s="120"/>
      <c r="J45" s="122"/>
      <c r="K45" s="143"/>
    </row>
    <row r="46" spans="2:14" x14ac:dyDescent="0.25">
      <c r="B46" s="451"/>
      <c r="C46" s="452"/>
      <c r="D46" s="452"/>
      <c r="E46" s="159"/>
      <c r="F46" s="120"/>
      <c r="G46" s="120"/>
      <c r="H46" s="120"/>
      <c r="I46" s="120"/>
      <c r="J46" s="122"/>
      <c r="K46" s="143"/>
    </row>
    <row r="47" spans="2:14" x14ac:dyDescent="0.25">
      <c r="B47" s="451"/>
      <c r="C47" s="452"/>
      <c r="D47" s="452"/>
      <c r="E47" s="159"/>
      <c r="F47" s="120"/>
      <c r="G47" s="120"/>
      <c r="H47" s="120"/>
      <c r="I47" s="120"/>
      <c r="J47" s="122"/>
      <c r="K47" s="143"/>
    </row>
    <row r="48" spans="2:14" x14ac:dyDescent="0.25">
      <c r="B48" s="451"/>
      <c r="C48" s="452"/>
      <c r="D48" s="452"/>
      <c r="E48" s="159"/>
      <c r="F48" s="120"/>
      <c r="G48" s="120"/>
      <c r="H48" s="120"/>
      <c r="I48" s="120"/>
      <c r="J48" s="122"/>
      <c r="K48" s="143"/>
    </row>
    <row r="49" spans="2:11" x14ac:dyDescent="0.25">
      <c r="B49" s="451"/>
      <c r="C49" s="452"/>
      <c r="D49" s="452"/>
      <c r="E49" s="159"/>
      <c r="F49" s="120"/>
      <c r="G49" s="120"/>
      <c r="H49" s="120"/>
      <c r="I49" s="120"/>
      <c r="J49" s="122"/>
      <c r="K49" s="143"/>
    </row>
    <row r="50" spans="2:11" x14ac:dyDescent="0.25">
      <c r="B50" s="451"/>
      <c r="C50" s="452"/>
      <c r="D50" s="452"/>
      <c r="E50" s="159"/>
      <c r="F50" s="120"/>
      <c r="G50" s="120"/>
      <c r="H50" s="120"/>
      <c r="I50" s="120"/>
      <c r="J50" s="122"/>
      <c r="K50" s="143"/>
    </row>
    <row r="51" spans="2:11" x14ac:dyDescent="0.25">
      <c r="B51" s="451"/>
      <c r="C51" s="452"/>
      <c r="D51" s="452"/>
      <c r="E51" s="159"/>
      <c r="F51" s="120"/>
      <c r="G51" s="120"/>
      <c r="H51" s="120"/>
      <c r="I51" s="120"/>
      <c r="J51" s="122"/>
      <c r="K51" s="143"/>
    </row>
    <row r="52" spans="2:11" x14ac:dyDescent="0.25">
      <c r="B52" s="451"/>
      <c r="C52" s="452"/>
      <c r="D52" s="452"/>
      <c r="E52" s="159"/>
      <c r="F52" s="120"/>
      <c r="G52" s="120"/>
      <c r="H52" s="120"/>
      <c r="I52" s="120"/>
      <c r="J52" s="122"/>
      <c r="K52" s="143"/>
    </row>
    <row r="53" spans="2:11" x14ac:dyDescent="0.25">
      <c r="B53" s="451"/>
      <c r="C53" s="452"/>
      <c r="D53" s="452"/>
      <c r="E53" s="159"/>
      <c r="F53" s="120"/>
      <c r="G53" s="120"/>
      <c r="H53" s="120"/>
      <c r="I53" s="120"/>
      <c r="J53" s="122"/>
      <c r="K53" s="143"/>
    </row>
    <row r="54" spans="2:11" x14ac:dyDescent="0.25">
      <c r="B54" s="492"/>
      <c r="C54" s="493"/>
      <c r="D54" s="493"/>
      <c r="E54" s="171"/>
      <c r="F54" s="120"/>
      <c r="G54" s="120"/>
      <c r="H54" s="120"/>
      <c r="I54" s="120"/>
      <c r="J54" s="159"/>
      <c r="K54" s="143"/>
    </row>
    <row r="55" spans="2:11" x14ac:dyDescent="0.25">
      <c r="B55" s="473"/>
      <c r="C55" s="474"/>
      <c r="D55" s="474"/>
      <c r="E55" s="169"/>
      <c r="F55" s="186">
        <f>SUM(F39:F53)</f>
        <v>0</v>
      </c>
      <c r="G55" s="172">
        <f>SUM(G39:G53)</f>
        <v>0</v>
      </c>
      <c r="H55" s="172">
        <f>SUM(H39:H53)</f>
        <v>0</v>
      </c>
      <c r="I55" s="168">
        <f>SUM(I39:I53)</f>
        <v>0</v>
      </c>
      <c r="J55" s="169"/>
      <c r="K55" s="143"/>
    </row>
    <row r="56" spans="2:11" x14ac:dyDescent="0.25">
      <c r="B56" s="141"/>
      <c r="C56" s="142"/>
      <c r="D56" s="142"/>
      <c r="E56" s="121"/>
      <c r="F56" s="121"/>
      <c r="G56" s="121"/>
      <c r="H56" s="121"/>
      <c r="I56" s="121"/>
      <c r="J56" s="119"/>
      <c r="K56" s="143"/>
    </row>
    <row r="57" spans="2:11" x14ac:dyDescent="0.25">
      <c r="B57" s="460"/>
      <c r="C57" s="461"/>
      <c r="D57" s="462"/>
      <c r="E57" s="383" t="s">
        <v>3256</v>
      </c>
      <c r="F57" s="133" t="s">
        <v>1878</v>
      </c>
      <c r="G57" s="133" t="s">
        <v>1877</v>
      </c>
      <c r="H57" s="133" t="s">
        <v>1876</v>
      </c>
      <c r="I57" s="133" t="s">
        <v>1875</v>
      </c>
      <c r="J57" s="134" t="s">
        <v>3257</v>
      </c>
      <c r="K57" s="143"/>
    </row>
    <row r="58" spans="2:11" x14ac:dyDescent="0.25">
      <c r="B58" s="510"/>
      <c r="C58" s="511"/>
      <c r="D58" s="512"/>
      <c r="E58" s="166">
        <f>D158</f>
        <v>0</v>
      </c>
      <c r="F58" s="120"/>
      <c r="G58" s="120"/>
      <c r="H58" s="120"/>
      <c r="I58" s="120"/>
      <c r="J58" s="166">
        <f t="shared" ref="J58:J80" si="0">D158-F158</f>
        <v>0</v>
      </c>
      <c r="K58" s="143"/>
    </row>
    <row r="59" spans="2:11" x14ac:dyDescent="0.25">
      <c r="B59" s="448"/>
      <c r="C59" s="449"/>
      <c r="D59" s="450"/>
      <c r="E59" s="122">
        <f t="shared" ref="E59:E80" si="1">D159</f>
        <v>0</v>
      </c>
      <c r="F59" s="120"/>
      <c r="G59" s="120"/>
      <c r="H59" s="120"/>
      <c r="I59" s="120"/>
      <c r="J59" s="122">
        <f t="shared" si="0"/>
        <v>0</v>
      </c>
      <c r="K59" s="143"/>
    </row>
    <row r="60" spans="2:11" x14ac:dyDescent="0.25">
      <c r="B60" s="448"/>
      <c r="C60" s="449"/>
      <c r="D60" s="450"/>
      <c r="E60" s="122">
        <f t="shared" si="1"/>
        <v>0</v>
      </c>
      <c r="F60" s="120"/>
      <c r="G60" s="120"/>
      <c r="H60" s="120"/>
      <c r="I60" s="120"/>
      <c r="J60" s="122">
        <f t="shared" si="0"/>
        <v>0</v>
      </c>
      <c r="K60" s="118"/>
    </row>
    <row r="61" spans="2:11" x14ac:dyDescent="0.25">
      <c r="B61" s="448"/>
      <c r="C61" s="449"/>
      <c r="D61" s="450"/>
      <c r="E61" s="122">
        <f t="shared" si="1"/>
        <v>0</v>
      </c>
      <c r="F61" s="120"/>
      <c r="G61" s="120"/>
      <c r="H61" s="120"/>
      <c r="I61" s="120"/>
      <c r="J61" s="122">
        <f t="shared" si="0"/>
        <v>0</v>
      </c>
      <c r="K61" s="118"/>
    </row>
    <row r="62" spans="2:11" x14ac:dyDescent="0.25">
      <c r="B62" s="448"/>
      <c r="C62" s="449"/>
      <c r="D62" s="450"/>
      <c r="E62" s="122">
        <f t="shared" si="1"/>
        <v>0</v>
      </c>
      <c r="F62" s="120"/>
      <c r="G62" s="120"/>
      <c r="H62" s="120"/>
      <c r="I62" s="120"/>
      <c r="J62" s="122">
        <f t="shared" si="0"/>
        <v>0</v>
      </c>
      <c r="K62" s="118"/>
    </row>
    <row r="63" spans="2:11" x14ac:dyDescent="0.25">
      <c r="B63" s="448"/>
      <c r="C63" s="449"/>
      <c r="D63" s="450"/>
      <c r="E63" s="122">
        <f t="shared" si="1"/>
        <v>0</v>
      </c>
      <c r="F63" s="120"/>
      <c r="G63" s="120"/>
      <c r="H63" s="120"/>
      <c r="I63" s="120"/>
      <c r="J63" s="122">
        <f t="shared" si="0"/>
        <v>0</v>
      </c>
      <c r="K63" s="118"/>
    </row>
    <row r="64" spans="2:11" x14ac:dyDescent="0.25">
      <c r="B64" s="448"/>
      <c r="C64" s="449"/>
      <c r="D64" s="450"/>
      <c r="E64" s="122">
        <f t="shared" si="1"/>
        <v>0</v>
      </c>
      <c r="F64" s="120"/>
      <c r="G64" s="120"/>
      <c r="H64" s="120"/>
      <c r="I64" s="120"/>
      <c r="J64" s="122">
        <f t="shared" si="0"/>
        <v>0</v>
      </c>
      <c r="K64" s="118"/>
    </row>
    <row r="65" spans="2:11" x14ac:dyDescent="0.25">
      <c r="B65" s="448"/>
      <c r="C65" s="449"/>
      <c r="D65" s="450"/>
      <c r="E65" s="122">
        <f t="shared" si="1"/>
        <v>0</v>
      </c>
      <c r="F65" s="120"/>
      <c r="G65" s="120"/>
      <c r="H65" s="120"/>
      <c r="I65" s="120"/>
      <c r="J65" s="122">
        <f t="shared" si="0"/>
        <v>0</v>
      </c>
      <c r="K65" s="118"/>
    </row>
    <row r="66" spans="2:11" x14ac:dyDescent="0.25">
      <c r="B66" s="448"/>
      <c r="C66" s="449"/>
      <c r="D66" s="450"/>
      <c r="E66" s="122">
        <f t="shared" si="1"/>
        <v>0</v>
      </c>
      <c r="F66" s="120"/>
      <c r="G66" s="120"/>
      <c r="H66" s="120"/>
      <c r="I66" s="120"/>
      <c r="J66" s="122">
        <f t="shared" si="0"/>
        <v>0</v>
      </c>
      <c r="K66" s="118"/>
    </row>
    <row r="67" spans="2:11" x14ac:dyDescent="0.25">
      <c r="B67" s="448"/>
      <c r="C67" s="449"/>
      <c r="D67" s="450"/>
      <c r="E67" s="122">
        <f t="shared" si="1"/>
        <v>0</v>
      </c>
      <c r="F67" s="120"/>
      <c r="G67" s="120"/>
      <c r="H67" s="120"/>
      <c r="I67" s="120"/>
      <c r="J67" s="122">
        <f t="shared" si="0"/>
        <v>0</v>
      </c>
      <c r="K67" s="118"/>
    </row>
    <row r="68" spans="2:11" x14ac:dyDescent="0.25">
      <c r="B68" s="448"/>
      <c r="C68" s="449"/>
      <c r="D68" s="450"/>
      <c r="E68" s="122">
        <f t="shared" si="1"/>
        <v>0</v>
      </c>
      <c r="F68" s="120"/>
      <c r="G68" s="120"/>
      <c r="H68" s="120"/>
      <c r="I68" s="120"/>
      <c r="J68" s="122">
        <f t="shared" si="0"/>
        <v>0</v>
      </c>
      <c r="K68" s="118"/>
    </row>
    <row r="69" spans="2:11" x14ac:dyDescent="0.25">
      <c r="B69" s="448"/>
      <c r="C69" s="449"/>
      <c r="D69" s="450"/>
      <c r="E69" s="122">
        <f t="shared" si="1"/>
        <v>0</v>
      </c>
      <c r="F69" s="120"/>
      <c r="G69" s="120"/>
      <c r="H69" s="120"/>
      <c r="I69" s="120"/>
      <c r="J69" s="122">
        <f t="shared" si="0"/>
        <v>0</v>
      </c>
      <c r="K69" s="118"/>
    </row>
    <row r="70" spans="2:11" x14ac:dyDescent="0.25">
      <c r="B70" s="448"/>
      <c r="C70" s="449"/>
      <c r="D70" s="450"/>
      <c r="E70" s="122">
        <f t="shared" si="1"/>
        <v>0</v>
      </c>
      <c r="F70" s="120"/>
      <c r="G70" s="120"/>
      <c r="H70" s="120"/>
      <c r="I70" s="120"/>
      <c r="J70" s="122">
        <f t="shared" si="0"/>
        <v>0</v>
      </c>
      <c r="K70" s="118"/>
    </row>
    <row r="71" spans="2:11" x14ac:dyDescent="0.25">
      <c r="B71" s="448"/>
      <c r="C71" s="449"/>
      <c r="D71" s="450"/>
      <c r="E71" s="122">
        <f t="shared" si="1"/>
        <v>0</v>
      </c>
      <c r="F71" s="120"/>
      <c r="G71" s="120"/>
      <c r="H71" s="120"/>
      <c r="I71" s="120"/>
      <c r="J71" s="122">
        <f t="shared" si="0"/>
        <v>0</v>
      </c>
      <c r="K71" s="118"/>
    </row>
    <row r="72" spans="2:11" x14ac:dyDescent="0.25">
      <c r="B72" s="448"/>
      <c r="C72" s="449"/>
      <c r="D72" s="450"/>
      <c r="E72" s="122">
        <f t="shared" si="1"/>
        <v>0</v>
      </c>
      <c r="F72" s="120"/>
      <c r="G72" s="120"/>
      <c r="H72" s="120"/>
      <c r="I72" s="120"/>
      <c r="J72" s="122">
        <f t="shared" si="0"/>
        <v>0</v>
      </c>
      <c r="K72" s="118"/>
    </row>
    <row r="73" spans="2:11" x14ac:dyDescent="0.25">
      <c r="B73" s="448"/>
      <c r="C73" s="449"/>
      <c r="D73" s="450"/>
      <c r="E73" s="122">
        <f t="shared" si="1"/>
        <v>0</v>
      </c>
      <c r="F73" s="120"/>
      <c r="G73" s="120"/>
      <c r="H73" s="120"/>
      <c r="I73" s="120"/>
      <c r="J73" s="122">
        <f t="shared" si="0"/>
        <v>0</v>
      </c>
      <c r="K73" s="118"/>
    </row>
    <row r="74" spans="2:11" x14ac:dyDescent="0.25">
      <c r="B74" s="448"/>
      <c r="C74" s="449"/>
      <c r="D74" s="450"/>
      <c r="E74" s="122">
        <f t="shared" si="1"/>
        <v>0</v>
      </c>
      <c r="F74" s="120"/>
      <c r="G74" s="120"/>
      <c r="H74" s="120"/>
      <c r="I74" s="120"/>
      <c r="J74" s="122">
        <f t="shared" si="0"/>
        <v>0</v>
      </c>
      <c r="K74" s="118"/>
    </row>
    <row r="75" spans="2:11" x14ac:dyDescent="0.25">
      <c r="B75" s="448"/>
      <c r="C75" s="449"/>
      <c r="D75" s="450"/>
      <c r="E75" s="122">
        <f t="shared" si="1"/>
        <v>0</v>
      </c>
      <c r="F75" s="120"/>
      <c r="G75" s="120"/>
      <c r="H75" s="120"/>
      <c r="I75" s="120"/>
      <c r="J75" s="122">
        <f t="shared" si="0"/>
        <v>0</v>
      </c>
      <c r="K75" s="118"/>
    </row>
    <row r="76" spans="2:11" x14ac:dyDescent="0.25">
      <c r="B76" s="448"/>
      <c r="C76" s="449"/>
      <c r="D76" s="450"/>
      <c r="E76" s="122">
        <f t="shared" si="1"/>
        <v>0</v>
      </c>
      <c r="F76" s="120"/>
      <c r="G76" s="120"/>
      <c r="H76" s="120"/>
      <c r="I76" s="120"/>
      <c r="J76" s="122">
        <f t="shared" si="0"/>
        <v>0</v>
      </c>
      <c r="K76" s="118"/>
    </row>
    <row r="77" spans="2:11" x14ac:dyDescent="0.25">
      <c r="B77" s="448"/>
      <c r="C77" s="449"/>
      <c r="D77" s="450"/>
      <c r="E77" s="122">
        <f t="shared" si="1"/>
        <v>0</v>
      </c>
      <c r="F77" s="120"/>
      <c r="G77" s="120"/>
      <c r="H77" s="120"/>
      <c r="I77" s="120"/>
      <c r="J77" s="122">
        <f t="shared" si="0"/>
        <v>0</v>
      </c>
      <c r="K77" s="118"/>
    </row>
    <row r="78" spans="2:11" x14ac:dyDescent="0.25">
      <c r="B78" s="448"/>
      <c r="C78" s="449"/>
      <c r="D78" s="450"/>
      <c r="E78" s="122">
        <f t="shared" si="1"/>
        <v>0</v>
      </c>
      <c r="F78" s="120"/>
      <c r="G78" s="120"/>
      <c r="H78" s="120"/>
      <c r="I78" s="120"/>
      <c r="J78" s="122">
        <f t="shared" si="0"/>
        <v>0</v>
      </c>
      <c r="K78" s="118"/>
    </row>
    <row r="79" spans="2:11" x14ac:dyDescent="0.25">
      <c r="B79" s="448"/>
      <c r="C79" s="449"/>
      <c r="D79" s="450"/>
      <c r="E79" s="122">
        <f t="shared" si="1"/>
        <v>0</v>
      </c>
      <c r="F79" s="120"/>
      <c r="G79" s="120"/>
      <c r="H79" s="120"/>
      <c r="I79" s="120"/>
      <c r="J79" s="122">
        <f t="shared" si="0"/>
        <v>0</v>
      </c>
      <c r="K79" s="118"/>
    </row>
    <row r="80" spans="2:11" x14ac:dyDescent="0.25">
      <c r="B80" s="448"/>
      <c r="C80" s="449"/>
      <c r="D80" s="450"/>
      <c r="E80" s="167">
        <f t="shared" si="1"/>
        <v>0</v>
      </c>
      <c r="F80" s="120"/>
      <c r="G80" s="120"/>
      <c r="H80" s="120"/>
      <c r="I80" s="120"/>
      <c r="J80" s="167">
        <f t="shared" si="0"/>
        <v>0</v>
      </c>
      <c r="K80" s="118"/>
    </row>
    <row r="81" spans="2:11" x14ac:dyDescent="0.25">
      <c r="B81" s="488"/>
      <c r="C81" s="489"/>
      <c r="D81" s="490"/>
      <c r="E81" s="168">
        <f>D182</f>
        <v>0</v>
      </c>
      <c r="F81" s="186">
        <f t="shared" ref="F81:J81" si="2">SUM(F67:F80)</f>
        <v>0</v>
      </c>
      <c r="G81" s="172">
        <f t="shared" si="2"/>
        <v>0</v>
      </c>
      <c r="H81" s="172">
        <f t="shared" si="2"/>
        <v>0</v>
      </c>
      <c r="I81" s="168">
        <f t="shared" si="2"/>
        <v>0</v>
      </c>
      <c r="J81" s="168">
        <f t="shared" si="2"/>
        <v>0</v>
      </c>
      <c r="K81" s="118"/>
    </row>
    <row r="82" spans="2:11" x14ac:dyDescent="0.25">
      <c r="E82" s="143"/>
      <c r="G82" s="143"/>
      <c r="I82" s="143"/>
      <c r="K82" s="143"/>
    </row>
    <row r="83" spans="2:11" x14ac:dyDescent="0.25">
      <c r="E83" s="143"/>
      <c r="G83" s="143"/>
      <c r="I83" s="143"/>
      <c r="K83" s="143"/>
    </row>
    <row r="84" spans="2:11" x14ac:dyDescent="0.25">
      <c r="E84" s="143"/>
      <c r="G84" s="143"/>
      <c r="I84" s="143"/>
      <c r="K84" s="143"/>
    </row>
    <row r="85" spans="2:11" x14ac:dyDescent="0.25">
      <c r="E85" s="143"/>
      <c r="G85" s="143"/>
      <c r="I85" s="143"/>
      <c r="K85" s="143"/>
    </row>
    <row r="86" spans="2:11" x14ac:dyDescent="0.25">
      <c r="E86" s="143"/>
      <c r="G86" s="143"/>
      <c r="I86" s="143"/>
      <c r="K86" s="143"/>
    </row>
    <row r="87" spans="2:11" x14ac:dyDescent="0.25">
      <c r="E87" s="143"/>
      <c r="G87" s="143"/>
      <c r="I87" s="143"/>
      <c r="K87" s="143"/>
    </row>
    <row r="88" spans="2:11" x14ac:dyDescent="0.25">
      <c r="E88" s="143"/>
      <c r="G88" s="143"/>
      <c r="I88" s="143"/>
      <c r="K88" s="143"/>
    </row>
    <row r="89" spans="2:11" x14ac:dyDescent="0.25">
      <c r="E89" s="143"/>
      <c r="G89" s="143"/>
      <c r="I89" s="143"/>
      <c r="K89" s="143"/>
    </row>
    <row r="90" spans="2:11" x14ac:dyDescent="0.25">
      <c r="E90" s="143"/>
      <c r="G90" s="143"/>
      <c r="I90" s="143"/>
      <c r="K90" s="143"/>
    </row>
    <row r="91" spans="2:11" x14ac:dyDescent="0.25">
      <c r="E91" s="143"/>
      <c r="G91" s="143"/>
      <c r="I91" s="143"/>
      <c r="K91" s="143"/>
    </row>
    <row r="92" spans="2:11" x14ac:dyDescent="0.25">
      <c r="E92" s="143"/>
      <c r="G92" s="143"/>
      <c r="I92" s="143"/>
      <c r="K92" s="143"/>
    </row>
    <row r="93" spans="2:11" x14ac:dyDescent="0.25">
      <c r="E93" s="143"/>
      <c r="G93" s="143"/>
      <c r="I93" s="143"/>
      <c r="K93" s="143"/>
    </row>
    <row r="94" spans="2:11" x14ac:dyDescent="0.25">
      <c r="E94" s="143"/>
      <c r="G94" s="143"/>
      <c r="I94" s="143"/>
      <c r="K94" s="143"/>
    </row>
    <row r="95" spans="2:11" x14ac:dyDescent="0.25">
      <c r="E95" s="143"/>
      <c r="G95" s="143"/>
      <c r="I95" s="143"/>
      <c r="K95" s="143"/>
    </row>
    <row r="96" spans="2:11" x14ac:dyDescent="0.25">
      <c r="E96" s="143"/>
      <c r="G96" s="143"/>
      <c r="I96" s="143"/>
      <c r="K96" s="143"/>
    </row>
    <row r="97" spans="1:19" x14ac:dyDescent="0.25">
      <c r="E97" s="143"/>
      <c r="G97" s="143"/>
      <c r="I97" s="143"/>
      <c r="K97" s="143"/>
    </row>
    <row r="98" spans="1:19" x14ac:dyDescent="0.25">
      <c r="A98" s="460" t="s">
        <v>1874</v>
      </c>
      <c r="B98" s="461"/>
      <c r="C98" s="461"/>
      <c r="D98" s="461"/>
      <c r="E98" s="461"/>
      <c r="F98" s="461"/>
      <c r="G98" s="461"/>
      <c r="H98" s="461"/>
      <c r="I98" s="461"/>
      <c r="J98" s="461"/>
      <c r="K98" s="462"/>
    </row>
    <row r="99" spans="1:19" s="138" customFormat="1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</row>
    <row r="100" spans="1:19" s="107" customFormat="1" x14ac:dyDescent="0.25">
      <c r="A100" s="470"/>
      <c r="B100" s="471"/>
      <c r="C100" s="471"/>
      <c r="D100" s="214"/>
      <c r="E100" s="213"/>
      <c r="F100" s="214"/>
      <c r="G100" s="213"/>
      <c r="H100" s="214"/>
      <c r="I100" s="213"/>
      <c r="J100" s="214"/>
      <c r="K100" s="213"/>
      <c r="L100" s="143"/>
    </row>
    <row r="101" spans="1:19" x14ac:dyDescent="0.25">
      <c r="A101" s="510"/>
      <c r="B101" s="511"/>
      <c r="C101" s="511"/>
      <c r="D101" s="284"/>
      <c r="E101" s="283"/>
      <c r="F101" s="284"/>
      <c r="G101" s="283"/>
      <c r="H101" s="284"/>
      <c r="I101" s="283"/>
      <c r="J101" s="284"/>
      <c r="K101" s="283"/>
    </row>
    <row r="102" spans="1:19" x14ac:dyDescent="0.25">
      <c r="A102" s="448"/>
      <c r="B102" s="449"/>
      <c r="C102" s="449"/>
      <c r="D102" s="182"/>
      <c r="E102" s="153"/>
      <c r="F102" s="182"/>
      <c r="G102" s="153"/>
      <c r="H102" s="182"/>
      <c r="I102" s="153"/>
      <c r="J102" s="182"/>
      <c r="K102" s="153"/>
    </row>
    <row r="103" spans="1:19" x14ac:dyDescent="0.25">
      <c r="A103" s="448"/>
      <c r="B103" s="449"/>
      <c r="C103" s="449"/>
      <c r="D103" s="182"/>
      <c r="E103" s="153"/>
      <c r="F103" s="182"/>
      <c r="G103" s="153"/>
      <c r="H103" s="182"/>
      <c r="I103" s="153"/>
      <c r="J103" s="182"/>
      <c r="K103" s="153"/>
    </row>
    <row r="104" spans="1:19" x14ac:dyDescent="0.25">
      <c r="A104" s="448"/>
      <c r="B104" s="449"/>
      <c r="C104" s="449"/>
      <c r="D104" s="182"/>
      <c r="E104" s="153"/>
      <c r="F104" s="182"/>
      <c r="G104" s="153"/>
      <c r="H104" s="182"/>
      <c r="I104" s="153"/>
      <c r="J104" s="182"/>
      <c r="K104" s="153"/>
    </row>
    <row r="105" spans="1:19" s="146" customFormat="1" x14ac:dyDescent="0.25">
      <c r="A105" s="448"/>
      <c r="B105" s="449"/>
      <c r="C105" s="449"/>
      <c r="D105" s="182"/>
      <c r="E105" s="153"/>
      <c r="F105" s="182"/>
      <c r="G105" s="153"/>
      <c r="H105" s="182"/>
      <c r="I105" s="153"/>
      <c r="J105" s="182"/>
      <c r="K105" s="153"/>
      <c r="L105" s="160"/>
      <c r="M105" s="161"/>
      <c r="N105" s="138"/>
      <c r="O105" s="161"/>
      <c r="P105" s="160"/>
      <c r="Q105" s="161"/>
      <c r="R105" s="160"/>
      <c r="S105" s="161"/>
    </row>
    <row r="106" spans="1:19" x14ac:dyDescent="0.25">
      <c r="A106" s="448"/>
      <c r="B106" s="449"/>
      <c r="C106" s="449"/>
      <c r="D106" s="182"/>
      <c r="E106" s="153"/>
      <c r="F106" s="182"/>
      <c r="G106" s="153"/>
      <c r="H106" s="182"/>
      <c r="I106" s="153"/>
      <c r="J106" s="182"/>
      <c r="K106" s="153"/>
      <c r="L106" s="160"/>
      <c r="M106" s="160"/>
      <c r="N106" s="160"/>
      <c r="O106" s="160"/>
      <c r="P106" s="160"/>
      <c r="Q106" s="160"/>
      <c r="R106" s="160"/>
      <c r="S106" s="160"/>
    </row>
    <row r="107" spans="1:19" x14ac:dyDescent="0.25">
      <c r="A107" s="518"/>
      <c r="B107" s="519"/>
      <c r="C107" s="519"/>
      <c r="D107" s="210"/>
      <c r="E107" s="294"/>
      <c r="F107" s="210"/>
      <c r="G107" s="294"/>
      <c r="H107" s="210"/>
      <c r="I107" s="294"/>
      <c r="J107" s="210"/>
      <c r="K107" s="294"/>
      <c r="L107" s="160"/>
      <c r="M107" s="160"/>
      <c r="N107" s="160"/>
      <c r="O107" s="160"/>
      <c r="P107" s="160"/>
      <c r="Q107" s="160"/>
      <c r="R107" s="160"/>
      <c r="S107" s="160"/>
    </row>
    <row r="108" spans="1:19" x14ac:dyDescent="0.25">
      <c r="A108" s="448"/>
      <c r="B108" s="449"/>
      <c r="C108" s="449"/>
      <c r="D108" s="182"/>
      <c r="E108" s="153"/>
      <c r="F108" s="182"/>
      <c r="G108" s="153"/>
      <c r="H108" s="182"/>
      <c r="I108" s="153"/>
      <c r="J108" s="182"/>
      <c r="K108" s="153"/>
      <c r="L108" s="160"/>
      <c r="M108" s="160"/>
      <c r="N108" s="160"/>
      <c r="O108" s="160"/>
      <c r="P108" s="160"/>
      <c r="Q108" s="160"/>
      <c r="R108" s="160"/>
      <c r="S108" s="160"/>
    </row>
    <row r="109" spans="1:19" s="149" customFormat="1" x14ac:dyDescent="0.25">
      <c r="A109" s="448"/>
      <c r="B109" s="449"/>
      <c r="C109" s="449"/>
      <c r="D109" s="275"/>
      <c r="E109" s="153"/>
      <c r="F109" s="275"/>
      <c r="G109" s="153"/>
      <c r="H109" s="275"/>
      <c r="I109" s="153"/>
      <c r="J109" s="356"/>
      <c r="K109" s="153"/>
      <c r="L109" s="138"/>
      <c r="M109" s="161"/>
      <c r="N109" s="138"/>
      <c r="O109" s="161"/>
      <c r="P109" s="160"/>
      <c r="Q109" s="161"/>
      <c r="R109" s="160"/>
      <c r="S109" s="160"/>
    </row>
    <row r="110" spans="1:19" s="149" customFormat="1" x14ac:dyDescent="0.25">
      <c r="A110" s="448"/>
      <c r="B110" s="449"/>
      <c r="C110" s="449"/>
      <c r="D110" s="275"/>
      <c r="E110" s="153"/>
      <c r="F110" s="275"/>
      <c r="G110" s="153"/>
      <c r="H110" s="275"/>
      <c r="I110" s="153"/>
      <c r="J110" s="356"/>
      <c r="K110" s="153"/>
      <c r="L110" s="138"/>
      <c r="M110" s="138"/>
      <c r="N110" s="138"/>
      <c r="O110" s="160"/>
      <c r="P110" s="160"/>
      <c r="Q110" s="160"/>
      <c r="R110" s="160"/>
      <c r="S110" s="160"/>
    </row>
    <row r="111" spans="1:19" s="149" customFormat="1" x14ac:dyDescent="0.25">
      <c r="A111" s="448"/>
      <c r="B111" s="449"/>
      <c r="C111" s="449"/>
      <c r="D111" s="275"/>
      <c r="E111" s="153"/>
      <c r="F111" s="275"/>
      <c r="G111" s="153"/>
      <c r="H111" s="275"/>
      <c r="I111" s="153"/>
      <c r="J111" s="356"/>
      <c r="K111" s="153"/>
      <c r="L111" s="138"/>
      <c r="M111" s="138"/>
      <c r="N111" s="138"/>
      <c r="O111" s="160"/>
      <c r="P111" s="160"/>
      <c r="Q111" s="160"/>
      <c r="R111" s="160"/>
      <c r="S111" s="160"/>
    </row>
    <row r="112" spans="1:19" s="149" customFormat="1" x14ac:dyDescent="0.25">
      <c r="A112" s="448"/>
      <c r="B112" s="449"/>
      <c r="C112" s="449"/>
      <c r="D112" s="275"/>
      <c r="E112" s="153"/>
      <c r="F112" s="275"/>
      <c r="G112" s="153"/>
      <c r="H112" s="275"/>
      <c r="I112" s="153"/>
      <c r="J112" s="356"/>
      <c r="K112" s="153"/>
      <c r="L112" s="138"/>
      <c r="M112" s="161"/>
      <c r="N112" s="138"/>
      <c r="O112" s="161"/>
      <c r="P112" s="160"/>
      <c r="Q112" s="161"/>
      <c r="R112" s="160"/>
      <c r="S112" s="160"/>
    </row>
    <row r="113" spans="1:17" s="282" customFormat="1" x14ac:dyDescent="0.25">
      <c r="A113" s="448"/>
      <c r="B113" s="449"/>
      <c r="C113" s="450"/>
      <c r="D113" s="275"/>
      <c r="E113" s="153"/>
      <c r="F113" s="275"/>
      <c r="G113" s="153"/>
      <c r="H113" s="275"/>
      <c r="I113" s="153"/>
      <c r="J113" s="356"/>
      <c r="K113" s="153"/>
      <c r="L113" s="281"/>
      <c r="M113" s="161"/>
      <c r="N113" s="281"/>
      <c r="O113" s="161"/>
      <c r="Q113" s="161"/>
    </row>
    <row r="114" spans="1:17" s="282" customFormat="1" x14ac:dyDescent="0.25">
      <c r="A114" s="448"/>
      <c r="B114" s="449"/>
      <c r="C114" s="450"/>
      <c r="D114" s="275"/>
      <c r="E114" s="153"/>
      <c r="F114" s="275"/>
      <c r="G114" s="153"/>
      <c r="H114" s="275"/>
      <c r="I114" s="153"/>
      <c r="J114" s="356"/>
      <c r="K114" s="153"/>
      <c r="L114" s="281"/>
      <c r="M114" s="161"/>
      <c r="N114" s="281"/>
      <c r="O114" s="161"/>
      <c r="Q114" s="161"/>
    </row>
    <row r="115" spans="1:17" s="282" customFormat="1" x14ac:dyDescent="0.25">
      <c r="A115" s="448"/>
      <c r="B115" s="449"/>
      <c r="C115" s="450"/>
      <c r="D115" s="275"/>
      <c r="E115" s="153"/>
      <c r="F115" s="275"/>
      <c r="G115" s="153"/>
      <c r="H115" s="275"/>
      <c r="I115" s="153"/>
      <c r="J115" s="356"/>
      <c r="K115" s="153"/>
      <c r="L115" s="281"/>
      <c r="M115" s="161"/>
      <c r="N115" s="281"/>
      <c r="O115" s="161"/>
      <c r="Q115" s="161"/>
    </row>
    <row r="116" spans="1:17" s="282" customFormat="1" x14ac:dyDescent="0.25">
      <c r="A116" s="448"/>
      <c r="B116" s="449"/>
      <c r="C116" s="450"/>
      <c r="D116" s="275"/>
      <c r="E116" s="153"/>
      <c r="F116" s="275"/>
      <c r="G116" s="153"/>
      <c r="H116" s="275"/>
      <c r="I116" s="153"/>
      <c r="J116" s="356"/>
      <c r="K116" s="153"/>
      <c r="L116" s="281"/>
      <c r="M116" s="161"/>
      <c r="N116" s="281"/>
      <c r="O116" s="161"/>
      <c r="Q116" s="161"/>
    </row>
    <row r="117" spans="1:17" s="282" customFormat="1" x14ac:dyDescent="0.25">
      <c r="A117" s="448"/>
      <c r="B117" s="449"/>
      <c r="C117" s="450"/>
      <c r="D117" s="275"/>
      <c r="E117" s="153"/>
      <c r="F117" s="275"/>
      <c r="G117" s="153"/>
      <c r="H117" s="275"/>
      <c r="I117" s="153"/>
      <c r="J117" s="356"/>
      <c r="K117" s="153"/>
      <c r="L117" s="281"/>
      <c r="M117" s="161"/>
      <c r="N117" s="281"/>
      <c r="O117" s="161"/>
      <c r="Q117" s="161"/>
    </row>
    <row r="118" spans="1:17" s="282" customFormat="1" x14ac:dyDescent="0.25">
      <c r="A118" s="488"/>
      <c r="B118" s="489"/>
      <c r="C118" s="490"/>
      <c r="D118" s="276"/>
      <c r="E118" s="277"/>
      <c r="F118" s="276"/>
      <c r="G118" s="277"/>
      <c r="H118" s="276"/>
      <c r="I118" s="277"/>
      <c r="J118" s="357"/>
      <c r="K118" s="277"/>
      <c r="L118" s="281"/>
      <c r="M118" s="161"/>
      <c r="N118" s="281"/>
      <c r="O118" s="161"/>
      <c r="Q118" s="161"/>
    </row>
    <row r="119" spans="1:17" s="148" customFormat="1" x14ac:dyDescent="0.25">
      <c r="A119" s="147"/>
      <c r="B119" s="147"/>
      <c r="C119" s="147"/>
      <c r="E119" s="103"/>
      <c r="G119" s="103"/>
      <c r="H119" s="117"/>
      <c r="I119" s="103"/>
      <c r="K119" s="103"/>
    </row>
    <row r="120" spans="1:17" s="107" customFormat="1" x14ac:dyDescent="0.25">
      <c r="A120" s="522"/>
      <c r="B120" s="523"/>
      <c r="C120" s="523"/>
      <c r="D120" s="292"/>
      <c r="E120" s="293"/>
      <c r="F120" s="292"/>
      <c r="G120" s="293"/>
      <c r="H120" s="292"/>
      <c r="I120" s="293"/>
      <c r="J120" s="292"/>
      <c r="K120" s="293"/>
    </row>
    <row r="121" spans="1:17" x14ac:dyDescent="0.25">
      <c r="A121" s="524"/>
      <c r="B121" s="524"/>
      <c r="C121" s="524"/>
      <c r="D121" s="328"/>
      <c r="E121" s="329"/>
      <c r="F121" s="328"/>
      <c r="G121" s="329"/>
      <c r="H121" s="328"/>
      <c r="I121" s="329"/>
      <c r="J121" s="328"/>
      <c r="K121" s="329"/>
    </row>
    <row r="122" spans="1:17" x14ac:dyDescent="0.25">
      <c r="A122" s="446"/>
      <c r="B122" s="446"/>
      <c r="C122" s="446"/>
      <c r="D122" s="116"/>
      <c r="E122" s="104"/>
      <c r="F122" s="116"/>
      <c r="G122" s="104"/>
      <c r="H122" s="174"/>
      <c r="I122" s="104"/>
      <c r="J122" s="174"/>
      <c r="K122" s="104"/>
    </row>
    <row r="123" spans="1:17" x14ac:dyDescent="0.25">
      <c r="A123" s="446"/>
      <c r="B123" s="446"/>
      <c r="C123" s="446"/>
      <c r="D123" s="116"/>
      <c r="E123" s="104"/>
      <c r="F123" s="116"/>
      <c r="G123" s="104"/>
      <c r="H123" s="174"/>
      <c r="I123" s="104"/>
      <c r="J123" s="174"/>
      <c r="K123" s="104"/>
    </row>
    <row r="124" spans="1:17" x14ac:dyDescent="0.25">
      <c r="A124" s="520"/>
      <c r="B124" s="520"/>
      <c r="C124" s="520"/>
      <c r="D124" s="330"/>
      <c r="E124" s="331"/>
      <c r="F124" s="330"/>
      <c r="G124" s="331"/>
      <c r="H124" s="341"/>
      <c r="I124" s="331"/>
      <c r="J124" s="341"/>
      <c r="K124" s="331"/>
    </row>
    <row r="125" spans="1:17" x14ac:dyDescent="0.25">
      <c r="A125" s="446"/>
      <c r="B125" s="446"/>
      <c r="C125" s="446"/>
      <c r="D125" s="116"/>
      <c r="E125" s="104"/>
      <c r="F125" s="116"/>
      <c r="G125" s="104"/>
      <c r="H125" s="174"/>
      <c r="I125" s="104"/>
      <c r="J125" s="174"/>
      <c r="K125" s="104"/>
    </row>
    <row r="126" spans="1:17" x14ac:dyDescent="0.25">
      <c r="A126" s="521"/>
      <c r="B126" s="521"/>
      <c r="C126" s="521"/>
      <c r="D126" s="332"/>
      <c r="E126" s="333"/>
      <c r="F126" s="332"/>
      <c r="G126" s="333"/>
      <c r="H126" s="342"/>
      <c r="I126" s="333"/>
      <c r="J126" s="342"/>
      <c r="K126" s="333"/>
    </row>
    <row r="127" spans="1:17" x14ac:dyDescent="0.25">
      <c r="A127" s="520"/>
      <c r="B127" s="520"/>
      <c r="C127" s="520"/>
      <c r="D127" s="330"/>
      <c r="E127" s="331"/>
      <c r="F127" s="330"/>
      <c r="G127" s="331"/>
      <c r="H127" s="341"/>
      <c r="I127" s="331"/>
      <c r="J127" s="341"/>
      <c r="K127" s="331"/>
    </row>
    <row r="128" spans="1:17" x14ac:dyDescent="0.25">
      <c r="A128" s="446"/>
      <c r="B128" s="446"/>
      <c r="C128" s="446"/>
      <c r="D128" s="116"/>
      <c r="E128" s="104"/>
      <c r="F128" s="116"/>
      <c r="G128" s="104"/>
      <c r="H128" s="174"/>
      <c r="I128" s="104"/>
      <c r="J128" s="174"/>
      <c r="K128" s="104"/>
    </row>
    <row r="129" spans="1:11" x14ac:dyDescent="0.25">
      <c r="A129" s="521"/>
      <c r="B129" s="521"/>
      <c r="C129" s="521"/>
      <c r="D129" s="332"/>
      <c r="E129" s="333"/>
      <c r="F129" s="332"/>
      <c r="G129" s="333"/>
      <c r="H129" s="342"/>
      <c r="I129" s="333"/>
      <c r="J129" s="342"/>
      <c r="K129" s="333"/>
    </row>
    <row r="130" spans="1:11" x14ac:dyDescent="0.25">
      <c r="A130" s="520"/>
      <c r="B130" s="520"/>
      <c r="C130" s="520"/>
      <c r="D130" s="330"/>
      <c r="E130" s="331"/>
      <c r="F130" s="330"/>
      <c r="G130" s="331"/>
      <c r="H130" s="341"/>
      <c r="I130" s="331"/>
      <c r="J130" s="341"/>
      <c r="K130" s="331"/>
    </row>
    <row r="131" spans="1:11" x14ac:dyDescent="0.25">
      <c r="A131" s="446"/>
      <c r="B131" s="446"/>
      <c r="C131" s="446"/>
      <c r="D131" s="116"/>
      <c r="E131" s="104"/>
      <c r="F131" s="116"/>
      <c r="G131" s="104"/>
      <c r="H131" s="174"/>
      <c r="I131" s="104"/>
      <c r="J131" s="174"/>
      <c r="K131" s="104"/>
    </row>
    <row r="132" spans="1:11" x14ac:dyDescent="0.25">
      <c r="A132" s="521"/>
      <c r="B132" s="521"/>
      <c r="C132" s="521"/>
      <c r="D132" s="332"/>
      <c r="E132" s="333"/>
      <c r="F132" s="332"/>
      <c r="G132" s="333"/>
      <c r="H132" s="342"/>
      <c r="I132" s="333"/>
      <c r="J132" s="342"/>
      <c r="K132" s="333"/>
    </row>
    <row r="133" spans="1:11" x14ac:dyDescent="0.25">
      <c r="A133" s="446"/>
      <c r="B133" s="446"/>
      <c r="C133" s="446"/>
      <c r="D133" s="116"/>
      <c r="E133" s="104"/>
      <c r="F133" s="116"/>
      <c r="G133" s="104"/>
      <c r="H133" s="174"/>
      <c r="I133" s="104"/>
      <c r="J133" s="174"/>
      <c r="K133" s="104"/>
    </row>
    <row r="134" spans="1:11" x14ac:dyDescent="0.25">
      <c r="A134" s="520"/>
      <c r="B134" s="520"/>
      <c r="C134" s="520"/>
      <c r="D134" s="330"/>
      <c r="E134" s="331"/>
      <c r="F134" s="330"/>
      <c r="G134" s="331"/>
      <c r="H134" s="341"/>
      <c r="I134" s="331"/>
      <c r="J134" s="341"/>
      <c r="K134" s="331"/>
    </row>
    <row r="135" spans="1:11" x14ac:dyDescent="0.25">
      <c r="A135" s="446"/>
      <c r="B135" s="446"/>
      <c r="C135" s="446"/>
      <c r="D135" s="116"/>
      <c r="E135" s="104"/>
      <c r="F135" s="116"/>
      <c r="G135" s="104"/>
      <c r="H135" s="174"/>
      <c r="I135" s="104"/>
      <c r="J135" s="174"/>
      <c r="K135" s="104"/>
    </row>
    <row r="136" spans="1:11" x14ac:dyDescent="0.25">
      <c r="A136" s="521"/>
      <c r="B136" s="521"/>
      <c r="C136" s="521"/>
      <c r="D136" s="332"/>
      <c r="E136" s="333"/>
      <c r="F136" s="332"/>
      <c r="G136" s="333"/>
      <c r="H136" s="342"/>
      <c r="I136" s="333"/>
      <c r="J136" s="342"/>
      <c r="K136" s="333"/>
    </row>
    <row r="137" spans="1:11" x14ac:dyDescent="0.25">
      <c r="A137" s="520"/>
      <c r="B137" s="520"/>
      <c r="C137" s="520"/>
      <c r="D137" s="330"/>
      <c r="E137" s="331"/>
      <c r="F137" s="330"/>
      <c r="G137" s="331"/>
      <c r="H137" s="341"/>
      <c r="I137" s="331"/>
      <c r="J137" s="341"/>
      <c r="K137" s="331"/>
    </row>
    <row r="138" spans="1:11" x14ac:dyDescent="0.25">
      <c r="A138" s="446"/>
      <c r="B138" s="446"/>
      <c r="C138" s="446"/>
      <c r="D138" s="116"/>
      <c r="E138" s="104"/>
      <c r="F138" s="116"/>
      <c r="G138" s="104"/>
      <c r="H138" s="174"/>
      <c r="I138" s="104"/>
      <c r="J138" s="174"/>
      <c r="K138" s="104"/>
    </row>
    <row r="139" spans="1:11" x14ac:dyDescent="0.25">
      <c r="A139" s="521"/>
      <c r="B139" s="521"/>
      <c r="C139" s="521"/>
      <c r="D139" s="332"/>
      <c r="E139" s="333"/>
      <c r="F139" s="332"/>
      <c r="G139" s="333"/>
      <c r="H139" s="342"/>
      <c r="I139" s="333"/>
      <c r="J139" s="342"/>
      <c r="K139" s="333"/>
    </row>
    <row r="140" spans="1:11" x14ac:dyDescent="0.25">
      <c r="A140" s="520"/>
      <c r="B140" s="520"/>
      <c r="C140" s="520"/>
      <c r="D140" s="330"/>
      <c r="E140" s="331"/>
      <c r="F140" s="330"/>
      <c r="G140" s="331"/>
      <c r="H140" s="341"/>
      <c r="I140" s="331"/>
      <c r="J140" s="341"/>
      <c r="K140" s="331"/>
    </row>
    <row r="141" spans="1:11" x14ac:dyDescent="0.25">
      <c r="A141" s="446"/>
      <c r="B141" s="446"/>
      <c r="C141" s="446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521"/>
      <c r="B142" s="521"/>
      <c r="C142" s="521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520"/>
      <c r="B143" s="520"/>
      <c r="C143" s="520"/>
      <c r="D143" s="330"/>
      <c r="E143" s="331"/>
      <c r="F143" s="330"/>
      <c r="G143" s="331"/>
      <c r="H143" s="341"/>
      <c r="I143" s="331"/>
      <c r="J143" s="341"/>
      <c r="K143" s="331"/>
    </row>
    <row r="144" spans="1:11" x14ac:dyDescent="0.25">
      <c r="A144" s="446"/>
      <c r="B144" s="446"/>
      <c r="C144" s="446"/>
      <c r="D144" s="116"/>
      <c r="E144" s="104"/>
      <c r="F144" s="116"/>
      <c r="G144" s="104"/>
      <c r="H144" s="174"/>
      <c r="I144" s="104"/>
      <c r="J144" s="174"/>
      <c r="K144" s="104"/>
    </row>
    <row r="145" spans="1:12" s="274" customFormat="1" x14ac:dyDescent="0.25">
      <c r="A145" s="476"/>
      <c r="B145" s="477"/>
      <c r="C145" s="478"/>
      <c r="D145" s="332"/>
      <c r="E145" s="333"/>
      <c r="F145" s="332"/>
      <c r="G145" s="333"/>
      <c r="H145" s="342"/>
      <c r="I145" s="333"/>
      <c r="J145" s="342"/>
      <c r="K145" s="333"/>
    </row>
    <row r="146" spans="1:12" x14ac:dyDescent="0.25">
      <c r="A146" s="446"/>
      <c r="B146" s="446"/>
      <c r="C146" s="446"/>
      <c r="D146" s="174"/>
      <c r="E146" s="104"/>
      <c r="F146" s="174"/>
      <c r="G146" s="104"/>
      <c r="H146" s="174"/>
      <c r="I146" s="104"/>
      <c r="J146" s="174"/>
      <c r="K146" s="104"/>
    </row>
    <row r="147" spans="1:12" x14ac:dyDescent="0.25">
      <c r="A147" s="446"/>
      <c r="B147" s="446"/>
      <c r="C147" s="446"/>
      <c r="D147" s="174"/>
      <c r="E147" s="104"/>
      <c r="F147" s="174"/>
      <c r="G147" s="104"/>
      <c r="H147" s="174"/>
      <c r="I147" s="104"/>
      <c r="J147" s="174"/>
      <c r="K147" s="104"/>
    </row>
    <row r="148" spans="1:12" x14ac:dyDescent="0.25">
      <c r="A148" s="525"/>
      <c r="B148" s="525"/>
      <c r="C148" s="525"/>
      <c r="D148" s="186"/>
      <c r="E148" s="334"/>
      <c r="F148" s="186"/>
      <c r="G148" s="334"/>
      <c r="H148" s="186"/>
      <c r="I148" s="334"/>
      <c r="J148" s="186"/>
      <c r="K148" s="334"/>
    </row>
    <row r="149" spans="1:12" x14ac:dyDescent="0.25">
      <c r="A149" s="446"/>
      <c r="B149" s="446"/>
      <c r="C149" s="446"/>
      <c r="D149" s="174"/>
      <c r="E149" s="104"/>
      <c r="F149" s="174"/>
      <c r="G149" s="104"/>
      <c r="H149" s="174"/>
      <c r="I149" s="104"/>
      <c r="J149" s="174"/>
      <c r="K149" s="104"/>
    </row>
    <row r="150" spans="1:12" x14ac:dyDescent="0.25">
      <c r="A150" s="446"/>
      <c r="B150" s="446"/>
      <c r="C150" s="446"/>
      <c r="D150" s="174"/>
      <c r="E150" s="104"/>
      <c r="F150" s="174"/>
      <c r="G150" s="104"/>
      <c r="H150" s="174"/>
      <c r="I150" s="104"/>
      <c r="J150" s="174"/>
      <c r="K150" s="104"/>
    </row>
    <row r="151" spans="1:12" x14ac:dyDescent="0.25">
      <c r="A151" s="446"/>
      <c r="B151" s="446"/>
      <c r="C151" s="446"/>
      <c r="D151" s="335"/>
      <c r="E151" s="336"/>
      <c r="F151" s="335"/>
      <c r="G151" s="336"/>
      <c r="H151" s="335"/>
      <c r="I151" s="336"/>
      <c r="J151" s="335"/>
      <c r="K151" s="336"/>
    </row>
    <row r="152" spans="1:12" s="282" customFormat="1" x14ac:dyDescent="0.25">
      <c r="A152" s="446"/>
      <c r="B152" s="446"/>
      <c r="C152" s="446"/>
      <c r="D152" s="335"/>
      <c r="E152" s="336"/>
      <c r="F152" s="335"/>
      <c r="G152" s="336"/>
      <c r="H152" s="335"/>
      <c r="I152" s="336"/>
      <c r="J152" s="335"/>
      <c r="K152" s="336"/>
    </row>
    <row r="153" spans="1:12" s="282" customFormat="1" x14ac:dyDescent="0.25">
      <c r="A153" s="525"/>
      <c r="B153" s="525"/>
      <c r="C153" s="525"/>
      <c r="D153" s="337"/>
      <c r="E153" s="338"/>
      <c r="F153" s="337"/>
      <c r="G153" s="338"/>
      <c r="H153" s="337"/>
      <c r="I153" s="338"/>
      <c r="J153" s="337"/>
      <c r="K153" s="338"/>
    </row>
    <row r="154" spans="1:12" s="282" customFormat="1" x14ac:dyDescent="0.25">
      <c r="A154" s="483"/>
      <c r="B154" s="482"/>
      <c r="C154" s="484"/>
      <c r="D154" s="339"/>
      <c r="E154" s="340"/>
      <c r="F154" s="339"/>
      <c r="G154" s="340"/>
      <c r="H154" s="339"/>
      <c r="I154" s="340"/>
      <c r="J154" s="339"/>
      <c r="K154" s="340"/>
    </row>
    <row r="155" spans="1:12" s="282" customFormat="1" x14ac:dyDescent="0.25">
      <c r="A155" s="442"/>
      <c r="B155" s="443"/>
      <c r="C155" s="444"/>
      <c r="D155" s="175"/>
      <c r="E155" s="204"/>
      <c r="F155" s="175"/>
      <c r="G155" s="204"/>
      <c r="H155" s="175"/>
      <c r="I155" s="204"/>
      <c r="J155" s="175"/>
      <c r="K155" s="204"/>
    </row>
    <row r="156" spans="1:12" s="138" customFormat="1" x14ac:dyDescent="0.25">
      <c r="D156" s="278"/>
      <c r="E156" s="190"/>
      <c r="F156" s="279"/>
      <c r="G156" s="190"/>
      <c r="H156" s="279"/>
      <c r="I156" s="190"/>
      <c r="J156" s="279"/>
      <c r="K156" s="190"/>
      <c r="L156" s="187"/>
    </row>
    <row r="157" spans="1:12" s="107" customFormat="1" x14ac:dyDescent="0.25">
      <c r="A157" s="470"/>
      <c r="B157" s="471"/>
      <c r="C157" s="471"/>
      <c r="D157" s="214"/>
      <c r="E157" s="213"/>
      <c r="F157" s="214"/>
      <c r="G157" s="213"/>
      <c r="H157" s="214"/>
      <c r="I157" s="213"/>
      <c r="J157" s="214"/>
      <c r="K157" s="213"/>
    </row>
    <row r="158" spans="1:12" x14ac:dyDescent="0.25">
      <c r="A158" s="454"/>
      <c r="B158" s="455"/>
      <c r="C158" s="456"/>
      <c r="D158" s="216"/>
      <c r="E158" s="106"/>
      <c r="F158" s="177"/>
      <c r="G158" s="106"/>
      <c r="H158" s="177"/>
      <c r="I158" s="106"/>
      <c r="J158" s="177"/>
      <c r="K158" s="106"/>
    </row>
    <row r="159" spans="1:12" x14ac:dyDescent="0.25">
      <c r="A159" s="451"/>
      <c r="B159" s="452"/>
      <c r="C159" s="453"/>
      <c r="D159" s="116"/>
      <c r="E159" s="104"/>
      <c r="F159" s="174"/>
      <c r="G159" s="104"/>
      <c r="H159" s="174"/>
      <c r="I159" s="104"/>
      <c r="J159" s="174"/>
      <c r="K159" s="104"/>
    </row>
    <row r="160" spans="1:12" x14ac:dyDescent="0.25">
      <c r="A160" s="454"/>
      <c r="B160" s="455"/>
      <c r="C160" s="456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51"/>
      <c r="B161" s="452"/>
      <c r="C161" s="453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54"/>
      <c r="B162" s="455"/>
      <c r="C162" s="456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51"/>
      <c r="B163" s="452"/>
      <c r="C163" s="453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54"/>
      <c r="B164" s="455"/>
      <c r="C164" s="456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51"/>
      <c r="B165" s="452"/>
      <c r="C165" s="453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54"/>
      <c r="B166" s="455"/>
      <c r="C166" s="456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51"/>
      <c r="B167" s="452"/>
      <c r="C167" s="453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54"/>
      <c r="B168" s="455"/>
      <c r="C168" s="456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51"/>
      <c r="B169" s="452"/>
      <c r="C169" s="453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54"/>
      <c r="B170" s="455"/>
      <c r="C170" s="456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51"/>
      <c r="B171" s="452"/>
      <c r="C171" s="453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54"/>
      <c r="B172" s="455"/>
      <c r="C172" s="456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51"/>
      <c r="B173" s="452"/>
      <c r="C173" s="453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54"/>
      <c r="B174" s="455"/>
      <c r="C174" s="456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51"/>
      <c r="B175" s="452"/>
      <c r="C175" s="453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54"/>
      <c r="B176" s="455"/>
      <c r="C176" s="456"/>
      <c r="D176" s="116"/>
      <c r="E176" s="106"/>
      <c r="F176" s="177"/>
      <c r="G176" s="106"/>
      <c r="H176" s="177"/>
      <c r="I176" s="106"/>
      <c r="J176" s="177"/>
      <c r="K176" s="106"/>
    </row>
    <row r="177" spans="1:11" x14ac:dyDescent="0.25">
      <c r="A177" s="451"/>
      <c r="B177" s="452"/>
      <c r="C177" s="453"/>
      <c r="D177" s="116"/>
      <c r="E177" s="104"/>
      <c r="F177" s="174"/>
      <c r="G177" s="104"/>
      <c r="H177" s="174"/>
      <c r="I177" s="104"/>
      <c r="J177" s="174"/>
      <c r="K177" s="104"/>
    </row>
    <row r="178" spans="1:11" x14ac:dyDescent="0.25">
      <c r="A178" s="454"/>
      <c r="B178" s="455"/>
      <c r="C178" s="456"/>
      <c r="D178" s="116"/>
      <c r="E178" s="106"/>
      <c r="F178" s="177"/>
      <c r="G178" s="106"/>
      <c r="H178" s="177"/>
      <c r="I178" s="106"/>
      <c r="J178" s="177"/>
      <c r="K178" s="106"/>
    </row>
    <row r="179" spans="1:11" x14ac:dyDescent="0.25">
      <c r="A179" s="451"/>
      <c r="B179" s="452"/>
      <c r="C179" s="453"/>
      <c r="D179" s="116"/>
      <c r="E179" s="104"/>
      <c r="F179" s="174"/>
      <c r="G179" s="104"/>
      <c r="H179" s="174"/>
      <c r="I179" s="104"/>
      <c r="J179" s="174"/>
      <c r="K179" s="104"/>
    </row>
    <row r="180" spans="1:11" x14ac:dyDescent="0.25">
      <c r="A180" s="454"/>
      <c r="B180" s="455"/>
      <c r="C180" s="456"/>
      <c r="D180" s="177"/>
      <c r="E180" s="106"/>
      <c r="F180" s="177"/>
      <c r="G180" s="106"/>
      <c r="H180" s="177"/>
      <c r="I180" s="106"/>
      <c r="J180" s="177"/>
      <c r="K180" s="106"/>
    </row>
    <row r="181" spans="1:11" x14ac:dyDescent="0.25">
      <c r="A181" s="451"/>
      <c r="B181" s="452"/>
      <c r="C181" s="453"/>
      <c r="D181" s="116"/>
      <c r="E181" s="104"/>
      <c r="F181" s="174"/>
      <c r="G181" s="104"/>
      <c r="H181" s="174"/>
      <c r="I181" s="104"/>
      <c r="J181" s="174"/>
      <c r="K181" s="104"/>
    </row>
    <row r="182" spans="1:11" x14ac:dyDescent="0.25">
      <c r="A182" s="457"/>
      <c r="B182" s="458"/>
      <c r="C182" s="459"/>
      <c r="D182" s="178"/>
      <c r="E182" s="115"/>
      <c r="F182" s="178"/>
      <c r="G182" s="114"/>
      <c r="H182" s="178"/>
      <c r="I182" s="114"/>
      <c r="J182" s="178"/>
      <c r="K182" s="114"/>
    </row>
    <row r="183" spans="1:11" s="152" customFormat="1" x14ac:dyDescent="0.25">
      <c r="A183" s="125"/>
      <c r="B183" s="125"/>
      <c r="C183" s="125"/>
      <c r="D183" s="155"/>
      <c r="E183" s="156"/>
      <c r="F183" s="155"/>
      <c r="G183" s="126"/>
      <c r="H183" s="155"/>
      <c r="I183" s="126"/>
      <c r="J183" s="155"/>
      <c r="K183" s="126"/>
    </row>
    <row r="184" spans="1:11" s="107" customFormat="1" x14ac:dyDescent="0.25">
      <c r="A184" s="288"/>
      <c r="B184" s="289"/>
      <c r="C184" s="327"/>
      <c r="D184" s="214"/>
      <c r="E184" s="213"/>
      <c r="F184" s="214"/>
      <c r="G184" s="213"/>
      <c r="H184" s="214"/>
      <c r="I184" s="213"/>
      <c r="J184" s="214"/>
      <c r="K184" s="213"/>
    </row>
    <row r="185" spans="1:11" s="291" customFormat="1" x14ac:dyDescent="0.25">
      <c r="A185" s="466"/>
      <c r="B185" s="467"/>
      <c r="C185" s="468"/>
      <c r="D185" s="173"/>
      <c r="E185" s="111"/>
      <c r="F185" s="173"/>
      <c r="G185" s="111"/>
      <c r="H185" s="173"/>
      <c r="I185" s="111"/>
      <c r="J185" s="173"/>
      <c r="K185" s="111"/>
    </row>
    <row r="186" spans="1:11" s="291" customFormat="1" x14ac:dyDescent="0.25">
      <c r="A186" s="451"/>
      <c r="B186" s="452"/>
      <c r="C186" s="453"/>
      <c r="D186" s="174"/>
      <c r="E186" s="104"/>
      <c r="F186" s="174"/>
      <c r="G186" s="104"/>
      <c r="H186" s="174"/>
      <c r="I186" s="104"/>
      <c r="J186" s="174"/>
      <c r="K186" s="104"/>
    </row>
    <row r="187" spans="1:11" s="291" customFormat="1" x14ac:dyDescent="0.25">
      <c r="A187" s="454"/>
      <c r="B187" s="455"/>
      <c r="C187" s="456"/>
      <c r="D187" s="177"/>
      <c r="E187" s="106"/>
      <c r="F187" s="177"/>
      <c r="G187" s="106"/>
      <c r="H187" s="177"/>
      <c r="I187" s="106"/>
      <c r="J187" s="177"/>
      <c r="K187" s="106"/>
    </row>
    <row r="188" spans="1:11" s="291" customFormat="1" x14ac:dyDescent="0.25">
      <c r="A188" s="442"/>
      <c r="B188" s="443"/>
      <c r="C188" s="444"/>
      <c r="D188" s="179"/>
      <c r="E188" s="108"/>
      <c r="F188" s="179"/>
      <c r="G188" s="108"/>
      <c r="H188" s="179"/>
      <c r="I188" s="108"/>
      <c r="J188" s="179"/>
      <c r="K188" s="108"/>
    </row>
    <row r="189" spans="1:11" s="291" customFormat="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1" s="107" customFormat="1" x14ac:dyDescent="0.25">
      <c r="A190" s="288"/>
      <c r="B190" s="289"/>
      <c r="C190" s="327"/>
      <c r="D190" s="214"/>
      <c r="E190" s="213"/>
      <c r="F190" s="214"/>
      <c r="G190" s="213"/>
      <c r="H190" s="214"/>
      <c r="I190" s="213"/>
      <c r="J190" s="214"/>
      <c r="K190" s="213"/>
    </row>
    <row r="191" spans="1:11" s="291" customFormat="1" x14ac:dyDescent="0.25">
      <c r="A191" s="466"/>
      <c r="B191" s="467"/>
      <c r="C191" s="468"/>
      <c r="D191" s="177"/>
      <c r="E191" s="106"/>
      <c r="F191" s="177"/>
      <c r="G191" s="106"/>
      <c r="H191" s="177"/>
      <c r="I191" s="106"/>
      <c r="J191" s="177"/>
      <c r="K191" s="106"/>
    </row>
    <row r="192" spans="1:11" s="291" customFormat="1" x14ac:dyDescent="0.25">
      <c r="A192" s="451"/>
      <c r="B192" s="452"/>
      <c r="C192" s="453"/>
      <c r="D192" s="174"/>
      <c r="E192" s="104"/>
      <c r="F192" s="174"/>
      <c r="G192" s="104"/>
      <c r="H192" s="174"/>
      <c r="I192" s="104"/>
      <c r="J192" s="174"/>
      <c r="K192" s="104"/>
    </row>
    <row r="193" spans="1:11" s="291" customFormat="1" x14ac:dyDescent="0.25">
      <c r="A193" s="454"/>
      <c r="B193" s="455"/>
      <c r="C193" s="456"/>
      <c r="D193" s="177"/>
      <c r="E193" s="106"/>
      <c r="F193" s="177"/>
      <c r="G193" s="106"/>
      <c r="H193" s="177"/>
      <c r="I193" s="106"/>
      <c r="J193" s="177"/>
      <c r="K193" s="106"/>
    </row>
    <row r="194" spans="1:11" x14ac:dyDescent="0.25">
      <c r="A194" s="451"/>
      <c r="B194" s="452"/>
      <c r="C194" s="453"/>
      <c r="D194" s="174"/>
      <c r="E194" s="104"/>
      <c r="F194" s="174"/>
      <c r="G194" s="104"/>
      <c r="H194" s="174"/>
      <c r="I194" s="104"/>
      <c r="J194" s="174"/>
      <c r="K194" s="104"/>
    </row>
    <row r="195" spans="1:11" x14ac:dyDescent="0.25">
      <c r="A195" s="454"/>
      <c r="B195" s="455"/>
      <c r="C195" s="456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51"/>
      <c r="B196" s="452"/>
      <c r="C196" s="453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54"/>
      <c r="B197" s="455"/>
      <c r="C197" s="456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51"/>
      <c r="B198" s="452"/>
      <c r="C198" s="453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54"/>
      <c r="B199" s="455"/>
      <c r="C199" s="456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51"/>
      <c r="B200" s="452"/>
      <c r="C200" s="453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54"/>
      <c r="B201" s="455"/>
      <c r="C201" s="456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51"/>
      <c r="B202" s="452"/>
      <c r="C202" s="453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54"/>
      <c r="B203" s="455"/>
      <c r="C203" s="456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51"/>
      <c r="B204" s="452"/>
      <c r="C204" s="453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54"/>
      <c r="B205" s="455"/>
      <c r="C205" s="456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51"/>
      <c r="B206" s="452"/>
      <c r="C206" s="453"/>
      <c r="D206" s="174"/>
      <c r="E206" s="104"/>
      <c r="F206" s="174"/>
      <c r="G206" s="104"/>
      <c r="H206" s="174"/>
      <c r="I206" s="104"/>
      <c r="J206" s="174"/>
      <c r="K206" s="104"/>
    </row>
    <row r="207" spans="1:11" x14ac:dyDescent="0.25">
      <c r="A207" s="454"/>
      <c r="B207" s="455"/>
      <c r="C207" s="456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51"/>
      <c r="B208" s="452"/>
      <c r="C208" s="453"/>
      <c r="D208" s="174"/>
      <c r="E208" s="104"/>
      <c r="F208" s="174"/>
      <c r="G208" s="104"/>
      <c r="H208" s="174"/>
      <c r="I208" s="104"/>
      <c r="J208" s="174"/>
      <c r="K208" s="104"/>
    </row>
    <row r="209" spans="1:11" x14ac:dyDescent="0.25">
      <c r="A209" s="454"/>
      <c r="B209" s="455"/>
      <c r="C209" s="456"/>
      <c r="D209" s="177"/>
      <c r="E209" s="106"/>
      <c r="F209" s="177"/>
      <c r="G209" s="106"/>
      <c r="H209" s="177"/>
      <c r="I209" s="106"/>
      <c r="J209" s="177"/>
      <c r="K209" s="106"/>
    </row>
    <row r="210" spans="1:11" x14ac:dyDescent="0.25">
      <c r="A210" s="451"/>
      <c r="B210" s="452"/>
      <c r="C210" s="453"/>
      <c r="D210" s="174"/>
      <c r="E210" s="104"/>
      <c r="F210" s="174"/>
      <c r="G210" s="104"/>
      <c r="H210" s="174"/>
      <c r="I210" s="104"/>
      <c r="J210" s="174"/>
      <c r="K210" s="104"/>
    </row>
    <row r="211" spans="1:11" x14ac:dyDescent="0.25">
      <c r="A211" s="457"/>
      <c r="B211" s="458"/>
      <c r="C211" s="459"/>
      <c r="D211" s="178"/>
      <c r="E211" s="114"/>
      <c r="F211" s="178"/>
      <c r="G211" s="114"/>
      <c r="H211" s="178"/>
      <c r="I211" s="114"/>
      <c r="J211" s="178"/>
      <c r="K211" s="114"/>
    </row>
    <row r="212" spans="1:11" s="1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x14ac:dyDescent="0.25">
      <c r="A213" s="460" t="s">
        <v>1873</v>
      </c>
      <c r="B213" s="461"/>
      <c r="C213" s="461"/>
      <c r="D213" s="461"/>
      <c r="E213" s="461"/>
      <c r="F213" s="461"/>
      <c r="G213" s="461"/>
      <c r="H213" s="461"/>
      <c r="I213" s="461"/>
      <c r="J213" s="461"/>
      <c r="K213" s="462"/>
    </row>
    <row r="214" spans="1:11" s="1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1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1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1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1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1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1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1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1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1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1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38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s="138" customFormat="1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s="138" customFormat="1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s="138" customFormat="1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s="138" customFormat="1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s="107" customFormat="1" x14ac:dyDescent="0.25">
      <c r="A230" s="463"/>
      <c r="B230" s="464"/>
      <c r="C230" s="464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526"/>
      <c r="B231" s="455"/>
      <c r="C231" s="455"/>
      <c r="D231" s="177"/>
      <c r="E231" s="106"/>
      <c r="F231" s="177"/>
      <c r="G231" s="106"/>
      <c r="H231" s="177"/>
      <c r="I231" s="106"/>
      <c r="J231" s="177"/>
      <c r="K231" s="106"/>
    </row>
    <row r="232" spans="1:12" x14ac:dyDescent="0.25">
      <c r="A232" s="527"/>
      <c r="B232" s="452"/>
      <c r="C232" s="452"/>
      <c r="D232" s="158"/>
      <c r="E232" s="130"/>
      <c r="F232" s="158"/>
      <c r="G232" s="130"/>
      <c r="H232" s="158"/>
      <c r="I232" s="130"/>
      <c r="J232" s="158"/>
      <c r="K232" s="130"/>
    </row>
    <row r="233" spans="1:12" x14ac:dyDescent="0.25">
      <c r="A233" s="526"/>
      <c r="B233" s="455"/>
      <c r="C233" s="455"/>
      <c r="D233" s="177"/>
      <c r="E233" s="106"/>
      <c r="F233" s="177"/>
      <c r="G233" s="106"/>
      <c r="H233" s="177"/>
      <c r="I233" s="106"/>
      <c r="J233" s="177"/>
      <c r="K233" s="106"/>
    </row>
    <row r="234" spans="1:12" x14ac:dyDescent="0.25">
      <c r="A234" s="527"/>
      <c r="B234" s="452"/>
      <c r="C234" s="452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526"/>
      <c r="B235" s="455"/>
      <c r="C235" s="455"/>
      <c r="D235" s="177"/>
      <c r="E235" s="106"/>
      <c r="F235" s="177"/>
      <c r="G235" s="106"/>
      <c r="H235" s="177"/>
      <c r="I235" s="106"/>
      <c r="J235" s="177"/>
      <c r="K235" s="106"/>
    </row>
    <row r="236" spans="1:12" x14ac:dyDescent="0.25">
      <c r="A236" s="527"/>
      <c r="B236" s="452"/>
      <c r="C236" s="452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526"/>
      <c r="B237" s="455"/>
      <c r="C237" s="455"/>
      <c r="D237" s="177"/>
      <c r="E237" s="106"/>
      <c r="F237" s="177"/>
      <c r="G237" s="106"/>
      <c r="H237" s="177"/>
      <c r="I237" s="106"/>
      <c r="J237" s="177"/>
      <c r="K237" s="106"/>
    </row>
    <row r="238" spans="1:12" x14ac:dyDescent="0.25">
      <c r="A238" s="527"/>
      <c r="B238" s="452"/>
      <c r="C238" s="452"/>
      <c r="D238" s="174"/>
      <c r="E238" s="104"/>
      <c r="F238" s="174"/>
      <c r="G238" s="104"/>
      <c r="H238" s="174"/>
      <c r="I238" s="104"/>
      <c r="J238" s="174"/>
      <c r="K238" s="104"/>
      <c r="L238" s="138"/>
    </row>
    <row r="239" spans="1:12" x14ac:dyDescent="0.25">
      <c r="A239" s="526"/>
      <c r="B239" s="455"/>
      <c r="C239" s="455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527"/>
      <c r="B240" s="452"/>
      <c r="C240" s="452"/>
      <c r="D240" s="174"/>
      <c r="E240" s="104"/>
      <c r="F240" s="174"/>
      <c r="G240" s="104"/>
      <c r="H240" s="174"/>
      <c r="I240" s="104"/>
      <c r="J240" s="174"/>
      <c r="K240" s="104"/>
    </row>
    <row r="241" spans="1:11" x14ac:dyDescent="0.25">
      <c r="A241" s="526"/>
      <c r="B241" s="455"/>
      <c r="C241" s="455"/>
      <c r="D241" s="110"/>
      <c r="E241" s="106"/>
      <c r="F241" s="110"/>
      <c r="G241" s="106"/>
      <c r="H241" s="110"/>
      <c r="I241" s="106"/>
      <c r="J241" s="110"/>
      <c r="K241" s="106"/>
    </row>
    <row r="242" spans="1:11" x14ac:dyDescent="0.25">
      <c r="A242" s="527"/>
      <c r="B242" s="452"/>
      <c r="C242" s="452"/>
      <c r="D242" s="174"/>
      <c r="E242" s="104"/>
      <c r="F242" s="174"/>
      <c r="G242" s="104"/>
      <c r="H242" s="174"/>
      <c r="I242" s="104"/>
      <c r="J242" s="174"/>
      <c r="K242" s="104"/>
    </row>
    <row r="243" spans="1:11" x14ac:dyDescent="0.25">
      <c r="A243" s="526"/>
      <c r="B243" s="455"/>
      <c r="C243" s="455"/>
      <c r="D243" s="180"/>
      <c r="E243" s="181"/>
      <c r="F243" s="180"/>
      <c r="G243" s="181"/>
      <c r="H243" s="180"/>
      <c r="I243" s="181"/>
      <c r="J243" s="180"/>
      <c r="K243" s="181"/>
    </row>
    <row r="244" spans="1:11" x14ac:dyDescent="0.25">
      <c r="A244" s="527"/>
      <c r="B244" s="452"/>
      <c r="C244" s="452"/>
      <c r="D244" s="174"/>
      <c r="E244" s="104"/>
      <c r="F244" s="174"/>
      <c r="G244" s="104"/>
      <c r="H244" s="174"/>
      <c r="I244" s="104"/>
      <c r="J244" s="174"/>
      <c r="K244" s="104"/>
    </row>
    <row r="245" spans="1:11" x14ac:dyDescent="0.25">
      <c r="A245" s="526"/>
      <c r="B245" s="455"/>
      <c r="C245" s="455"/>
      <c r="D245" s="177"/>
      <c r="E245" s="106"/>
      <c r="F245" s="177"/>
      <c r="G245" s="106"/>
      <c r="H245" s="177"/>
      <c r="I245" s="106"/>
      <c r="J245" s="177"/>
      <c r="K245" s="106"/>
    </row>
    <row r="246" spans="1:11" x14ac:dyDescent="0.25">
      <c r="A246" s="528"/>
      <c r="B246" s="443"/>
      <c r="C246" s="443"/>
      <c r="D246" s="179"/>
      <c r="E246" s="108"/>
      <c r="F246" s="179"/>
      <c r="G246" s="108"/>
      <c r="H246" s="179"/>
      <c r="I246" s="108"/>
      <c r="J246" s="179"/>
      <c r="K246" s="108"/>
    </row>
    <row r="247" spans="1:11" x14ac:dyDescent="0.25">
      <c r="C247" s="143" t="s">
        <v>3251</v>
      </c>
    </row>
    <row r="248" spans="1:11" ht="15" customHeight="1" x14ac:dyDescent="0.25"/>
    <row r="249" spans="1:11" ht="19.5" customHeight="1" x14ac:dyDescent="0.25">
      <c r="C249" s="143" t="s">
        <v>3292</v>
      </c>
    </row>
  </sheetData>
  <mergeCells count="182">
    <mergeCell ref="A152:C152"/>
    <mergeCell ref="A153:C153"/>
    <mergeCell ref="A154:C154"/>
    <mergeCell ref="A155:C155"/>
    <mergeCell ref="F7:H7"/>
    <mergeCell ref="J7:K7"/>
    <mergeCell ref="A3:K3"/>
    <mergeCell ref="B43:D43"/>
    <mergeCell ref="B44:D44"/>
    <mergeCell ref="B45:D45"/>
    <mergeCell ref="B4:D4"/>
    <mergeCell ref="F4:H4"/>
    <mergeCell ref="J4:K4"/>
    <mergeCell ref="B5:D5"/>
    <mergeCell ref="F5:H5"/>
    <mergeCell ref="J5:K5"/>
    <mergeCell ref="B6:D6"/>
    <mergeCell ref="F6:H6"/>
    <mergeCell ref="J6:K6"/>
    <mergeCell ref="B7:D7"/>
    <mergeCell ref="B46:D46"/>
    <mergeCell ref="B47:D47"/>
    <mergeCell ref="B48:D48"/>
    <mergeCell ref="A8:C8"/>
    <mergeCell ref="B38:D38"/>
    <mergeCell ref="B39:D39"/>
    <mergeCell ref="B40:D40"/>
    <mergeCell ref="B42:D42"/>
    <mergeCell ref="B41:D41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A124:C124"/>
    <mergeCell ref="A125:C125"/>
    <mergeCell ref="A126:C126"/>
    <mergeCell ref="A127:C127"/>
    <mergeCell ref="A128:C128"/>
    <mergeCell ref="A129:C129"/>
    <mergeCell ref="A102:C102"/>
    <mergeCell ref="A109:C109"/>
    <mergeCell ref="A120:C120"/>
    <mergeCell ref="A121:C121"/>
    <mergeCell ref="A122:C122"/>
    <mergeCell ref="A123:C123"/>
    <mergeCell ref="A108:C108"/>
    <mergeCell ref="A113:C113"/>
    <mergeCell ref="A114:C114"/>
    <mergeCell ref="A115:C115"/>
    <mergeCell ref="A116:C116"/>
    <mergeCell ref="A117:C117"/>
    <mergeCell ref="A118:C118"/>
    <mergeCell ref="A136:C136"/>
    <mergeCell ref="A137:C137"/>
    <mergeCell ref="A138:C138"/>
    <mergeCell ref="A139:C139"/>
    <mergeCell ref="A140:C140"/>
    <mergeCell ref="A141:C141"/>
    <mergeCell ref="A130:C130"/>
    <mergeCell ref="A131:C131"/>
    <mergeCell ref="A132:C132"/>
    <mergeCell ref="A133:C133"/>
    <mergeCell ref="A134:C134"/>
    <mergeCell ref="A135:C135"/>
    <mergeCell ref="A148:C148"/>
    <mergeCell ref="A149:C149"/>
    <mergeCell ref="A150:C150"/>
    <mergeCell ref="A151:C151"/>
    <mergeCell ref="A142:C142"/>
    <mergeCell ref="A143:C143"/>
    <mergeCell ref="A144:C144"/>
    <mergeCell ref="A146:C146"/>
    <mergeCell ref="A147:C147"/>
    <mergeCell ref="A145:C145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93:C193"/>
    <mergeCell ref="A194:C194"/>
    <mergeCell ref="A195:C195"/>
    <mergeCell ref="A196:C196"/>
    <mergeCell ref="A197:C197"/>
    <mergeCell ref="A198:C198"/>
    <mergeCell ref="A181:C181"/>
    <mergeCell ref="A182:C182"/>
    <mergeCell ref="A191:C191"/>
    <mergeCell ref="A192:C192"/>
    <mergeCell ref="A185:C185"/>
    <mergeCell ref="A186:C186"/>
    <mergeCell ref="A187:C187"/>
    <mergeCell ref="A188:C188"/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246:C246"/>
    <mergeCell ref="A103:C103"/>
    <mergeCell ref="A104:C104"/>
    <mergeCell ref="A106:C106"/>
    <mergeCell ref="A107:C107"/>
    <mergeCell ref="A110:C110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11:C211"/>
    <mergeCell ref="A213:K213"/>
    <mergeCell ref="A230:C230"/>
    <mergeCell ref="A231:C231"/>
    <mergeCell ref="A232:C232"/>
    <mergeCell ref="A233:C233"/>
  </mergeCells>
  <conditionalFormatting sqref="B58:D80 F58:J80">
    <cfRule type="expression" dxfId="17" priority="45">
      <formula>MOD(ROW(),2)=1</formula>
    </cfRule>
    <cfRule type="expression" dxfId="16" priority="46">
      <formula>MOD(ROW(),2)=0</formula>
    </cfRule>
  </conditionalFormatting>
  <conditionalFormatting sqref="A158:K182 D121:K155 A152:A155">
    <cfRule type="expression" dxfId="15" priority="27">
      <formula>MOD(ROW(),2)=0</formula>
    </cfRule>
    <cfRule type="expression" dxfId="14" priority="28">
      <formula>MOD(ROW(),2)=1</formula>
    </cfRule>
  </conditionalFormatting>
  <conditionalFormatting sqref="E58:E80">
    <cfRule type="expression" dxfId="13" priority="21">
      <formula>MOD(ROW(),2)=1</formula>
    </cfRule>
    <cfRule type="expression" dxfId="12" priority="22">
      <formula>MOD(ROW(),2)=0</formula>
    </cfRule>
  </conditionalFormatting>
  <conditionalFormatting sqref="A121:C144 A146:C151 A145">
    <cfRule type="expression" dxfId="11" priority="13">
      <formula>MOD(ROW(),2)=0</formula>
    </cfRule>
    <cfRule type="expression" dxfId="10" priority="14">
      <formula>MOD(ROW(),2)=1</formula>
    </cfRule>
  </conditionalFormatting>
  <conditionalFormatting sqref="A101:K112 B39:J55 A113:A115 D113:K115 A117:A118 D117:K118">
    <cfRule type="expression" dxfId="9" priority="11">
      <formula>MOD(ROW(),2)=1</formula>
    </cfRule>
    <cfRule type="expression" dxfId="8" priority="12">
      <formula>MOD(ROW(),2)=0</formula>
    </cfRule>
  </conditionalFormatting>
  <conditionalFormatting sqref="A116 D116:K116">
    <cfRule type="expression" dxfId="7" priority="7">
      <formula>MOD(ROW(),2)=1</formula>
    </cfRule>
    <cfRule type="expression" dxfId="6" priority="8">
      <formula>MOD(ROW(),2)=0</formula>
    </cfRule>
  </conditionalFormatting>
  <conditionalFormatting sqref="A185:K188">
    <cfRule type="expression" dxfId="5" priority="5">
      <formula>MOD(ROW(),2)=1</formula>
    </cfRule>
    <cfRule type="expression" dxfId="4" priority="6">
      <formula>MOD(ROW(),2)=0</formula>
    </cfRule>
  </conditionalFormatting>
  <conditionalFormatting sqref="A191:K211">
    <cfRule type="expression" dxfId="3" priority="3">
      <formula>MOD(ROW(),2)=1</formula>
    </cfRule>
    <cfRule type="expression" dxfId="2" priority="4">
      <formula>MOD(ROW(),2)=0</formula>
    </cfRule>
  </conditionalFormatting>
  <conditionalFormatting sqref="A231:K24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scale="48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V92"/>
  <sheetViews>
    <sheetView topLeftCell="A55" zoomScale="80" zoomScaleNormal="80" workbookViewId="0">
      <pane xSplit="1" topLeftCell="B1" activePane="topRight" state="frozen"/>
      <selection pane="topRight" activeCell="K88" sqref="K88"/>
    </sheetView>
  </sheetViews>
  <sheetFormatPr defaultColWidth="9.140625" defaultRowHeight="15" customHeight="1" x14ac:dyDescent="0.25"/>
  <cols>
    <col min="1" max="1" width="58.7109375" style="20" customWidth="1"/>
    <col min="2" max="3" width="10.7109375" style="21" customWidth="1"/>
    <col min="4" max="5" width="10.7109375" style="24" customWidth="1"/>
    <col min="6" max="6" width="10.7109375" style="29" customWidth="1"/>
    <col min="7" max="7" width="10.7109375" style="441" customWidth="1"/>
    <col min="8" max="9" width="10.7109375" style="20" customWidth="1"/>
    <col min="10" max="10" width="11.5703125" style="20" customWidth="1"/>
    <col min="11" max="12" width="10.7109375" style="20" customWidth="1"/>
    <col min="13" max="13" width="10.7109375" style="22" customWidth="1"/>
    <col min="14" max="14" width="10.7109375" style="26" customWidth="1"/>
    <col min="15" max="15" width="10.7109375" style="29" customWidth="1"/>
    <col min="16" max="16" width="10.7109375" style="250" customWidth="1"/>
    <col min="17" max="17" width="13.5703125" style="397" bestFit="1" customWidth="1"/>
    <col min="18" max="18" width="9.140625" style="22"/>
    <col min="19" max="19" width="15.85546875" style="26" customWidth="1"/>
    <col min="20" max="20" width="9.140625" style="26"/>
    <col min="21" max="22" width="9.140625" style="29"/>
    <col min="23" max="16384" width="9.140625" style="20"/>
  </cols>
  <sheetData>
    <row r="1" spans="1:22" ht="15" customHeight="1" x14ac:dyDescent="0.25">
      <c r="P1" s="79"/>
      <c r="Q1" s="50"/>
    </row>
    <row r="2" spans="1:22" ht="15" customHeight="1" x14ac:dyDescent="0.25">
      <c r="A2" s="20" t="s">
        <v>2499</v>
      </c>
      <c r="B2" s="21" t="s">
        <v>1622</v>
      </c>
      <c r="C2" s="21" t="s">
        <v>1623</v>
      </c>
      <c r="H2" s="20" t="s">
        <v>1887</v>
      </c>
      <c r="J2" s="20" t="s">
        <v>1884</v>
      </c>
      <c r="K2" s="20" t="s">
        <v>1885</v>
      </c>
      <c r="L2" s="20" t="s">
        <v>1886</v>
      </c>
      <c r="P2" s="79"/>
      <c r="Q2" s="50"/>
    </row>
    <row r="3" spans="1:22" ht="15" customHeight="1" x14ac:dyDescent="0.25">
      <c r="A3" s="44" t="s">
        <v>1867</v>
      </c>
      <c r="J3" s="20" t="s">
        <v>1882</v>
      </c>
      <c r="K3" s="20" t="s">
        <v>1883</v>
      </c>
      <c r="L3" s="20">
        <v>100</v>
      </c>
      <c r="M3" s="22">
        <v>1</v>
      </c>
      <c r="N3" s="26">
        <v>1</v>
      </c>
      <c r="O3" s="29">
        <v>1</v>
      </c>
      <c r="P3" s="79"/>
      <c r="Q3" s="50" t="s">
        <v>2824</v>
      </c>
      <c r="R3" s="22" t="s">
        <v>1867</v>
      </c>
      <c r="S3" s="26" t="s">
        <v>2835</v>
      </c>
    </row>
    <row r="4" spans="1:22" s="46" customFormat="1" ht="15" customHeight="1" x14ac:dyDescent="0.25">
      <c r="A4" s="46" t="s">
        <v>1880</v>
      </c>
      <c r="B4" s="3" t="s">
        <v>2783</v>
      </c>
      <c r="C4" s="3" t="s">
        <v>3557</v>
      </c>
      <c r="D4" s="5" t="s">
        <v>2783</v>
      </c>
      <c r="E4" s="5" t="s">
        <v>3557</v>
      </c>
      <c r="F4" s="7" t="s">
        <v>2783</v>
      </c>
      <c r="G4" s="43" t="s">
        <v>3557</v>
      </c>
      <c r="H4" s="46" t="e">
        <f ca="1">AI_SET_DF(Liquid_Assets!A54)</f>
        <v>#NAME?</v>
      </c>
      <c r="I4" s="46" t="e">
        <f ca="1">AI_SET_DF(Liquid_Assets!A54)</f>
        <v>#NAME?</v>
      </c>
      <c r="M4" s="16">
        <v>5</v>
      </c>
      <c r="N4" s="25">
        <v>5</v>
      </c>
      <c r="O4" s="28">
        <v>5</v>
      </c>
      <c r="P4" s="31"/>
      <c r="Q4" s="3" t="s">
        <v>2783</v>
      </c>
      <c r="R4" s="3" t="s">
        <v>2783</v>
      </c>
      <c r="S4" s="5" t="s">
        <v>2783</v>
      </c>
      <c r="T4" s="5" t="s">
        <v>2783</v>
      </c>
      <c r="U4" s="7" t="s">
        <v>2783</v>
      </c>
      <c r="V4" s="7" t="s">
        <v>2783</v>
      </c>
    </row>
    <row r="5" spans="1:22" s="46" customFormat="1" ht="15" customHeight="1" x14ac:dyDescent="0.25">
      <c r="A5" s="46" t="s">
        <v>2776</v>
      </c>
      <c r="B5" s="3" t="s">
        <v>2780</v>
      </c>
      <c r="C5" s="3" t="s">
        <v>3558</v>
      </c>
      <c r="D5" s="5" t="s">
        <v>2780</v>
      </c>
      <c r="E5" s="5" t="s">
        <v>3558</v>
      </c>
      <c r="F5" s="7" t="s">
        <v>2780</v>
      </c>
      <c r="G5" s="43" t="s">
        <v>3558</v>
      </c>
      <c r="H5" s="46" t="e">
        <f ca="1">AI_SET_DF('E07'!A47)</f>
        <v>#NAME?</v>
      </c>
      <c r="I5" s="46" t="e">
        <f ca="1">AI_SET_DF('E07'!A47)</f>
        <v>#NAME?</v>
      </c>
      <c r="M5" s="16">
        <v>5</v>
      </c>
      <c r="N5" s="25">
        <v>5</v>
      </c>
      <c r="O5" s="28">
        <v>5</v>
      </c>
      <c r="P5" s="31"/>
      <c r="Q5" s="3" t="s">
        <v>2780</v>
      </c>
      <c r="R5" s="3" t="s">
        <v>2780</v>
      </c>
      <c r="S5" s="5" t="s">
        <v>2780</v>
      </c>
      <c r="T5" s="5" t="s">
        <v>2780</v>
      </c>
      <c r="U5" s="7" t="s">
        <v>2780</v>
      </c>
      <c r="V5" s="7" t="s">
        <v>2780</v>
      </c>
    </row>
    <row r="6" spans="1:22" s="46" customFormat="1" ht="15" customHeight="1" x14ac:dyDescent="0.25">
      <c r="A6" s="46" t="s">
        <v>2777</v>
      </c>
      <c r="B6" s="3" t="s">
        <v>2781</v>
      </c>
      <c r="C6" s="3" t="s">
        <v>2781</v>
      </c>
      <c r="D6" s="5" t="s">
        <v>2781</v>
      </c>
      <c r="E6" s="5" t="s">
        <v>2781</v>
      </c>
      <c r="F6" s="7" t="s">
        <v>2781</v>
      </c>
      <c r="G6" s="43" t="s">
        <v>2781</v>
      </c>
      <c r="H6" s="46" t="e">
        <f ca="1">AI_SET_DF(A17)</f>
        <v>#NAME?</v>
      </c>
      <c r="I6" s="46" t="e">
        <f ca="1">AI_SET_DF(A17)</f>
        <v>#NAME?</v>
      </c>
      <c r="M6" s="16">
        <v>5</v>
      </c>
      <c r="N6" s="25">
        <v>5</v>
      </c>
      <c r="O6" s="28">
        <v>5</v>
      </c>
      <c r="P6" s="31"/>
      <c r="Q6" s="3" t="s">
        <v>2781</v>
      </c>
      <c r="R6" s="3" t="s">
        <v>2781</v>
      </c>
      <c r="S6" s="5" t="s">
        <v>2781</v>
      </c>
      <c r="T6" s="5" t="s">
        <v>2781</v>
      </c>
      <c r="U6" s="7" t="s">
        <v>2781</v>
      </c>
      <c r="V6" s="7" t="s">
        <v>2781</v>
      </c>
    </row>
    <row r="7" spans="1:22" s="46" customFormat="1" ht="15" customHeight="1" x14ac:dyDescent="0.25">
      <c r="A7" s="46" t="s">
        <v>2778</v>
      </c>
      <c r="B7" s="3" t="s">
        <v>2779</v>
      </c>
      <c r="C7" s="3" t="s">
        <v>2779</v>
      </c>
      <c r="D7" s="5" t="s">
        <v>2779</v>
      </c>
      <c r="E7" s="5" t="s">
        <v>2779</v>
      </c>
      <c r="F7" s="7" t="s">
        <v>2779</v>
      </c>
      <c r="G7" s="43" t="s">
        <v>2779</v>
      </c>
      <c r="H7" s="46" t="e">
        <f ca="1">AI_SET_DF(A21)</f>
        <v>#NAME?</v>
      </c>
      <c r="I7" s="46" t="e">
        <f ca="1">AI_SET_DF(A21)</f>
        <v>#NAME?</v>
      </c>
      <c r="M7" s="16">
        <v>5</v>
      </c>
      <c r="N7" s="25">
        <v>5</v>
      </c>
      <c r="O7" s="28">
        <v>5</v>
      </c>
      <c r="P7" s="31"/>
      <c r="Q7" s="3" t="s">
        <v>2779</v>
      </c>
      <c r="R7" s="3" t="s">
        <v>2779</v>
      </c>
      <c r="S7" s="5" t="s">
        <v>2779</v>
      </c>
      <c r="T7" s="5" t="s">
        <v>2779</v>
      </c>
      <c r="U7" s="7" t="s">
        <v>2779</v>
      </c>
      <c r="V7" s="7" t="s">
        <v>2779</v>
      </c>
    </row>
    <row r="8" spans="1:22" s="46" customFormat="1" ht="15" customHeight="1" x14ac:dyDescent="0.25">
      <c r="A8" s="46" t="s">
        <v>2785</v>
      </c>
      <c r="B8" s="3" t="s">
        <v>2786</v>
      </c>
      <c r="C8" s="3" t="s">
        <v>3559</v>
      </c>
      <c r="D8" s="5" t="s">
        <v>2786</v>
      </c>
      <c r="E8" s="5" t="s">
        <v>3559</v>
      </c>
      <c r="F8" s="7" t="s">
        <v>2786</v>
      </c>
      <c r="G8" s="43" t="s">
        <v>3559</v>
      </c>
      <c r="H8" s="46" t="e">
        <f ca="1">AI_SUM(Liquid_Assets!A37,Liquid_Assets!A51,'E07'!A48)</f>
        <v>#NAME?</v>
      </c>
      <c r="I8" s="46" t="e">
        <f ca="1">AI_SET(0)</f>
        <v>#NAME?</v>
      </c>
      <c r="M8" s="16">
        <v>5</v>
      </c>
      <c r="N8" s="25">
        <v>5</v>
      </c>
      <c r="O8" s="28">
        <v>5</v>
      </c>
      <c r="P8" s="31"/>
      <c r="Q8" s="3" t="s">
        <v>2786</v>
      </c>
      <c r="R8" s="3" t="s">
        <v>2786</v>
      </c>
      <c r="S8" s="5" t="s">
        <v>2786</v>
      </c>
      <c r="T8" s="5" t="s">
        <v>2786</v>
      </c>
      <c r="U8" s="7" t="s">
        <v>2786</v>
      </c>
      <c r="V8" s="7" t="s">
        <v>2786</v>
      </c>
    </row>
    <row r="9" spans="1:22" s="46" customFormat="1" ht="15" customHeight="1" x14ac:dyDescent="0.25">
      <c r="A9" s="46" t="s">
        <v>1801</v>
      </c>
      <c r="B9" s="3" t="s">
        <v>2784</v>
      </c>
      <c r="C9" s="3" t="s">
        <v>2784</v>
      </c>
      <c r="D9" s="5" t="s">
        <v>2784</v>
      </c>
      <c r="E9" s="5" t="s">
        <v>2784</v>
      </c>
      <c r="F9" s="7" t="s">
        <v>2784</v>
      </c>
      <c r="G9" s="43" t="s">
        <v>2784</v>
      </c>
      <c r="H9" s="46" t="e">
        <f ca="1">AI_SUM(A14,A22,A23,A25,A26,A27)</f>
        <v>#NAME?</v>
      </c>
      <c r="I9" s="46" t="e">
        <f ca="1">AI_SUM(A14,A22,A23,A25,A26,A27)</f>
        <v>#NAME?</v>
      </c>
      <c r="M9" s="16">
        <v>5</v>
      </c>
      <c r="N9" s="25">
        <v>5</v>
      </c>
      <c r="O9" s="28">
        <v>5</v>
      </c>
      <c r="P9" s="31"/>
      <c r="Q9" s="3" t="s">
        <v>2784</v>
      </c>
      <c r="R9" s="3" t="s">
        <v>2784</v>
      </c>
      <c r="S9" s="5" t="s">
        <v>2784</v>
      </c>
      <c r="T9" s="5" t="s">
        <v>2784</v>
      </c>
      <c r="U9" s="7" t="s">
        <v>2784</v>
      </c>
      <c r="V9" s="7" t="s">
        <v>2784</v>
      </c>
    </row>
    <row r="10" spans="1:22" s="46" customFormat="1" ht="15" customHeight="1" x14ac:dyDescent="0.25">
      <c r="A10" s="46" t="s">
        <v>856</v>
      </c>
      <c r="B10" s="3" t="s">
        <v>2787</v>
      </c>
      <c r="C10" s="3" t="s">
        <v>1585</v>
      </c>
      <c r="D10" s="25" t="s">
        <v>2836</v>
      </c>
      <c r="E10" s="5" t="s">
        <v>1907</v>
      </c>
      <c r="F10" s="299" t="s">
        <v>2873</v>
      </c>
      <c r="G10" s="43" t="s">
        <v>2044</v>
      </c>
      <c r="M10" s="16"/>
      <c r="N10" s="25"/>
      <c r="O10" s="28"/>
      <c r="P10" s="31"/>
      <c r="Q10" s="3" t="s">
        <v>173</v>
      </c>
      <c r="R10" s="16" t="s">
        <v>2787</v>
      </c>
      <c r="S10" s="5" t="s">
        <v>210</v>
      </c>
      <c r="T10" s="25" t="s">
        <v>2836</v>
      </c>
      <c r="U10" s="7" t="s">
        <v>247</v>
      </c>
      <c r="V10" s="299" t="s">
        <v>2873</v>
      </c>
    </row>
    <row r="11" spans="1:22" s="46" customFormat="1" ht="15" customHeight="1" x14ac:dyDescent="0.25">
      <c r="A11" s="46" t="s">
        <v>922</v>
      </c>
      <c r="B11" s="17" t="s">
        <v>618</v>
      </c>
      <c r="C11" s="17" t="s">
        <v>618</v>
      </c>
      <c r="D11" s="23" t="s">
        <v>618</v>
      </c>
      <c r="E11" s="23" t="s">
        <v>618</v>
      </c>
      <c r="F11" s="27" t="s">
        <v>618</v>
      </c>
      <c r="G11" s="43" t="s">
        <v>618</v>
      </c>
      <c r="H11" s="46" t="e">
        <f ca="1">AI_SUM(A12,A13)</f>
        <v>#NAME?</v>
      </c>
      <c r="I11" s="46" t="e">
        <f ca="1">AI_SUM(A12,A13)</f>
        <v>#NAME?</v>
      </c>
      <c r="M11" s="16"/>
      <c r="N11" s="25"/>
      <c r="O11" s="28"/>
      <c r="P11" s="31"/>
      <c r="Q11" s="17" t="s">
        <v>618</v>
      </c>
      <c r="R11" s="17" t="s">
        <v>618</v>
      </c>
      <c r="S11" s="23" t="s">
        <v>618</v>
      </c>
      <c r="T11" s="23" t="s">
        <v>618</v>
      </c>
      <c r="U11" s="27" t="s">
        <v>618</v>
      </c>
      <c r="V11" s="27" t="s">
        <v>618</v>
      </c>
    </row>
    <row r="12" spans="1:22" s="46" customFormat="1" ht="15" customHeight="1" x14ac:dyDescent="0.25">
      <c r="A12" s="46" t="s">
        <v>904</v>
      </c>
      <c r="B12" s="3" t="s">
        <v>2788</v>
      </c>
      <c r="C12" s="3" t="s">
        <v>1586</v>
      </c>
      <c r="D12" s="25" t="s">
        <v>2837</v>
      </c>
      <c r="E12" s="5" t="s">
        <v>1908</v>
      </c>
      <c r="F12" s="299" t="s">
        <v>2874</v>
      </c>
      <c r="G12" s="43" t="s">
        <v>2045</v>
      </c>
      <c r="M12" s="16"/>
      <c r="N12" s="25"/>
      <c r="O12" s="28"/>
      <c r="P12" s="31"/>
      <c r="Q12" s="3" t="s">
        <v>174</v>
      </c>
      <c r="R12" s="16" t="s">
        <v>2788</v>
      </c>
      <c r="S12" s="5" t="s">
        <v>211</v>
      </c>
      <c r="T12" s="25" t="s">
        <v>2837</v>
      </c>
      <c r="U12" s="7" t="s">
        <v>248</v>
      </c>
      <c r="V12" s="299" t="s">
        <v>2874</v>
      </c>
    </row>
    <row r="13" spans="1:22" s="46" customFormat="1" ht="15" customHeight="1" x14ac:dyDescent="0.25">
      <c r="A13" s="46" t="s">
        <v>905</v>
      </c>
      <c r="B13" s="3" t="s">
        <v>2789</v>
      </c>
      <c r="C13" s="3" t="s">
        <v>1587</v>
      </c>
      <c r="D13" s="25" t="s">
        <v>2838</v>
      </c>
      <c r="E13" s="5" t="s">
        <v>1909</v>
      </c>
      <c r="F13" s="299" t="s">
        <v>2875</v>
      </c>
      <c r="G13" s="43" t="s">
        <v>2046</v>
      </c>
      <c r="M13" s="16"/>
      <c r="N13" s="25"/>
      <c r="O13" s="28"/>
      <c r="P13" s="31"/>
      <c r="Q13" s="3" t="s">
        <v>175</v>
      </c>
      <c r="R13" s="16" t="s">
        <v>2789</v>
      </c>
      <c r="S13" s="5" t="s">
        <v>212</v>
      </c>
      <c r="T13" s="25" t="s">
        <v>2838</v>
      </c>
      <c r="U13" s="7" t="s">
        <v>249</v>
      </c>
      <c r="V13" s="299" t="s">
        <v>2875</v>
      </c>
    </row>
    <row r="14" spans="1:22" s="46" customFormat="1" ht="15" customHeight="1" x14ac:dyDescent="0.25">
      <c r="A14" s="46" t="s">
        <v>923</v>
      </c>
      <c r="B14" s="17" t="s">
        <v>619</v>
      </c>
      <c r="C14" s="17" t="s">
        <v>619</v>
      </c>
      <c r="D14" s="23" t="s">
        <v>619</v>
      </c>
      <c r="E14" s="23" t="s">
        <v>619</v>
      </c>
      <c r="F14" s="27" t="s">
        <v>619</v>
      </c>
      <c r="G14" s="43" t="s">
        <v>619</v>
      </c>
      <c r="H14" s="46" t="e">
        <f ca="1">AI_SUM(A15,A16)</f>
        <v>#NAME?</v>
      </c>
      <c r="I14" s="46" t="e">
        <f ca="1">AI_SUM(A15,A16)</f>
        <v>#NAME?</v>
      </c>
      <c r="M14" s="16"/>
      <c r="N14" s="25"/>
      <c r="O14" s="28"/>
      <c r="P14" s="31"/>
      <c r="Q14" s="17" t="s">
        <v>619</v>
      </c>
      <c r="R14" s="17" t="s">
        <v>619</v>
      </c>
      <c r="S14" s="23" t="s">
        <v>619</v>
      </c>
      <c r="T14" s="23" t="s">
        <v>619</v>
      </c>
      <c r="U14" s="27" t="s">
        <v>619</v>
      </c>
      <c r="V14" s="27" t="s">
        <v>619</v>
      </c>
    </row>
    <row r="15" spans="1:22" s="46" customFormat="1" ht="15" customHeight="1" x14ac:dyDescent="0.25">
      <c r="A15" s="46" t="s">
        <v>906</v>
      </c>
      <c r="B15" s="3" t="s">
        <v>2790</v>
      </c>
      <c r="C15" s="3" t="s">
        <v>1588</v>
      </c>
      <c r="D15" s="25" t="s">
        <v>2839</v>
      </c>
      <c r="E15" s="5" t="s">
        <v>1910</v>
      </c>
      <c r="F15" s="299" t="s">
        <v>2876</v>
      </c>
      <c r="G15" s="43" t="s">
        <v>2047</v>
      </c>
      <c r="M15" s="16"/>
      <c r="N15" s="25"/>
      <c r="O15" s="28"/>
      <c r="P15" s="31"/>
      <c r="Q15" s="3" t="s">
        <v>176</v>
      </c>
      <c r="R15" s="16" t="s">
        <v>2790</v>
      </c>
      <c r="S15" s="5" t="s">
        <v>213</v>
      </c>
      <c r="T15" s="25" t="s">
        <v>2839</v>
      </c>
      <c r="U15" s="7" t="s">
        <v>250</v>
      </c>
      <c r="V15" s="299" t="s">
        <v>2876</v>
      </c>
    </row>
    <row r="16" spans="1:22" s="46" customFormat="1" ht="15" customHeight="1" x14ac:dyDescent="0.25">
      <c r="A16" s="46" t="s">
        <v>907</v>
      </c>
      <c r="B16" s="3" t="s">
        <v>2791</v>
      </c>
      <c r="C16" s="3" t="s">
        <v>1589</v>
      </c>
      <c r="D16" s="25" t="s">
        <v>2840</v>
      </c>
      <c r="E16" s="5" t="s">
        <v>1911</v>
      </c>
      <c r="F16" s="299" t="s">
        <v>2877</v>
      </c>
      <c r="G16" s="43" t="s">
        <v>2048</v>
      </c>
      <c r="M16" s="16"/>
      <c r="N16" s="25"/>
      <c r="O16" s="28"/>
      <c r="P16" s="31"/>
      <c r="Q16" s="3" t="s">
        <v>177</v>
      </c>
      <c r="R16" s="16" t="s">
        <v>2791</v>
      </c>
      <c r="S16" s="5" t="s">
        <v>214</v>
      </c>
      <c r="T16" s="25" t="s">
        <v>2840</v>
      </c>
      <c r="U16" s="7" t="s">
        <v>251</v>
      </c>
      <c r="V16" s="299" t="s">
        <v>2877</v>
      </c>
    </row>
    <row r="17" spans="1:22" s="46" customFormat="1" ht="15" customHeight="1" x14ac:dyDescent="0.25">
      <c r="A17" s="46" t="s">
        <v>924</v>
      </c>
      <c r="B17" s="17" t="s">
        <v>621</v>
      </c>
      <c r="C17" s="17" t="s">
        <v>621</v>
      </c>
      <c r="D17" s="23" t="s">
        <v>621</v>
      </c>
      <c r="E17" s="23" t="s">
        <v>621</v>
      </c>
      <c r="F17" s="27" t="s">
        <v>621</v>
      </c>
      <c r="G17" s="43" t="s">
        <v>621</v>
      </c>
      <c r="H17" s="46" t="e">
        <f ca="1">AI_SUM(A18,A19,A20)</f>
        <v>#NAME?</v>
      </c>
      <c r="I17" s="46" t="e">
        <f ca="1">AI_SUM(A18,A19,A20)</f>
        <v>#NAME?</v>
      </c>
      <c r="M17" s="16"/>
      <c r="N17" s="25"/>
      <c r="O17" s="28"/>
      <c r="P17" s="31"/>
      <c r="Q17" s="17" t="s">
        <v>621</v>
      </c>
      <c r="R17" s="17" t="s">
        <v>621</v>
      </c>
      <c r="S17" s="23" t="s">
        <v>621</v>
      </c>
      <c r="T17" s="23" t="s">
        <v>621</v>
      </c>
      <c r="U17" s="27" t="s">
        <v>621</v>
      </c>
      <c r="V17" s="27" t="s">
        <v>621</v>
      </c>
    </row>
    <row r="18" spans="1:22" s="46" customFormat="1" ht="15" customHeight="1" x14ac:dyDescent="0.25">
      <c r="A18" s="46" t="s">
        <v>925</v>
      </c>
      <c r="B18" s="3" t="s">
        <v>2792</v>
      </c>
      <c r="C18" s="3" t="s">
        <v>1590</v>
      </c>
      <c r="D18" s="25" t="s">
        <v>2841</v>
      </c>
      <c r="E18" s="5" t="s">
        <v>1912</v>
      </c>
      <c r="F18" s="299" t="s">
        <v>2878</v>
      </c>
      <c r="G18" s="43" t="s">
        <v>2049</v>
      </c>
      <c r="M18" s="16"/>
      <c r="N18" s="25"/>
      <c r="O18" s="28"/>
      <c r="P18" s="31"/>
      <c r="Q18" s="3" t="s">
        <v>178</v>
      </c>
      <c r="R18" s="16" t="s">
        <v>2792</v>
      </c>
      <c r="S18" s="5" t="s">
        <v>215</v>
      </c>
      <c r="T18" s="25" t="s">
        <v>2841</v>
      </c>
      <c r="U18" s="7" t="s">
        <v>252</v>
      </c>
      <c r="V18" s="299" t="s">
        <v>2878</v>
      </c>
    </row>
    <row r="19" spans="1:22" s="46" customFormat="1" ht="15" customHeight="1" x14ac:dyDescent="0.25">
      <c r="A19" s="46" t="s">
        <v>926</v>
      </c>
      <c r="B19" s="3" t="s">
        <v>2793</v>
      </c>
      <c r="C19" s="3" t="s">
        <v>1591</v>
      </c>
      <c r="D19" s="25" t="s">
        <v>2842</v>
      </c>
      <c r="E19" s="5" t="s">
        <v>1913</v>
      </c>
      <c r="F19" s="299" t="s">
        <v>2879</v>
      </c>
      <c r="G19" s="43" t="s">
        <v>2050</v>
      </c>
      <c r="M19" s="16"/>
      <c r="N19" s="25"/>
      <c r="O19" s="28"/>
      <c r="P19" s="31"/>
      <c r="Q19" s="3" t="s">
        <v>179</v>
      </c>
      <c r="R19" s="16" t="s">
        <v>2793</v>
      </c>
      <c r="S19" s="5" t="s">
        <v>216</v>
      </c>
      <c r="T19" s="25" t="s">
        <v>2842</v>
      </c>
      <c r="U19" s="7" t="s">
        <v>253</v>
      </c>
      <c r="V19" s="299" t="s">
        <v>2879</v>
      </c>
    </row>
    <row r="20" spans="1:22" s="46" customFormat="1" ht="15" customHeight="1" x14ac:dyDescent="0.25">
      <c r="A20" s="46" t="s">
        <v>927</v>
      </c>
      <c r="B20" s="3" t="s">
        <v>2794</v>
      </c>
      <c r="C20" s="3" t="s">
        <v>1592</v>
      </c>
      <c r="D20" s="25" t="s">
        <v>2843</v>
      </c>
      <c r="E20" s="5" t="s">
        <v>1914</v>
      </c>
      <c r="F20" s="299" t="s">
        <v>2880</v>
      </c>
      <c r="G20" s="43" t="s">
        <v>2051</v>
      </c>
      <c r="M20" s="16"/>
      <c r="N20" s="25"/>
      <c r="O20" s="28"/>
      <c r="P20" s="31"/>
      <c r="Q20" s="3" t="s">
        <v>180</v>
      </c>
      <c r="R20" s="16" t="s">
        <v>2794</v>
      </c>
      <c r="S20" s="5" t="s">
        <v>217</v>
      </c>
      <c r="T20" s="25" t="s">
        <v>2843</v>
      </c>
      <c r="U20" s="7" t="s">
        <v>254</v>
      </c>
      <c r="V20" s="299" t="s">
        <v>2880</v>
      </c>
    </row>
    <row r="21" spans="1:22" s="46" customFormat="1" ht="15" customHeight="1" x14ac:dyDescent="0.25">
      <c r="A21" s="46" t="s">
        <v>896</v>
      </c>
      <c r="B21" s="3" t="s">
        <v>2795</v>
      </c>
      <c r="C21" s="3" t="s">
        <v>1593</v>
      </c>
      <c r="D21" s="25" t="s">
        <v>2844</v>
      </c>
      <c r="E21" s="5" t="s">
        <v>1915</v>
      </c>
      <c r="F21" s="299" t="s">
        <v>2881</v>
      </c>
      <c r="G21" s="43" t="s">
        <v>2052</v>
      </c>
      <c r="M21" s="16"/>
      <c r="N21" s="25"/>
      <c r="O21" s="28"/>
      <c r="P21" s="31"/>
      <c r="Q21" s="3" t="s">
        <v>181</v>
      </c>
      <c r="R21" s="16" t="s">
        <v>2795</v>
      </c>
      <c r="S21" s="5" t="s">
        <v>218</v>
      </c>
      <c r="T21" s="25" t="s">
        <v>2844</v>
      </c>
      <c r="U21" s="7" t="s">
        <v>255</v>
      </c>
      <c r="V21" s="299" t="s">
        <v>2881</v>
      </c>
    </row>
    <row r="22" spans="1:22" s="46" customFormat="1" ht="15" customHeight="1" x14ac:dyDescent="0.25">
      <c r="A22" s="46" t="s">
        <v>892</v>
      </c>
      <c r="B22" s="3" t="s">
        <v>2796</v>
      </c>
      <c r="C22" s="3" t="s">
        <v>1594</v>
      </c>
      <c r="D22" s="25" t="s">
        <v>2845</v>
      </c>
      <c r="E22" s="5" t="s">
        <v>1916</v>
      </c>
      <c r="F22" s="299" t="s">
        <v>2882</v>
      </c>
      <c r="G22" s="43" t="s">
        <v>2053</v>
      </c>
      <c r="M22" s="16"/>
      <c r="N22" s="25"/>
      <c r="O22" s="28"/>
      <c r="P22" s="31"/>
      <c r="Q22" s="3" t="s">
        <v>182</v>
      </c>
      <c r="R22" s="16" t="s">
        <v>2796</v>
      </c>
      <c r="S22" s="5" t="s">
        <v>219</v>
      </c>
      <c r="T22" s="25" t="s">
        <v>2845</v>
      </c>
      <c r="U22" s="7" t="s">
        <v>256</v>
      </c>
      <c r="V22" s="299" t="s">
        <v>2882</v>
      </c>
    </row>
    <row r="23" spans="1:22" s="46" customFormat="1" ht="15" customHeight="1" x14ac:dyDescent="0.25">
      <c r="A23" s="46" t="s">
        <v>893</v>
      </c>
      <c r="B23" s="3" t="s">
        <v>2797</v>
      </c>
      <c r="C23" s="3" t="s">
        <v>1595</v>
      </c>
      <c r="D23" s="25" t="s">
        <v>2846</v>
      </c>
      <c r="E23" s="5" t="s">
        <v>1917</v>
      </c>
      <c r="F23" s="299" t="s">
        <v>2883</v>
      </c>
      <c r="G23" s="43" t="s">
        <v>2054</v>
      </c>
      <c r="M23" s="16"/>
      <c r="N23" s="25"/>
      <c r="O23" s="28"/>
      <c r="P23" s="31"/>
      <c r="Q23" s="3" t="s">
        <v>183</v>
      </c>
      <c r="R23" s="16" t="s">
        <v>2797</v>
      </c>
      <c r="S23" s="5" t="s">
        <v>220</v>
      </c>
      <c r="T23" s="25" t="s">
        <v>2846</v>
      </c>
      <c r="U23" s="7" t="s">
        <v>257</v>
      </c>
      <c r="V23" s="299" t="s">
        <v>2883</v>
      </c>
    </row>
    <row r="24" spans="1:22" s="46" customFormat="1" ht="15" customHeight="1" x14ac:dyDescent="0.25">
      <c r="A24" s="46" t="s">
        <v>897</v>
      </c>
      <c r="B24" s="3" t="s">
        <v>2798</v>
      </c>
      <c r="C24" s="3" t="s">
        <v>1596</v>
      </c>
      <c r="D24" s="25" t="s">
        <v>2847</v>
      </c>
      <c r="E24" s="5" t="s">
        <v>1918</v>
      </c>
      <c r="F24" s="299" t="s">
        <v>2884</v>
      </c>
      <c r="G24" s="43" t="s">
        <v>2055</v>
      </c>
      <c r="M24" s="16"/>
      <c r="N24" s="25"/>
      <c r="O24" s="28"/>
      <c r="P24" s="31"/>
      <c r="Q24" s="3" t="s">
        <v>184</v>
      </c>
      <c r="R24" s="16" t="s">
        <v>2798</v>
      </c>
      <c r="S24" s="5" t="s">
        <v>221</v>
      </c>
      <c r="T24" s="25" t="s">
        <v>2847</v>
      </c>
      <c r="U24" s="7" t="s">
        <v>258</v>
      </c>
      <c r="V24" s="299" t="s">
        <v>2884</v>
      </c>
    </row>
    <row r="25" spans="1:22" s="46" customFormat="1" ht="15" customHeight="1" x14ac:dyDescent="0.25">
      <c r="A25" s="46" t="s">
        <v>894</v>
      </c>
      <c r="B25" s="3" t="s">
        <v>2799</v>
      </c>
      <c r="C25" s="3" t="s">
        <v>1597</v>
      </c>
      <c r="D25" s="25" t="s">
        <v>2848</v>
      </c>
      <c r="E25" s="5" t="s">
        <v>1919</v>
      </c>
      <c r="F25" s="299" t="s">
        <v>2885</v>
      </c>
      <c r="G25" s="43" t="s">
        <v>2056</v>
      </c>
      <c r="M25" s="16"/>
      <c r="N25" s="25"/>
      <c r="O25" s="28"/>
      <c r="P25" s="31"/>
      <c r="Q25" s="3" t="s">
        <v>185</v>
      </c>
      <c r="R25" s="16" t="s">
        <v>2799</v>
      </c>
      <c r="S25" s="5" t="s">
        <v>222</v>
      </c>
      <c r="T25" s="25" t="s">
        <v>2848</v>
      </c>
      <c r="U25" s="7" t="s">
        <v>259</v>
      </c>
      <c r="V25" s="299" t="s">
        <v>2885</v>
      </c>
    </row>
    <row r="26" spans="1:22" s="46" customFormat="1" ht="15" customHeight="1" x14ac:dyDescent="0.25">
      <c r="A26" s="46" t="s">
        <v>928</v>
      </c>
      <c r="B26" s="3" t="s">
        <v>2800</v>
      </c>
      <c r="C26" s="3" t="s">
        <v>1598</v>
      </c>
      <c r="D26" s="25" t="s">
        <v>2849</v>
      </c>
      <c r="E26" s="5" t="s">
        <v>1920</v>
      </c>
      <c r="F26" s="299" t="s">
        <v>2886</v>
      </c>
      <c r="G26" s="43" t="s">
        <v>2057</v>
      </c>
      <c r="M26" s="16"/>
      <c r="N26" s="25"/>
      <c r="O26" s="28"/>
      <c r="P26" s="31"/>
      <c r="Q26" s="3" t="s">
        <v>186</v>
      </c>
      <c r="R26" s="16" t="s">
        <v>2800</v>
      </c>
      <c r="S26" s="5" t="s">
        <v>223</v>
      </c>
      <c r="T26" s="25" t="s">
        <v>2849</v>
      </c>
      <c r="U26" s="7" t="s">
        <v>260</v>
      </c>
      <c r="V26" s="299" t="s">
        <v>2886</v>
      </c>
    </row>
    <row r="27" spans="1:22" s="46" customFormat="1" ht="15" customHeight="1" x14ac:dyDescent="0.25">
      <c r="A27" s="46" t="s">
        <v>908</v>
      </c>
      <c r="B27" s="3" t="s">
        <v>2801</v>
      </c>
      <c r="C27" s="3" t="s">
        <v>1599</v>
      </c>
      <c r="D27" s="25" t="s">
        <v>2850</v>
      </c>
      <c r="E27" s="5" t="s">
        <v>1921</v>
      </c>
      <c r="F27" s="299" t="s">
        <v>2887</v>
      </c>
      <c r="G27" s="43" t="s">
        <v>2058</v>
      </c>
      <c r="M27" s="16"/>
      <c r="N27" s="25"/>
      <c r="O27" s="28"/>
      <c r="P27" s="31"/>
      <c r="Q27" s="3" t="s">
        <v>187</v>
      </c>
      <c r="R27" s="16" t="s">
        <v>2801</v>
      </c>
      <c r="S27" s="5" t="s">
        <v>224</v>
      </c>
      <c r="T27" s="25" t="s">
        <v>2850</v>
      </c>
      <c r="U27" s="7" t="s">
        <v>261</v>
      </c>
      <c r="V27" s="299" t="s">
        <v>2887</v>
      </c>
    </row>
    <row r="28" spans="1:22" s="46" customFormat="1" ht="15" customHeight="1" x14ac:dyDescent="0.25">
      <c r="A28" s="46" t="s">
        <v>1906</v>
      </c>
      <c r="B28" s="3" t="s">
        <v>2802</v>
      </c>
      <c r="C28" s="3" t="s">
        <v>1600</v>
      </c>
      <c r="D28" s="52" t="s">
        <v>2851</v>
      </c>
      <c r="E28" s="5" t="s">
        <v>1922</v>
      </c>
      <c r="F28" s="299" t="s">
        <v>2888</v>
      </c>
      <c r="G28" s="440" t="s">
        <v>2059</v>
      </c>
      <c r="M28" s="16">
        <v>5</v>
      </c>
      <c r="N28" s="25">
        <v>5</v>
      </c>
      <c r="O28" s="28">
        <v>5</v>
      </c>
      <c r="P28" s="31"/>
      <c r="Q28" s="3" t="s">
        <v>188</v>
      </c>
      <c r="R28" s="50" t="s">
        <v>2802</v>
      </c>
      <c r="S28" s="5" t="s">
        <v>225</v>
      </c>
      <c r="T28" s="70" t="s">
        <v>2851</v>
      </c>
      <c r="U28" s="7" t="s">
        <v>262</v>
      </c>
      <c r="V28" s="299" t="s">
        <v>2888</v>
      </c>
    </row>
    <row r="29" spans="1:22" s="48" customFormat="1" ht="15" customHeight="1" x14ac:dyDescent="0.25">
      <c r="A29" s="48" t="s">
        <v>1345</v>
      </c>
      <c r="B29" s="51" t="s">
        <v>622</v>
      </c>
      <c r="C29" s="51" t="s">
        <v>622</v>
      </c>
      <c r="D29" s="52" t="s">
        <v>622</v>
      </c>
      <c r="E29" s="52" t="s">
        <v>622</v>
      </c>
      <c r="F29" s="53" t="s">
        <v>622</v>
      </c>
      <c r="G29" s="43" t="s">
        <v>622</v>
      </c>
      <c r="H29" s="48" t="e">
        <f ca="1">AI_DIV(A10,A28)</f>
        <v>#NAME?</v>
      </c>
      <c r="I29" s="48" t="e">
        <f ca="1">AI_DIV(A10,A28)</f>
        <v>#NAME?</v>
      </c>
      <c r="M29" s="16"/>
      <c r="N29" s="25"/>
      <c r="O29" s="28"/>
      <c r="P29" s="79"/>
      <c r="Q29" s="51" t="s">
        <v>622</v>
      </c>
      <c r="R29" s="51" t="s">
        <v>622</v>
      </c>
      <c r="S29" s="52" t="s">
        <v>622</v>
      </c>
      <c r="T29" s="52" t="s">
        <v>622</v>
      </c>
      <c r="U29" s="53" t="s">
        <v>622</v>
      </c>
      <c r="V29" s="53" t="s">
        <v>622</v>
      </c>
    </row>
    <row r="30" spans="1:22" s="46" customFormat="1" ht="15" customHeight="1" x14ac:dyDescent="0.25">
      <c r="A30" s="48" t="s">
        <v>1344</v>
      </c>
      <c r="B30" s="3" t="s">
        <v>1346</v>
      </c>
      <c r="C30" s="3" t="s">
        <v>1346</v>
      </c>
      <c r="D30" s="5" t="s">
        <v>1346</v>
      </c>
      <c r="E30" s="5" t="s">
        <v>1346</v>
      </c>
      <c r="F30" s="7" t="s">
        <v>1346</v>
      </c>
      <c r="G30" s="43" t="s">
        <v>1346</v>
      </c>
      <c r="H30" s="46" t="e">
        <f ca="1">AI_DIV(A11,A28)</f>
        <v>#NAME?</v>
      </c>
      <c r="I30" s="46" t="e">
        <f ca="1">AI_DIV(A11,A28)</f>
        <v>#NAME?</v>
      </c>
      <c r="M30" s="16"/>
      <c r="N30" s="25"/>
      <c r="O30" s="28"/>
      <c r="P30" s="31"/>
      <c r="Q30" s="3" t="s">
        <v>1346</v>
      </c>
      <c r="R30" s="3" t="s">
        <v>1346</v>
      </c>
      <c r="S30" s="5" t="s">
        <v>1346</v>
      </c>
      <c r="T30" s="5" t="s">
        <v>1346</v>
      </c>
      <c r="U30" s="7" t="s">
        <v>1346</v>
      </c>
      <c r="V30" s="7" t="s">
        <v>1346</v>
      </c>
    </row>
    <row r="31" spans="1:22" s="46" customFormat="1" ht="15" customHeight="1" x14ac:dyDescent="0.25">
      <c r="A31" s="48" t="s">
        <v>1347</v>
      </c>
      <c r="B31" s="3" t="s">
        <v>1350</v>
      </c>
      <c r="C31" s="3" t="s">
        <v>1350</v>
      </c>
      <c r="D31" s="5" t="s">
        <v>1350</v>
      </c>
      <c r="E31" s="5" t="s">
        <v>1350</v>
      </c>
      <c r="F31" s="7" t="s">
        <v>1350</v>
      </c>
      <c r="G31" s="43" t="s">
        <v>1350</v>
      </c>
      <c r="H31" s="46" t="e">
        <f ca="1">AI_DIV(A14,A28)</f>
        <v>#NAME?</v>
      </c>
      <c r="I31" s="46" t="e">
        <f ca="1">AI_DIV(A14,A28)</f>
        <v>#NAME?</v>
      </c>
      <c r="M31" s="16"/>
      <c r="N31" s="25"/>
      <c r="O31" s="28"/>
      <c r="P31" s="31"/>
      <c r="Q31" s="3" t="s">
        <v>1350</v>
      </c>
      <c r="R31" s="3" t="s">
        <v>1350</v>
      </c>
      <c r="S31" s="5" t="s">
        <v>1350</v>
      </c>
      <c r="T31" s="5" t="s">
        <v>1350</v>
      </c>
      <c r="U31" s="7" t="s">
        <v>1350</v>
      </c>
      <c r="V31" s="7" t="s">
        <v>1350</v>
      </c>
    </row>
    <row r="32" spans="1:22" s="46" customFormat="1" ht="15" customHeight="1" x14ac:dyDescent="0.25">
      <c r="A32" s="48" t="s">
        <v>1348</v>
      </c>
      <c r="B32" s="3" t="s">
        <v>1351</v>
      </c>
      <c r="C32" s="3" t="s">
        <v>1351</v>
      </c>
      <c r="D32" s="5" t="s">
        <v>1351</v>
      </c>
      <c r="E32" s="5" t="s">
        <v>1351</v>
      </c>
      <c r="F32" s="7" t="s">
        <v>1351</v>
      </c>
      <c r="G32" s="43" t="s">
        <v>1351</v>
      </c>
      <c r="H32" s="46" t="e">
        <f ca="1">AI_DIV(A17,A28)</f>
        <v>#NAME?</v>
      </c>
      <c r="I32" s="46" t="e">
        <f ca="1">AI_DIV(A17,A28)</f>
        <v>#NAME?</v>
      </c>
      <c r="M32" s="16"/>
      <c r="N32" s="25"/>
      <c r="O32" s="28"/>
      <c r="P32" s="31"/>
      <c r="Q32" s="3" t="s">
        <v>1351</v>
      </c>
      <c r="R32" s="3" t="s">
        <v>1351</v>
      </c>
      <c r="S32" s="5" t="s">
        <v>1351</v>
      </c>
      <c r="T32" s="5" t="s">
        <v>1351</v>
      </c>
      <c r="U32" s="7" t="s">
        <v>1351</v>
      </c>
      <c r="V32" s="7" t="s">
        <v>1351</v>
      </c>
    </row>
    <row r="33" spans="1:22" s="46" customFormat="1" ht="15" customHeight="1" x14ac:dyDescent="0.25">
      <c r="A33" s="46" t="s">
        <v>1349</v>
      </c>
      <c r="B33" s="3" t="s">
        <v>1352</v>
      </c>
      <c r="C33" s="3" t="s">
        <v>1352</v>
      </c>
      <c r="D33" s="5" t="s">
        <v>1352</v>
      </c>
      <c r="E33" s="5" t="s">
        <v>1352</v>
      </c>
      <c r="F33" s="7" t="s">
        <v>1352</v>
      </c>
      <c r="G33" s="43" t="s">
        <v>1352</v>
      </c>
      <c r="H33" s="46" t="e">
        <f ca="1">AI_DIV(A21,A28)</f>
        <v>#NAME?</v>
      </c>
      <c r="I33" s="46" t="e">
        <f ca="1">AI_DIV(A21,A28)</f>
        <v>#NAME?</v>
      </c>
      <c r="M33" s="16"/>
      <c r="N33" s="25"/>
      <c r="O33" s="28"/>
      <c r="P33" s="31"/>
      <c r="Q33" s="3" t="s">
        <v>1352</v>
      </c>
      <c r="R33" s="3" t="s">
        <v>1352</v>
      </c>
      <c r="S33" s="5" t="s">
        <v>1352</v>
      </c>
      <c r="T33" s="5" t="s">
        <v>1352</v>
      </c>
      <c r="U33" s="7" t="s">
        <v>1352</v>
      </c>
      <c r="V33" s="7" t="s">
        <v>1352</v>
      </c>
    </row>
    <row r="34" spans="1:22" s="46" customFormat="1" ht="15" customHeight="1" x14ac:dyDescent="0.25">
      <c r="A34" s="46" t="s">
        <v>1359</v>
      </c>
      <c r="B34" s="3" t="s">
        <v>1353</v>
      </c>
      <c r="C34" s="3" t="s">
        <v>1353</v>
      </c>
      <c r="D34" s="5" t="s">
        <v>1353</v>
      </c>
      <c r="E34" s="5" t="s">
        <v>1353</v>
      </c>
      <c r="F34" s="7" t="s">
        <v>1353</v>
      </c>
      <c r="G34" s="43" t="s">
        <v>1353</v>
      </c>
      <c r="H34" s="46" t="e">
        <f ca="1">AI_DIV(A22,A28)</f>
        <v>#NAME?</v>
      </c>
      <c r="I34" s="46" t="e">
        <f ca="1">AI_DIV(A22,A28)</f>
        <v>#NAME?</v>
      </c>
      <c r="M34" s="16"/>
      <c r="N34" s="25"/>
      <c r="O34" s="28"/>
      <c r="P34" s="31"/>
      <c r="Q34" s="3" t="s">
        <v>1353</v>
      </c>
      <c r="R34" s="3" t="s">
        <v>1353</v>
      </c>
      <c r="S34" s="5" t="s">
        <v>1353</v>
      </c>
      <c r="T34" s="5" t="s">
        <v>1353</v>
      </c>
      <c r="U34" s="7" t="s">
        <v>1353</v>
      </c>
      <c r="V34" s="7" t="s">
        <v>1353</v>
      </c>
    </row>
    <row r="35" spans="1:22" s="46" customFormat="1" ht="15" customHeight="1" x14ac:dyDescent="0.25">
      <c r="A35" s="46" t="s">
        <v>1360</v>
      </c>
      <c r="B35" s="3" t="s">
        <v>1354</v>
      </c>
      <c r="C35" s="3" t="s">
        <v>1354</v>
      </c>
      <c r="D35" s="5" t="s">
        <v>1354</v>
      </c>
      <c r="E35" s="5" t="s">
        <v>1354</v>
      </c>
      <c r="F35" s="7" t="s">
        <v>1354</v>
      </c>
      <c r="G35" s="43" t="s">
        <v>1354</v>
      </c>
      <c r="H35" s="46" t="e">
        <f ca="1">AI_DIV(A23,A28)</f>
        <v>#NAME?</v>
      </c>
      <c r="I35" s="46" t="e">
        <f ca="1">AI_DIV(A23,A28)</f>
        <v>#NAME?</v>
      </c>
      <c r="M35" s="16"/>
      <c r="N35" s="25"/>
      <c r="O35" s="28"/>
      <c r="P35" s="31"/>
      <c r="Q35" s="3" t="s">
        <v>1354</v>
      </c>
      <c r="R35" s="3" t="s">
        <v>1354</v>
      </c>
      <c r="S35" s="5" t="s">
        <v>1354</v>
      </c>
      <c r="T35" s="5" t="s">
        <v>1354</v>
      </c>
      <c r="U35" s="7" t="s">
        <v>1354</v>
      </c>
      <c r="V35" s="7" t="s">
        <v>1354</v>
      </c>
    </row>
    <row r="36" spans="1:22" s="46" customFormat="1" ht="15" customHeight="1" x14ac:dyDescent="0.25">
      <c r="A36" s="46" t="s">
        <v>1361</v>
      </c>
      <c r="B36" s="3" t="s">
        <v>1355</v>
      </c>
      <c r="C36" s="3" t="s">
        <v>1355</v>
      </c>
      <c r="D36" s="5" t="s">
        <v>1355</v>
      </c>
      <c r="E36" s="5" t="s">
        <v>1355</v>
      </c>
      <c r="F36" s="7" t="s">
        <v>1355</v>
      </c>
      <c r="G36" s="43" t="s">
        <v>1355</v>
      </c>
      <c r="H36" s="46" t="e">
        <f ca="1">AI_DIV(A24,A28)</f>
        <v>#NAME?</v>
      </c>
      <c r="I36" s="46" t="e">
        <f ca="1">AI_DIV(A24,A28)</f>
        <v>#NAME?</v>
      </c>
      <c r="M36" s="16"/>
      <c r="N36" s="25"/>
      <c r="O36" s="28"/>
      <c r="P36" s="31"/>
      <c r="Q36" s="3" t="s">
        <v>1355</v>
      </c>
      <c r="R36" s="3" t="s">
        <v>1355</v>
      </c>
      <c r="S36" s="5" t="s">
        <v>1355</v>
      </c>
      <c r="T36" s="5" t="s">
        <v>1355</v>
      </c>
      <c r="U36" s="7" t="s">
        <v>1355</v>
      </c>
      <c r="V36" s="7" t="s">
        <v>1355</v>
      </c>
    </row>
    <row r="37" spans="1:22" s="46" customFormat="1" ht="15" customHeight="1" x14ac:dyDescent="0.25">
      <c r="A37" s="46" t="s">
        <v>1362</v>
      </c>
      <c r="B37" s="3" t="s">
        <v>1356</v>
      </c>
      <c r="C37" s="3" t="s">
        <v>1356</v>
      </c>
      <c r="D37" s="5" t="s">
        <v>1356</v>
      </c>
      <c r="E37" s="5" t="s">
        <v>1356</v>
      </c>
      <c r="F37" s="7" t="s">
        <v>1356</v>
      </c>
      <c r="G37" s="43" t="s">
        <v>1356</v>
      </c>
      <c r="H37" s="46" t="e">
        <f ca="1">AI_DIV(A25,A28)</f>
        <v>#NAME?</v>
      </c>
      <c r="I37" s="46" t="e">
        <f ca="1">AI_DIV(A25,A28)</f>
        <v>#NAME?</v>
      </c>
      <c r="M37" s="16"/>
      <c r="N37" s="25"/>
      <c r="O37" s="28"/>
      <c r="P37" s="31"/>
      <c r="Q37" s="3" t="s">
        <v>1356</v>
      </c>
      <c r="R37" s="3" t="s">
        <v>1356</v>
      </c>
      <c r="S37" s="5" t="s">
        <v>1356</v>
      </c>
      <c r="T37" s="5" t="s">
        <v>1356</v>
      </c>
      <c r="U37" s="7" t="s">
        <v>1356</v>
      </c>
      <c r="V37" s="7" t="s">
        <v>1356</v>
      </c>
    </row>
    <row r="38" spans="1:22" s="46" customFormat="1" ht="15" customHeight="1" x14ac:dyDescent="0.25">
      <c r="A38" s="46" t="s">
        <v>1363</v>
      </c>
      <c r="B38" s="3" t="s">
        <v>1357</v>
      </c>
      <c r="C38" s="3" t="s">
        <v>1357</v>
      </c>
      <c r="D38" s="5" t="s">
        <v>1357</v>
      </c>
      <c r="E38" s="5" t="s">
        <v>1357</v>
      </c>
      <c r="F38" s="7" t="s">
        <v>1357</v>
      </c>
      <c r="G38" s="43" t="s">
        <v>1357</v>
      </c>
      <c r="H38" s="46" t="e">
        <f ca="1">AI_DIV(A26,A28)</f>
        <v>#NAME?</v>
      </c>
      <c r="I38" s="46" t="e">
        <f ca="1">AI_DIV(A26,A28)</f>
        <v>#NAME?</v>
      </c>
      <c r="M38" s="16"/>
      <c r="N38" s="25"/>
      <c r="O38" s="28"/>
      <c r="P38" s="31"/>
      <c r="Q38" s="3" t="s">
        <v>1357</v>
      </c>
      <c r="R38" s="3" t="s">
        <v>1357</v>
      </c>
      <c r="S38" s="5" t="s">
        <v>1357</v>
      </c>
      <c r="T38" s="5" t="s">
        <v>1357</v>
      </c>
      <c r="U38" s="7" t="s">
        <v>1357</v>
      </c>
      <c r="V38" s="7" t="s">
        <v>1357</v>
      </c>
    </row>
    <row r="39" spans="1:22" s="46" customFormat="1" ht="15" customHeight="1" x14ac:dyDescent="0.25">
      <c r="A39" s="46" t="s">
        <v>1364</v>
      </c>
      <c r="B39" s="3" t="s">
        <v>1358</v>
      </c>
      <c r="C39" s="3" t="s">
        <v>1358</v>
      </c>
      <c r="D39" s="5" t="s">
        <v>1358</v>
      </c>
      <c r="E39" s="5" t="s">
        <v>1358</v>
      </c>
      <c r="F39" s="7" t="s">
        <v>1358</v>
      </c>
      <c r="G39" s="43" t="s">
        <v>1358</v>
      </c>
      <c r="H39" s="46" t="e">
        <f ca="1">AI_DIV(A27,A28)</f>
        <v>#NAME?</v>
      </c>
      <c r="I39" s="46" t="e">
        <f ca="1">AI_DIV(A27,A28)</f>
        <v>#NAME?</v>
      </c>
      <c r="M39" s="16"/>
      <c r="N39" s="25"/>
      <c r="O39" s="28"/>
      <c r="P39" s="31"/>
      <c r="Q39" s="3" t="s">
        <v>1358</v>
      </c>
      <c r="R39" s="3" t="s">
        <v>1358</v>
      </c>
      <c r="S39" s="5" t="s">
        <v>1358</v>
      </c>
      <c r="T39" s="5" t="s">
        <v>1358</v>
      </c>
      <c r="U39" s="7" t="s">
        <v>1358</v>
      </c>
      <c r="V39" s="7" t="s">
        <v>1358</v>
      </c>
    </row>
    <row r="40" spans="1:22" s="46" customFormat="1" ht="15" customHeight="1" x14ac:dyDescent="0.25">
      <c r="A40" s="46" t="s">
        <v>1365</v>
      </c>
      <c r="B40" s="3" t="s">
        <v>1366</v>
      </c>
      <c r="C40" s="3" t="s">
        <v>1366</v>
      </c>
      <c r="D40" s="5" t="s">
        <v>1366</v>
      </c>
      <c r="E40" s="5" t="s">
        <v>1366</v>
      </c>
      <c r="F40" s="7" t="s">
        <v>1366</v>
      </c>
      <c r="G40" s="43" t="s">
        <v>1366</v>
      </c>
      <c r="H40" s="46" t="e">
        <f ca="1">AI_SUM(A29,A30,A31,A32,A33,A34,A35,A36,A37,A38,A39)</f>
        <v>#NAME?</v>
      </c>
      <c r="I40" s="46" t="e">
        <f ca="1">AI_SUM(A29,A30,A31,A32,A33,A34,A35,A36,A37,A38,A39)</f>
        <v>#NAME?</v>
      </c>
      <c r="M40" s="16"/>
      <c r="N40" s="25"/>
      <c r="O40" s="28"/>
      <c r="P40" s="31"/>
      <c r="Q40" s="3" t="s">
        <v>1366</v>
      </c>
      <c r="R40" s="3" t="s">
        <v>1366</v>
      </c>
      <c r="S40" s="5" t="s">
        <v>1366</v>
      </c>
      <c r="T40" s="5" t="s">
        <v>1366</v>
      </c>
      <c r="U40" s="7" t="s">
        <v>1366</v>
      </c>
      <c r="V40" s="7" t="s">
        <v>1366</v>
      </c>
    </row>
    <row r="41" spans="1:22" s="46" customFormat="1" ht="15" customHeight="1" x14ac:dyDescent="0.25">
      <c r="A41" s="46" t="s">
        <v>929</v>
      </c>
      <c r="B41" s="3" t="s">
        <v>2803</v>
      </c>
      <c r="C41" s="51" t="s">
        <v>1601</v>
      </c>
      <c r="D41" s="25" t="s">
        <v>2852</v>
      </c>
      <c r="E41" s="52" t="s">
        <v>1923</v>
      </c>
      <c r="F41" s="299" t="s">
        <v>2889</v>
      </c>
      <c r="G41" s="43" t="s">
        <v>2060</v>
      </c>
      <c r="M41" s="16"/>
      <c r="N41" s="25"/>
      <c r="O41" s="28"/>
      <c r="P41" s="31"/>
      <c r="Q41" s="3" t="s">
        <v>189</v>
      </c>
      <c r="R41" s="16" t="s">
        <v>2803</v>
      </c>
      <c r="S41" s="5" t="s">
        <v>226</v>
      </c>
      <c r="T41" s="25" t="s">
        <v>2852</v>
      </c>
      <c r="U41" s="7" t="s">
        <v>263</v>
      </c>
      <c r="V41" s="299" t="s">
        <v>2889</v>
      </c>
    </row>
    <row r="42" spans="1:22" s="46" customFormat="1" ht="15" customHeight="1" x14ac:dyDescent="0.25">
      <c r="A42" s="46" t="s">
        <v>909</v>
      </c>
      <c r="B42" s="3" t="s">
        <v>2804</v>
      </c>
      <c r="C42" s="3" t="s">
        <v>1602</v>
      </c>
      <c r="D42" s="25" t="s">
        <v>2853</v>
      </c>
      <c r="E42" s="5" t="s">
        <v>1924</v>
      </c>
      <c r="F42" s="299" t="s">
        <v>2890</v>
      </c>
      <c r="G42" s="43" t="s">
        <v>2061</v>
      </c>
      <c r="M42" s="16"/>
      <c r="N42" s="25"/>
      <c r="O42" s="28"/>
      <c r="P42" s="31"/>
      <c r="Q42" s="3" t="s">
        <v>190</v>
      </c>
      <c r="R42" s="16" t="s">
        <v>2804</v>
      </c>
      <c r="S42" s="5" t="s">
        <v>227</v>
      </c>
      <c r="T42" s="25" t="s">
        <v>2853</v>
      </c>
      <c r="U42" s="7" t="s">
        <v>264</v>
      </c>
      <c r="V42" s="299" t="s">
        <v>2890</v>
      </c>
    </row>
    <row r="43" spans="1:22" s="46" customFormat="1" ht="15" customHeight="1" x14ac:dyDescent="0.25">
      <c r="A43" s="46" t="s">
        <v>910</v>
      </c>
      <c r="B43" s="17"/>
      <c r="C43" s="3"/>
      <c r="D43" s="25"/>
      <c r="E43" s="5"/>
      <c r="F43" s="398"/>
      <c r="G43" s="43"/>
      <c r="M43" s="16"/>
      <c r="N43" s="25"/>
      <c r="O43" s="28"/>
      <c r="P43" s="31"/>
      <c r="Q43" s="17"/>
      <c r="R43" s="16"/>
      <c r="S43" s="23"/>
      <c r="T43" s="25"/>
      <c r="U43" s="27"/>
      <c r="V43" s="398"/>
    </row>
    <row r="44" spans="1:22" s="46" customFormat="1" ht="15" customHeight="1" x14ac:dyDescent="0.25">
      <c r="A44" s="46" t="s">
        <v>931</v>
      </c>
      <c r="B44" s="3" t="s">
        <v>2805</v>
      </c>
      <c r="C44" s="3" t="s">
        <v>1603</v>
      </c>
      <c r="D44" s="25" t="s">
        <v>2854</v>
      </c>
      <c r="E44" s="5" t="s">
        <v>1925</v>
      </c>
      <c r="F44" s="299" t="s">
        <v>2891</v>
      </c>
      <c r="G44" s="43" t="s">
        <v>2062</v>
      </c>
      <c r="M44" s="16"/>
      <c r="N44" s="25"/>
      <c r="O44" s="28"/>
      <c r="P44" s="31"/>
      <c r="Q44" s="3" t="s">
        <v>191</v>
      </c>
      <c r="R44" s="16" t="s">
        <v>2805</v>
      </c>
      <c r="S44" s="5" t="s">
        <v>228</v>
      </c>
      <c r="T44" s="25" t="s">
        <v>2854</v>
      </c>
      <c r="U44" s="7" t="s">
        <v>265</v>
      </c>
      <c r="V44" s="299" t="s">
        <v>2891</v>
      </c>
    </row>
    <row r="45" spans="1:22" s="46" customFormat="1" ht="15" customHeight="1" x14ac:dyDescent="0.25">
      <c r="A45" s="46" t="s">
        <v>932</v>
      </c>
      <c r="B45" s="17"/>
      <c r="C45" s="3"/>
      <c r="D45" s="25"/>
      <c r="E45" s="5"/>
      <c r="F45" s="398"/>
      <c r="G45" s="43"/>
      <c r="M45" s="16"/>
      <c r="N45" s="25"/>
      <c r="O45" s="28"/>
      <c r="P45" s="31"/>
      <c r="Q45" s="17"/>
      <c r="R45" s="16"/>
      <c r="S45" s="23"/>
      <c r="T45" s="25"/>
      <c r="U45" s="27"/>
      <c r="V45" s="398"/>
    </row>
    <row r="46" spans="1:22" s="46" customFormat="1" ht="15" customHeight="1" x14ac:dyDescent="0.25">
      <c r="A46" s="46" t="s">
        <v>933</v>
      </c>
      <c r="B46" s="3" t="s">
        <v>2806</v>
      </c>
      <c r="C46" s="3" t="s">
        <v>1604</v>
      </c>
      <c r="D46" s="25" t="s">
        <v>2855</v>
      </c>
      <c r="E46" s="5" t="s">
        <v>1926</v>
      </c>
      <c r="F46" s="299" t="s">
        <v>2892</v>
      </c>
      <c r="G46" s="43" t="s">
        <v>2063</v>
      </c>
      <c r="M46" s="16"/>
      <c r="N46" s="25"/>
      <c r="O46" s="28"/>
      <c r="P46" s="31"/>
      <c r="Q46" s="3" t="s">
        <v>192</v>
      </c>
      <c r="R46" s="16" t="s">
        <v>2806</v>
      </c>
      <c r="S46" s="5" t="s">
        <v>229</v>
      </c>
      <c r="T46" s="25" t="s">
        <v>2855</v>
      </c>
      <c r="U46" s="7" t="s">
        <v>266</v>
      </c>
      <c r="V46" s="299" t="s">
        <v>2892</v>
      </c>
    </row>
    <row r="47" spans="1:22" s="46" customFormat="1" ht="15" customHeight="1" x14ac:dyDescent="0.25">
      <c r="A47" s="46" t="s">
        <v>934</v>
      </c>
      <c r="B47" s="3"/>
      <c r="C47" s="3"/>
      <c r="D47" s="25"/>
      <c r="E47" s="5"/>
      <c r="F47" s="299"/>
      <c r="G47" s="43"/>
      <c r="M47" s="16"/>
      <c r="N47" s="25"/>
      <c r="O47" s="28"/>
      <c r="P47" s="31"/>
      <c r="Q47" s="3"/>
      <c r="R47" s="16"/>
      <c r="S47" s="5"/>
      <c r="T47" s="25"/>
      <c r="U47" s="7"/>
      <c r="V47" s="299"/>
    </row>
    <row r="48" spans="1:22" s="46" customFormat="1" ht="15" customHeight="1" x14ac:dyDescent="0.25">
      <c r="A48" s="46" t="s">
        <v>930</v>
      </c>
      <c r="B48" s="3" t="s">
        <v>2807</v>
      </c>
      <c r="C48" s="3" t="s">
        <v>1605</v>
      </c>
      <c r="D48" s="25" t="s">
        <v>2856</v>
      </c>
      <c r="E48" s="5" t="s">
        <v>1927</v>
      </c>
      <c r="F48" s="299" t="s">
        <v>2893</v>
      </c>
      <c r="G48" s="43" t="s">
        <v>2064</v>
      </c>
      <c r="M48" s="16"/>
      <c r="N48" s="25"/>
      <c r="O48" s="28"/>
      <c r="P48" s="31"/>
      <c r="Q48" s="3" t="s">
        <v>193</v>
      </c>
      <c r="R48" s="16" t="s">
        <v>2807</v>
      </c>
      <c r="S48" s="5" t="s">
        <v>230</v>
      </c>
      <c r="T48" s="25" t="s">
        <v>2856</v>
      </c>
      <c r="U48" s="7" t="s">
        <v>267</v>
      </c>
      <c r="V48" s="299" t="s">
        <v>2893</v>
      </c>
    </row>
    <row r="49" spans="1:22" s="46" customFormat="1" ht="15" customHeight="1" x14ac:dyDescent="0.25">
      <c r="A49" s="46" t="s">
        <v>911</v>
      </c>
      <c r="B49" s="17"/>
      <c r="C49" s="3"/>
      <c r="D49" s="25"/>
      <c r="E49" s="5"/>
      <c r="F49" s="398"/>
      <c r="G49" s="43"/>
      <c r="M49" s="16"/>
      <c r="N49" s="25"/>
      <c r="O49" s="28"/>
      <c r="P49" s="31"/>
      <c r="Q49" s="17"/>
      <c r="R49" s="16"/>
      <c r="S49" s="23"/>
      <c r="T49" s="25"/>
      <c r="U49" s="27"/>
      <c r="V49" s="398"/>
    </row>
    <row r="50" spans="1:22" s="46" customFormat="1" ht="15" customHeight="1" x14ac:dyDescent="0.25">
      <c r="A50" s="46" t="s">
        <v>912</v>
      </c>
      <c r="B50" s="3" t="s">
        <v>2808</v>
      </c>
      <c r="C50" s="3" t="s">
        <v>1606</v>
      </c>
      <c r="D50" s="25" t="s">
        <v>2857</v>
      </c>
      <c r="E50" s="5" t="s">
        <v>1928</v>
      </c>
      <c r="F50" s="299" t="s">
        <v>2894</v>
      </c>
      <c r="G50" s="43" t="s">
        <v>2065</v>
      </c>
      <c r="M50" s="16"/>
      <c r="N50" s="25"/>
      <c r="O50" s="28"/>
      <c r="P50" s="31"/>
      <c r="Q50" s="3" t="s">
        <v>194</v>
      </c>
      <c r="R50" s="16" t="s">
        <v>2808</v>
      </c>
      <c r="S50" s="5" t="s">
        <v>231</v>
      </c>
      <c r="T50" s="25" t="s">
        <v>2857</v>
      </c>
      <c r="U50" s="7" t="s">
        <v>268</v>
      </c>
      <c r="V50" s="299" t="s">
        <v>2894</v>
      </c>
    </row>
    <row r="51" spans="1:22" s="46" customFormat="1" ht="15" customHeight="1" x14ac:dyDescent="0.25">
      <c r="A51" s="46" t="s">
        <v>935</v>
      </c>
      <c r="B51" s="3" t="s">
        <v>2809</v>
      </c>
      <c r="C51" s="3" t="s">
        <v>1607</v>
      </c>
      <c r="D51" s="25" t="s">
        <v>2858</v>
      </c>
      <c r="E51" s="5" t="s">
        <v>1929</v>
      </c>
      <c r="F51" s="299" t="s">
        <v>2895</v>
      </c>
      <c r="G51" s="43" t="s">
        <v>2066</v>
      </c>
      <c r="M51" s="16"/>
      <c r="N51" s="25"/>
      <c r="O51" s="28"/>
      <c r="P51" s="31"/>
      <c r="Q51" s="3" t="s">
        <v>195</v>
      </c>
      <c r="R51" s="16" t="s">
        <v>2809</v>
      </c>
      <c r="S51" s="5" t="s">
        <v>232</v>
      </c>
      <c r="T51" s="25" t="s">
        <v>2858</v>
      </c>
      <c r="U51" s="7" t="s">
        <v>269</v>
      </c>
      <c r="V51" s="299" t="s">
        <v>2895</v>
      </c>
    </row>
    <row r="52" spans="1:22" s="46" customFormat="1" ht="15" customHeight="1" x14ac:dyDescent="0.25">
      <c r="A52" s="46" t="s">
        <v>913</v>
      </c>
      <c r="B52" s="3" t="s">
        <v>2810</v>
      </c>
      <c r="C52" s="3" t="s">
        <v>1608</v>
      </c>
      <c r="D52" s="25" t="s">
        <v>2859</v>
      </c>
      <c r="E52" s="5" t="s">
        <v>1930</v>
      </c>
      <c r="F52" s="299" t="s">
        <v>2896</v>
      </c>
      <c r="G52" s="43" t="s">
        <v>2067</v>
      </c>
      <c r="M52" s="16"/>
      <c r="N52" s="25"/>
      <c r="O52" s="28"/>
      <c r="P52" s="31"/>
      <c r="Q52" s="3" t="s">
        <v>196</v>
      </c>
      <c r="R52" s="16" t="s">
        <v>2810</v>
      </c>
      <c r="S52" s="5" t="s">
        <v>233</v>
      </c>
      <c r="T52" s="25" t="s">
        <v>2859</v>
      </c>
      <c r="U52" s="7" t="s">
        <v>270</v>
      </c>
      <c r="V52" s="299" t="s">
        <v>2896</v>
      </c>
    </row>
    <row r="53" spans="1:22" s="46" customFormat="1" ht="15" customHeight="1" x14ac:dyDescent="0.25">
      <c r="A53" s="46" t="s">
        <v>914</v>
      </c>
      <c r="B53" s="3" t="s">
        <v>2811</v>
      </c>
      <c r="C53" s="3" t="s">
        <v>1609</v>
      </c>
      <c r="D53" s="25" t="s">
        <v>2860</v>
      </c>
      <c r="E53" s="5" t="s">
        <v>1931</v>
      </c>
      <c r="F53" s="299" t="s">
        <v>2897</v>
      </c>
      <c r="G53" s="43" t="s">
        <v>2068</v>
      </c>
      <c r="M53" s="16"/>
      <c r="N53" s="25"/>
      <c r="O53" s="28"/>
      <c r="P53" s="31"/>
      <c r="Q53" s="3" t="s">
        <v>197</v>
      </c>
      <c r="R53" s="16" t="s">
        <v>2811</v>
      </c>
      <c r="S53" s="5" t="s">
        <v>234</v>
      </c>
      <c r="T53" s="25" t="s">
        <v>2860</v>
      </c>
      <c r="U53" s="7" t="s">
        <v>271</v>
      </c>
      <c r="V53" s="299" t="s">
        <v>2897</v>
      </c>
    </row>
    <row r="54" spans="1:22" s="46" customFormat="1" ht="15" customHeight="1" x14ac:dyDescent="0.25">
      <c r="A54" s="46" t="s">
        <v>941</v>
      </c>
      <c r="B54" s="3" t="s">
        <v>2812</v>
      </c>
      <c r="C54" s="3" t="s">
        <v>1610</v>
      </c>
      <c r="D54" s="25" t="s">
        <v>2861</v>
      </c>
      <c r="E54" s="5" t="s">
        <v>1932</v>
      </c>
      <c r="F54" s="299" t="s">
        <v>2898</v>
      </c>
      <c r="G54" s="43" t="s">
        <v>2069</v>
      </c>
      <c r="M54" s="16"/>
      <c r="N54" s="25"/>
      <c r="O54" s="28"/>
      <c r="P54" s="31"/>
      <c r="Q54" s="3" t="s">
        <v>198</v>
      </c>
      <c r="R54" s="16" t="s">
        <v>2812</v>
      </c>
      <c r="S54" s="5" t="s">
        <v>235</v>
      </c>
      <c r="T54" s="25" t="s">
        <v>2861</v>
      </c>
      <c r="U54" s="7" t="s">
        <v>272</v>
      </c>
      <c r="V54" s="299" t="s">
        <v>2898</v>
      </c>
    </row>
    <row r="55" spans="1:22" s="46" customFormat="1" ht="15" customHeight="1" x14ac:dyDescent="0.25">
      <c r="A55" s="46" t="s">
        <v>915</v>
      </c>
      <c r="B55" s="3" t="s">
        <v>2813</v>
      </c>
      <c r="C55" s="17" t="s">
        <v>1611</v>
      </c>
      <c r="D55" s="25" t="s">
        <v>2862</v>
      </c>
      <c r="E55" s="23" t="s">
        <v>1933</v>
      </c>
      <c r="F55" s="299" t="s">
        <v>2899</v>
      </c>
      <c r="G55" s="43" t="s">
        <v>2070</v>
      </c>
      <c r="M55" s="16"/>
      <c r="N55" s="25"/>
      <c r="O55" s="28"/>
      <c r="P55" s="31"/>
      <c r="Q55" s="3" t="s">
        <v>199</v>
      </c>
      <c r="R55" s="16" t="s">
        <v>2813</v>
      </c>
      <c r="S55" s="5" t="s">
        <v>236</v>
      </c>
      <c r="T55" s="25" t="s">
        <v>2862</v>
      </c>
      <c r="U55" s="7" t="s">
        <v>273</v>
      </c>
      <c r="V55" s="299" t="s">
        <v>2899</v>
      </c>
    </row>
    <row r="56" spans="1:22" s="46" customFormat="1" ht="15" customHeight="1" x14ac:dyDescent="0.25">
      <c r="A56" s="46" t="s">
        <v>916</v>
      </c>
      <c r="B56" s="3" t="s">
        <v>2814</v>
      </c>
      <c r="C56" s="3" t="s">
        <v>1612</v>
      </c>
      <c r="D56" s="25" t="s">
        <v>2863</v>
      </c>
      <c r="E56" s="5" t="s">
        <v>1934</v>
      </c>
      <c r="F56" s="299" t="s">
        <v>2900</v>
      </c>
      <c r="G56" s="43" t="s">
        <v>2071</v>
      </c>
      <c r="M56" s="16"/>
      <c r="N56" s="25"/>
      <c r="O56" s="28"/>
      <c r="P56" s="31"/>
      <c r="Q56" s="3" t="s">
        <v>200</v>
      </c>
      <c r="R56" s="16" t="s">
        <v>2814</v>
      </c>
      <c r="S56" s="5" t="s">
        <v>237</v>
      </c>
      <c r="T56" s="25" t="s">
        <v>2863</v>
      </c>
      <c r="U56" s="7" t="s">
        <v>274</v>
      </c>
      <c r="V56" s="299" t="s">
        <v>2900</v>
      </c>
    </row>
    <row r="57" spans="1:22" s="46" customFormat="1" ht="15" customHeight="1" x14ac:dyDescent="0.25">
      <c r="A57" s="46" t="s">
        <v>917</v>
      </c>
      <c r="B57" s="3" t="s">
        <v>2815</v>
      </c>
      <c r="C57" s="17" t="s">
        <v>1613</v>
      </c>
      <c r="D57" s="25" t="s">
        <v>2864</v>
      </c>
      <c r="E57" s="23" t="s">
        <v>1935</v>
      </c>
      <c r="F57" s="299" t="s">
        <v>2901</v>
      </c>
      <c r="G57" s="43" t="s">
        <v>2072</v>
      </c>
      <c r="M57" s="16"/>
      <c r="N57" s="25"/>
      <c r="O57" s="28"/>
      <c r="P57" s="31"/>
      <c r="Q57" s="3" t="s">
        <v>201</v>
      </c>
      <c r="R57" s="16" t="s">
        <v>2815</v>
      </c>
      <c r="S57" s="5" t="s">
        <v>238</v>
      </c>
      <c r="T57" s="25" t="s">
        <v>2864</v>
      </c>
      <c r="U57" s="7" t="s">
        <v>275</v>
      </c>
      <c r="V57" s="299" t="s">
        <v>2901</v>
      </c>
    </row>
    <row r="58" spans="1:22" s="46" customFormat="1" ht="15" customHeight="1" x14ac:dyDescent="0.25">
      <c r="A58" s="46" t="s">
        <v>936</v>
      </c>
      <c r="B58" s="3" t="s">
        <v>2816</v>
      </c>
      <c r="C58" s="3" t="s">
        <v>1614</v>
      </c>
      <c r="D58" s="25" t="s">
        <v>2865</v>
      </c>
      <c r="E58" s="5" t="s">
        <v>1936</v>
      </c>
      <c r="F58" s="299" t="s">
        <v>2902</v>
      </c>
      <c r="G58" s="43" t="s">
        <v>2073</v>
      </c>
      <c r="M58" s="16"/>
      <c r="N58" s="25"/>
      <c r="O58" s="28"/>
      <c r="P58" s="31"/>
      <c r="Q58" s="3" t="s">
        <v>202</v>
      </c>
      <c r="R58" s="16" t="s">
        <v>2816</v>
      </c>
      <c r="S58" s="5" t="s">
        <v>239</v>
      </c>
      <c r="T58" s="25" t="s">
        <v>2865</v>
      </c>
      <c r="U58" s="7" t="s">
        <v>276</v>
      </c>
      <c r="V58" s="299" t="s">
        <v>2902</v>
      </c>
    </row>
    <row r="59" spans="1:22" s="46" customFormat="1" ht="15" customHeight="1" x14ac:dyDescent="0.25">
      <c r="A59" s="46" t="s">
        <v>937</v>
      </c>
      <c r="B59" s="3" t="s">
        <v>2817</v>
      </c>
      <c r="C59" s="3" t="s">
        <v>1615</v>
      </c>
      <c r="D59" s="25" t="s">
        <v>2866</v>
      </c>
      <c r="E59" s="5" t="s">
        <v>1937</v>
      </c>
      <c r="F59" s="299" t="s">
        <v>2903</v>
      </c>
      <c r="G59" s="43" t="s">
        <v>2074</v>
      </c>
      <c r="M59" s="16">
        <v>1</v>
      </c>
      <c r="N59" s="25">
        <v>1</v>
      </c>
      <c r="O59" s="28">
        <v>1</v>
      </c>
      <c r="P59" s="31"/>
      <c r="Q59" s="3" t="s">
        <v>203</v>
      </c>
      <c r="R59" s="16" t="s">
        <v>2817</v>
      </c>
      <c r="S59" s="5" t="s">
        <v>240</v>
      </c>
      <c r="T59" s="25" t="s">
        <v>2866</v>
      </c>
      <c r="U59" s="7" t="s">
        <v>277</v>
      </c>
      <c r="V59" s="299" t="s">
        <v>2903</v>
      </c>
    </row>
    <row r="60" spans="1:22" s="46" customFormat="1" ht="15" customHeight="1" x14ac:dyDescent="0.25">
      <c r="A60" s="46" t="s">
        <v>918</v>
      </c>
      <c r="B60" s="3" t="s">
        <v>2818</v>
      </c>
      <c r="C60" s="3" t="s">
        <v>1616</v>
      </c>
      <c r="D60" s="25" t="s">
        <v>2867</v>
      </c>
      <c r="E60" s="5" t="s">
        <v>1938</v>
      </c>
      <c r="F60" s="299" t="s">
        <v>2904</v>
      </c>
      <c r="G60" s="43" t="s">
        <v>2075</v>
      </c>
      <c r="M60" s="16"/>
      <c r="N60" s="25"/>
      <c r="O60" s="28"/>
      <c r="P60" s="31"/>
      <c r="Q60" s="3" t="s">
        <v>204</v>
      </c>
      <c r="R60" s="16" t="s">
        <v>2818</v>
      </c>
      <c r="S60" s="5" t="s">
        <v>241</v>
      </c>
      <c r="T60" s="25" t="s">
        <v>2867</v>
      </c>
      <c r="U60" s="7" t="s">
        <v>278</v>
      </c>
      <c r="V60" s="299" t="s">
        <v>2904</v>
      </c>
    </row>
    <row r="61" spans="1:22" s="46" customFormat="1" ht="15" customHeight="1" x14ac:dyDescent="0.25">
      <c r="A61" s="46" t="s">
        <v>919</v>
      </c>
      <c r="B61" s="3" t="s">
        <v>2819</v>
      </c>
      <c r="C61" s="17" t="s">
        <v>1617</v>
      </c>
      <c r="D61" s="25" t="s">
        <v>2868</v>
      </c>
      <c r="E61" s="23" t="s">
        <v>1939</v>
      </c>
      <c r="F61" s="299" t="s">
        <v>2905</v>
      </c>
      <c r="G61" s="43" t="s">
        <v>2076</v>
      </c>
      <c r="M61" s="16"/>
      <c r="N61" s="25"/>
      <c r="O61" s="28"/>
      <c r="P61" s="31"/>
      <c r="Q61" s="3" t="s">
        <v>205</v>
      </c>
      <c r="R61" s="16" t="s">
        <v>2819</v>
      </c>
      <c r="S61" s="5" t="s">
        <v>242</v>
      </c>
      <c r="T61" s="25" t="s">
        <v>2868</v>
      </c>
      <c r="U61" s="7" t="s">
        <v>279</v>
      </c>
      <c r="V61" s="299" t="s">
        <v>2905</v>
      </c>
    </row>
    <row r="62" spans="1:22" s="46" customFormat="1" ht="15" customHeight="1" x14ac:dyDescent="0.25">
      <c r="A62" s="46" t="s">
        <v>920</v>
      </c>
      <c r="B62" s="3" t="s">
        <v>2820</v>
      </c>
      <c r="C62" s="3" t="s">
        <v>1618</v>
      </c>
      <c r="D62" s="25" t="s">
        <v>2869</v>
      </c>
      <c r="E62" s="5" t="s">
        <v>1940</v>
      </c>
      <c r="F62" s="299" t="s">
        <v>2906</v>
      </c>
      <c r="G62" s="43" t="s">
        <v>2077</v>
      </c>
      <c r="M62" s="16"/>
      <c r="N62" s="25"/>
      <c r="O62" s="28"/>
      <c r="P62" s="31"/>
      <c r="Q62" s="3" t="s">
        <v>206</v>
      </c>
      <c r="R62" s="16" t="s">
        <v>2820</v>
      </c>
      <c r="S62" s="5" t="s">
        <v>243</v>
      </c>
      <c r="T62" s="25" t="s">
        <v>2869</v>
      </c>
      <c r="U62" s="7" t="s">
        <v>280</v>
      </c>
      <c r="V62" s="299" t="s">
        <v>2906</v>
      </c>
    </row>
    <row r="63" spans="1:22" s="46" customFormat="1" ht="15" customHeight="1" x14ac:dyDescent="0.25">
      <c r="A63" s="46" t="s">
        <v>938</v>
      </c>
      <c r="B63" s="17" t="s">
        <v>1571</v>
      </c>
      <c r="C63" s="3"/>
      <c r="D63" s="25" t="s">
        <v>1571</v>
      </c>
      <c r="E63" s="5"/>
      <c r="F63" s="398" t="s">
        <v>1571</v>
      </c>
      <c r="G63" s="43"/>
      <c r="M63" s="16"/>
      <c r="N63" s="25"/>
      <c r="O63" s="28"/>
      <c r="P63" s="31"/>
      <c r="Q63" s="17"/>
      <c r="R63" s="16" t="s">
        <v>1571</v>
      </c>
      <c r="S63" s="23"/>
      <c r="T63" s="25" t="s">
        <v>1571</v>
      </c>
      <c r="U63" s="27"/>
      <c r="V63" s="398" t="s">
        <v>1571</v>
      </c>
    </row>
    <row r="64" spans="1:22" s="46" customFormat="1" ht="15" customHeight="1" x14ac:dyDescent="0.25">
      <c r="A64" s="46" t="s">
        <v>939</v>
      </c>
      <c r="B64" s="3" t="s">
        <v>2821</v>
      </c>
      <c r="C64" s="3" t="s">
        <v>1619</v>
      </c>
      <c r="D64" s="25" t="s">
        <v>2870</v>
      </c>
      <c r="E64" s="5" t="s">
        <v>1941</v>
      </c>
      <c r="F64" s="299" t="s">
        <v>2907</v>
      </c>
      <c r="G64" s="43" t="s">
        <v>2078</v>
      </c>
      <c r="M64" s="16"/>
      <c r="N64" s="25"/>
      <c r="O64" s="28"/>
      <c r="P64" s="31"/>
      <c r="Q64" s="3" t="s">
        <v>207</v>
      </c>
      <c r="R64" s="16" t="s">
        <v>2821</v>
      </c>
      <c r="S64" s="5" t="s">
        <v>244</v>
      </c>
      <c r="T64" s="25" t="s">
        <v>2870</v>
      </c>
      <c r="U64" s="7" t="s">
        <v>281</v>
      </c>
      <c r="V64" s="299" t="s">
        <v>2907</v>
      </c>
    </row>
    <row r="65" spans="1:22" s="46" customFormat="1" ht="15" customHeight="1" x14ac:dyDescent="0.25">
      <c r="A65" s="46" t="s">
        <v>940</v>
      </c>
      <c r="B65" s="3" t="s">
        <v>2822</v>
      </c>
      <c r="C65" s="3" t="s">
        <v>1620</v>
      </c>
      <c r="D65" s="25" t="s">
        <v>2871</v>
      </c>
      <c r="E65" s="5" t="s">
        <v>1942</v>
      </c>
      <c r="F65" s="299" t="s">
        <v>2908</v>
      </c>
      <c r="G65" s="43" t="s">
        <v>2079</v>
      </c>
      <c r="M65" s="16"/>
      <c r="N65" s="25"/>
      <c r="O65" s="28"/>
      <c r="P65" s="31"/>
      <c r="Q65" s="3" t="s">
        <v>208</v>
      </c>
      <c r="R65" s="16" t="s">
        <v>2822</v>
      </c>
      <c r="S65" s="5" t="s">
        <v>245</v>
      </c>
      <c r="T65" s="25" t="s">
        <v>2871</v>
      </c>
      <c r="U65" s="7" t="s">
        <v>282</v>
      </c>
      <c r="V65" s="299" t="s">
        <v>2908</v>
      </c>
    </row>
    <row r="66" spans="1:22" s="46" customFormat="1" ht="15" customHeight="1" x14ac:dyDescent="0.25">
      <c r="A66" s="46" t="s">
        <v>921</v>
      </c>
      <c r="B66" s="3" t="s">
        <v>2823</v>
      </c>
      <c r="C66" s="3" t="s">
        <v>1621</v>
      </c>
      <c r="D66" s="25" t="s">
        <v>2872</v>
      </c>
      <c r="E66" s="5" t="s">
        <v>1943</v>
      </c>
      <c r="F66" s="299" t="s">
        <v>2909</v>
      </c>
      <c r="G66" s="43" t="s">
        <v>2080</v>
      </c>
      <c r="M66" s="16"/>
      <c r="N66" s="25"/>
      <c r="O66" s="28"/>
      <c r="P66" s="31"/>
      <c r="Q66" s="3" t="s">
        <v>209</v>
      </c>
      <c r="R66" s="16" t="s">
        <v>2823</v>
      </c>
      <c r="S66" s="5" t="s">
        <v>246</v>
      </c>
      <c r="T66" s="25" t="s">
        <v>2872</v>
      </c>
      <c r="U66" s="7" t="s">
        <v>283</v>
      </c>
      <c r="V66" s="299" t="s">
        <v>2909</v>
      </c>
    </row>
    <row r="67" spans="1:22" s="46" customFormat="1" ht="15" customHeight="1" x14ac:dyDescent="0.25">
      <c r="A67" s="46" t="s">
        <v>2173</v>
      </c>
      <c r="B67" s="3" t="s">
        <v>330</v>
      </c>
      <c r="C67" s="3" t="s">
        <v>1718</v>
      </c>
      <c r="D67" s="5" t="s">
        <v>691</v>
      </c>
      <c r="E67" s="5" t="s">
        <v>2005</v>
      </c>
      <c r="F67" s="7" t="s">
        <v>819</v>
      </c>
      <c r="G67" s="43" t="s">
        <v>2133</v>
      </c>
      <c r="M67" s="16"/>
      <c r="N67" s="25"/>
      <c r="O67" s="28"/>
      <c r="P67" s="31"/>
      <c r="Q67" s="3" t="s">
        <v>330</v>
      </c>
      <c r="R67" s="3" t="s">
        <v>330</v>
      </c>
      <c r="S67" s="5" t="s">
        <v>691</v>
      </c>
      <c r="T67" s="5" t="s">
        <v>691</v>
      </c>
      <c r="U67" s="7" t="s">
        <v>819</v>
      </c>
      <c r="V67" s="7" t="s">
        <v>819</v>
      </c>
    </row>
    <row r="68" spans="1:22" s="31" customFormat="1" ht="15" customHeight="1" x14ac:dyDescent="0.25">
      <c r="A68" s="31" t="s">
        <v>1572</v>
      </c>
      <c r="B68" s="17" t="s">
        <v>623</v>
      </c>
      <c r="C68" s="17"/>
      <c r="D68" s="23" t="s">
        <v>623</v>
      </c>
      <c r="E68" s="23"/>
      <c r="F68" s="27" t="s">
        <v>623</v>
      </c>
      <c r="G68" s="43"/>
      <c r="H68" s="31" t="e">
        <f ca="1">AI_SUM('E07'!$A$47,SI05_07!$A$12,SI05_07!$A$22,SI05_07!$A$32,SI05_07!$A$42,SI05_07!$A$52,SI05_07!$A$62,SI05_07!$A$72,SI05_07!$A$82,$A$12,$A$13)</f>
        <v>#NAME?</v>
      </c>
      <c r="I68" s="31" t="e">
        <f ca="1">AI_SUM('E07'!$A$47,SI05_07!$A$12,SI05_07!$A$22,SI05_07!$A$32,SI05_07!$A$42,SI05_07!$A$52,SI05_07!$A$62,SI05_07!$A$72,SI05_07!$A$82,$A$12,$A$13)</f>
        <v>#NAME?</v>
      </c>
      <c r="M68" s="16"/>
      <c r="N68" s="25"/>
      <c r="O68" s="28"/>
      <c r="Q68" s="17" t="s">
        <v>623</v>
      </c>
      <c r="R68" s="17" t="s">
        <v>623</v>
      </c>
      <c r="S68" s="23" t="s">
        <v>623</v>
      </c>
      <c r="T68" s="23" t="s">
        <v>623</v>
      </c>
      <c r="U68" s="27" t="s">
        <v>623</v>
      </c>
      <c r="V68" s="27" t="s">
        <v>623</v>
      </c>
    </row>
    <row r="69" spans="1:22" s="31" customFormat="1" ht="15" customHeight="1" x14ac:dyDescent="0.25">
      <c r="A69" s="31" t="s">
        <v>1577</v>
      </c>
      <c r="B69" s="17" t="s">
        <v>624</v>
      </c>
      <c r="C69" s="17" t="s">
        <v>624</v>
      </c>
      <c r="D69" s="23" t="s">
        <v>624</v>
      </c>
      <c r="E69" s="23" t="s">
        <v>624</v>
      </c>
      <c r="F69" s="27" t="s">
        <v>624</v>
      </c>
      <c r="G69" s="43" t="s">
        <v>624</v>
      </c>
      <c r="H69" s="31" t="e">
        <f ca="1">AI_SUM($A$12,$A$13)</f>
        <v>#NAME?</v>
      </c>
      <c r="I69" s="31" t="e">
        <f ca="1">AI_SUM($A$12,$A$13)</f>
        <v>#NAME?</v>
      </c>
      <c r="M69" s="16"/>
      <c r="N69" s="25"/>
      <c r="O69" s="28"/>
      <c r="Q69" s="17" t="s">
        <v>624</v>
      </c>
      <c r="R69" s="17" t="s">
        <v>624</v>
      </c>
      <c r="S69" s="23" t="s">
        <v>624</v>
      </c>
      <c r="T69" s="23" t="s">
        <v>624</v>
      </c>
      <c r="U69" s="27" t="s">
        <v>624</v>
      </c>
      <c r="V69" s="27" t="s">
        <v>624</v>
      </c>
    </row>
    <row r="70" spans="1:22" s="31" customFormat="1" ht="15" customHeight="1" x14ac:dyDescent="0.25">
      <c r="A70" s="31" t="s">
        <v>1578</v>
      </c>
      <c r="B70" s="3" t="s">
        <v>625</v>
      </c>
      <c r="C70" s="3"/>
      <c r="D70" s="23" t="s">
        <v>625</v>
      </c>
      <c r="E70" s="23"/>
      <c r="F70" s="27" t="s">
        <v>625</v>
      </c>
      <c r="G70" s="43"/>
      <c r="H70" s="31" t="e">
        <f ca="1">AI_SUM(SI05_07!$A$12,SI05_07!$A$22,SI05_07!$A$32,SI05_07!$A$42,SI05_07!$A$52,SI05_07!$A$62,SI05_07!$A$72,SI05_07!$A$82)</f>
        <v>#NAME?</v>
      </c>
      <c r="I70" s="31" t="e">
        <f ca="1">AI_SUM(SI05_07!$A$12,SI05_07!$A$22,SI05_07!$A$32,SI05_07!$A$42,SI05_07!$A$52,SI05_07!$A$62,SI05_07!$A$72,SI05_07!$A$82)</f>
        <v>#NAME?</v>
      </c>
      <c r="M70" s="16"/>
      <c r="N70" s="25"/>
      <c r="O70" s="28"/>
      <c r="Q70" s="3" t="s">
        <v>625</v>
      </c>
      <c r="R70" s="3" t="s">
        <v>625</v>
      </c>
      <c r="S70" s="23" t="s">
        <v>625</v>
      </c>
      <c r="T70" s="23" t="s">
        <v>625</v>
      </c>
      <c r="U70" s="27" t="s">
        <v>625</v>
      </c>
      <c r="V70" s="27" t="s">
        <v>625</v>
      </c>
    </row>
    <row r="71" spans="1:22" s="31" customFormat="1" ht="15" customHeight="1" x14ac:dyDescent="0.25">
      <c r="A71" s="31" t="s">
        <v>1575</v>
      </c>
      <c r="B71" s="17" t="s">
        <v>626</v>
      </c>
      <c r="C71" s="17"/>
      <c r="D71" s="23" t="s">
        <v>626</v>
      </c>
      <c r="E71" s="23"/>
      <c r="F71" s="27" t="s">
        <v>626</v>
      </c>
      <c r="G71" s="43"/>
      <c r="H71" s="31" t="e">
        <f ca="1">AI_DIFF($A$28,'E07'!$A$47)</f>
        <v>#NAME?</v>
      </c>
      <c r="I71" s="31" t="e">
        <f ca="1">AI_DIFF($A$28,'E07'!$A$47)</f>
        <v>#NAME?</v>
      </c>
      <c r="M71" s="16"/>
      <c r="N71" s="25"/>
      <c r="O71" s="28"/>
      <c r="Q71" s="17" t="s">
        <v>626</v>
      </c>
      <c r="R71" s="17" t="s">
        <v>626</v>
      </c>
      <c r="S71" s="23" t="s">
        <v>626</v>
      </c>
      <c r="T71" s="23" t="s">
        <v>626</v>
      </c>
      <c r="U71" s="27" t="s">
        <v>626</v>
      </c>
      <c r="V71" s="27" t="s">
        <v>626</v>
      </c>
    </row>
    <row r="72" spans="1:22" s="31" customFormat="1" ht="15" customHeight="1" x14ac:dyDescent="0.25">
      <c r="A72" s="31" t="s">
        <v>1570</v>
      </c>
      <c r="B72" s="17" t="s">
        <v>627</v>
      </c>
      <c r="C72" s="17" t="s">
        <v>627</v>
      </c>
      <c r="D72" s="23" t="s">
        <v>627</v>
      </c>
      <c r="E72" s="23" t="s">
        <v>627</v>
      </c>
      <c r="F72" s="27" t="s">
        <v>627</v>
      </c>
      <c r="G72" s="43" t="s">
        <v>627</v>
      </c>
      <c r="H72" s="31" t="e">
        <f ca="1">AI_DIV(Assets!$A$28,A67)</f>
        <v>#NAME?</v>
      </c>
      <c r="I72" s="31" t="e">
        <f ca="1">AI_DIV(Assets!$A$28,A67)</f>
        <v>#NAME?</v>
      </c>
      <c r="M72" s="16">
        <v>1</v>
      </c>
      <c r="N72" s="25">
        <v>1</v>
      </c>
      <c r="O72" s="28">
        <v>1</v>
      </c>
      <c r="Q72" s="17" t="s">
        <v>627</v>
      </c>
      <c r="R72" s="17" t="s">
        <v>627</v>
      </c>
      <c r="S72" s="23" t="s">
        <v>627</v>
      </c>
      <c r="T72" s="23" t="s">
        <v>627</v>
      </c>
      <c r="U72" s="27" t="s">
        <v>627</v>
      </c>
      <c r="V72" s="27" t="s">
        <v>627</v>
      </c>
    </row>
    <row r="73" spans="1:22" s="31" customFormat="1" ht="15" customHeight="1" x14ac:dyDescent="0.25">
      <c r="A73" s="31" t="s">
        <v>1573</v>
      </c>
      <c r="B73" s="17" t="s">
        <v>2458</v>
      </c>
      <c r="C73" s="17" t="s">
        <v>2458</v>
      </c>
      <c r="D73" s="23" t="s">
        <v>2458</v>
      </c>
      <c r="E73" s="23" t="s">
        <v>2458</v>
      </c>
      <c r="F73" s="27" t="s">
        <v>2458</v>
      </c>
      <c r="G73" s="43" t="s">
        <v>2458</v>
      </c>
      <c r="H73" s="31" t="e">
        <f ca="1">AI_DIV(A68,A67)</f>
        <v>#NAME?</v>
      </c>
      <c r="I73" s="31" t="e">
        <f ca="1">AI_SET(0)</f>
        <v>#NAME?</v>
      </c>
      <c r="M73" s="16">
        <v>5</v>
      </c>
      <c r="N73" s="25">
        <v>5</v>
      </c>
      <c r="O73" s="28">
        <v>5</v>
      </c>
      <c r="Q73" s="17" t="s">
        <v>2458</v>
      </c>
      <c r="R73" s="17" t="s">
        <v>2458</v>
      </c>
      <c r="S73" s="23" t="s">
        <v>2458</v>
      </c>
      <c r="T73" s="23" t="s">
        <v>2458</v>
      </c>
      <c r="U73" s="27" t="s">
        <v>2458</v>
      </c>
      <c r="V73" s="27" t="s">
        <v>2458</v>
      </c>
    </row>
    <row r="74" spans="1:22" s="31" customFormat="1" ht="15" customHeight="1" x14ac:dyDescent="0.25">
      <c r="A74" s="31" t="s">
        <v>1896</v>
      </c>
      <c r="B74" s="17" t="s">
        <v>2459</v>
      </c>
      <c r="C74" s="17" t="s">
        <v>2459</v>
      </c>
      <c r="D74" s="23" t="s">
        <v>2459</v>
      </c>
      <c r="E74" s="23" t="s">
        <v>2459</v>
      </c>
      <c r="F74" s="27" t="s">
        <v>2459</v>
      </c>
      <c r="G74" s="43" t="s">
        <v>2459</v>
      </c>
      <c r="H74" s="31" t="e">
        <f ca="1">AI_DIV(A68,$A$28)</f>
        <v>#NAME?</v>
      </c>
      <c r="I74" s="31" t="e">
        <f ca="1">AI_SET(0)</f>
        <v>#NAME?</v>
      </c>
      <c r="M74" s="16">
        <v>5</v>
      </c>
      <c r="N74" s="25">
        <v>5</v>
      </c>
      <c r="O74" s="28">
        <v>5</v>
      </c>
      <c r="Q74" s="17" t="s">
        <v>2459</v>
      </c>
      <c r="R74" s="17" t="s">
        <v>2459</v>
      </c>
      <c r="S74" s="23" t="s">
        <v>2459</v>
      </c>
      <c r="T74" s="23" t="s">
        <v>2459</v>
      </c>
      <c r="U74" s="27" t="s">
        <v>2459</v>
      </c>
      <c r="V74" s="27" t="s">
        <v>2459</v>
      </c>
    </row>
    <row r="75" spans="1:22" s="31" customFormat="1" ht="15" customHeight="1" x14ac:dyDescent="0.25">
      <c r="A75" s="31" t="s">
        <v>1574</v>
      </c>
      <c r="B75" s="17" t="s">
        <v>2460</v>
      </c>
      <c r="C75" s="17"/>
      <c r="D75" s="23" t="s">
        <v>2460</v>
      </c>
      <c r="E75" s="23"/>
      <c r="F75" s="27" t="s">
        <v>2460</v>
      </c>
      <c r="G75" s="43"/>
      <c r="H75" s="31" t="e">
        <f ca="1">AI_DIV(A71,'E07'!$A$47)</f>
        <v>#NAME?</v>
      </c>
      <c r="I75" s="31" t="e">
        <f ca="1">AI_DIV(A71,'E07'!$A$47)</f>
        <v>#NAME?</v>
      </c>
      <c r="M75" s="16"/>
      <c r="N75" s="25"/>
      <c r="O75" s="28"/>
      <c r="Q75" s="17" t="s">
        <v>2460</v>
      </c>
      <c r="R75" s="17" t="s">
        <v>2460</v>
      </c>
      <c r="S75" s="23" t="s">
        <v>2460</v>
      </c>
      <c r="T75" s="23" t="s">
        <v>2460</v>
      </c>
      <c r="U75" s="27" t="s">
        <v>2460</v>
      </c>
      <c r="V75" s="27" t="s">
        <v>2460</v>
      </c>
    </row>
    <row r="76" spans="1:22" s="31" customFormat="1" ht="15" customHeight="1" x14ac:dyDescent="0.25">
      <c r="A76" s="31" t="s">
        <v>1576</v>
      </c>
      <c r="B76" s="3" t="s">
        <v>2461</v>
      </c>
      <c r="C76" s="3" t="s">
        <v>2461</v>
      </c>
      <c r="D76" s="23" t="s">
        <v>2461</v>
      </c>
      <c r="E76" s="23" t="s">
        <v>2461</v>
      </c>
      <c r="F76" s="27" t="s">
        <v>2461</v>
      </c>
      <c r="G76" s="43" t="s">
        <v>2461</v>
      </c>
      <c r="H76" s="31" t="e">
        <f ca="1">AI_DIV(A69,A67)</f>
        <v>#NAME?</v>
      </c>
      <c r="I76" s="31" t="e">
        <f ca="1">AI_DIV(A69,A67)</f>
        <v>#NAME?</v>
      </c>
      <c r="M76" s="16">
        <v>1</v>
      </c>
      <c r="N76" s="25">
        <v>1</v>
      </c>
      <c r="O76" s="28">
        <v>1</v>
      </c>
      <c r="Q76" s="3" t="s">
        <v>2461</v>
      </c>
      <c r="R76" s="3" t="s">
        <v>2461</v>
      </c>
      <c r="S76" s="23" t="s">
        <v>2461</v>
      </c>
      <c r="T76" s="23" t="s">
        <v>2461</v>
      </c>
      <c r="U76" s="27" t="s">
        <v>2461</v>
      </c>
      <c r="V76" s="27" t="s">
        <v>2461</v>
      </c>
    </row>
    <row r="77" spans="1:22" s="31" customFormat="1" ht="15" customHeight="1" x14ac:dyDescent="0.25">
      <c r="A77" s="31" t="s">
        <v>1579</v>
      </c>
      <c r="B77" s="3" t="s">
        <v>2462</v>
      </c>
      <c r="C77" s="3" t="s">
        <v>2462</v>
      </c>
      <c r="D77" s="23" t="s">
        <v>2462</v>
      </c>
      <c r="E77" s="23" t="s">
        <v>2462</v>
      </c>
      <c r="F77" s="27" t="s">
        <v>2462</v>
      </c>
      <c r="G77" s="43" t="s">
        <v>2462</v>
      </c>
      <c r="H77" s="31" t="e">
        <f ca="1">AI_DIV(A70,A67)</f>
        <v>#NAME?</v>
      </c>
      <c r="I77" s="31" t="e">
        <f ca="1">AI_SET(0)</f>
        <v>#NAME?</v>
      </c>
      <c r="M77" s="16">
        <v>1</v>
      </c>
      <c r="N77" s="25">
        <v>1</v>
      </c>
      <c r="O77" s="28">
        <v>1</v>
      </c>
      <c r="Q77" s="3" t="s">
        <v>2462</v>
      </c>
      <c r="R77" s="3" t="s">
        <v>2462</v>
      </c>
      <c r="S77" s="23" t="s">
        <v>2462</v>
      </c>
      <c r="T77" s="23" t="s">
        <v>2462</v>
      </c>
      <c r="U77" s="27" t="s">
        <v>2462</v>
      </c>
      <c r="V77" s="27" t="s">
        <v>2462</v>
      </c>
    </row>
    <row r="78" spans="1:22" s="31" customFormat="1" ht="15" customHeight="1" x14ac:dyDescent="0.25">
      <c r="A78" s="31" t="s">
        <v>1580</v>
      </c>
      <c r="B78" s="17" t="s">
        <v>2463</v>
      </c>
      <c r="C78" s="17" t="s">
        <v>2463</v>
      </c>
      <c r="D78" s="23" t="s">
        <v>2463</v>
      </c>
      <c r="E78" s="23" t="s">
        <v>2463</v>
      </c>
      <c r="F78" s="27" t="s">
        <v>2463</v>
      </c>
      <c r="G78" s="43" t="s">
        <v>2463</v>
      </c>
      <c r="H78" s="31" t="e">
        <f ca="1">AI_DIV(A70,$A$28)</f>
        <v>#NAME?</v>
      </c>
      <c r="I78" s="31" t="e">
        <f ca="1">AI_SET(0)</f>
        <v>#NAME?</v>
      </c>
      <c r="M78" s="16">
        <v>1</v>
      </c>
      <c r="N78" s="25">
        <v>1</v>
      </c>
      <c r="O78" s="28">
        <v>1</v>
      </c>
      <c r="Q78" s="17" t="s">
        <v>2463</v>
      </c>
      <c r="R78" s="17" t="s">
        <v>2463</v>
      </c>
      <c r="S78" s="23" t="s">
        <v>2463</v>
      </c>
      <c r="T78" s="23" t="s">
        <v>2463</v>
      </c>
      <c r="U78" s="27" t="s">
        <v>2463</v>
      </c>
      <c r="V78" s="27" t="s">
        <v>2463</v>
      </c>
    </row>
    <row r="79" spans="1:22" s="31" customFormat="1" ht="15" customHeight="1" x14ac:dyDescent="0.25">
      <c r="A79" s="46" t="s">
        <v>1872</v>
      </c>
      <c r="B79" s="17" t="s">
        <v>1722</v>
      </c>
      <c r="C79" s="95"/>
      <c r="D79" s="23" t="s">
        <v>1722</v>
      </c>
      <c r="E79" s="154"/>
      <c r="F79" s="27" t="s">
        <v>1722</v>
      </c>
      <c r="G79" s="43"/>
      <c r="H79" s="46" t="e">
        <f ca="1">AI_DIV(CashFlow!A34,CashFlow!A14)</f>
        <v>#NAME?</v>
      </c>
      <c r="I79" s="46" t="e">
        <f ca="1">AI_DIV(CashFlow!A34,CashFlow!A14)</f>
        <v>#NAME?</v>
      </c>
      <c r="M79" s="16"/>
      <c r="N79" s="25"/>
      <c r="O79" s="28"/>
      <c r="Q79" s="17" t="s">
        <v>1722</v>
      </c>
      <c r="R79" s="17" t="s">
        <v>1722</v>
      </c>
      <c r="S79" s="23" t="s">
        <v>1722</v>
      </c>
      <c r="T79" s="23" t="s">
        <v>1722</v>
      </c>
      <c r="U79" s="27" t="s">
        <v>1722</v>
      </c>
      <c r="V79" s="27" t="s">
        <v>1722</v>
      </c>
    </row>
    <row r="80" spans="1:22" s="46" customFormat="1" ht="15" customHeight="1" x14ac:dyDescent="0.25">
      <c r="A80" s="46" t="s">
        <v>2401</v>
      </c>
      <c r="B80" s="17" t="s">
        <v>628</v>
      </c>
      <c r="C80" s="17" t="s">
        <v>628</v>
      </c>
      <c r="D80" s="23" t="s">
        <v>628</v>
      </c>
      <c r="E80" s="23" t="s">
        <v>628</v>
      </c>
      <c r="F80" s="27" t="s">
        <v>628</v>
      </c>
      <c r="G80" s="43" t="s">
        <v>628</v>
      </c>
      <c r="H80" s="46" t="e">
        <f ca="1">AI_2YR_AVE(A28)</f>
        <v>#NAME?</v>
      </c>
      <c r="I80" s="46" t="e">
        <f ca="1">AI_2YR_AVE(A28)</f>
        <v>#NAME?</v>
      </c>
      <c r="M80" s="16"/>
      <c r="N80" s="25"/>
      <c r="O80" s="28"/>
      <c r="P80" s="31"/>
      <c r="Q80" s="17" t="s">
        <v>628</v>
      </c>
      <c r="R80" s="17" t="s">
        <v>628</v>
      </c>
      <c r="S80" s="23" t="s">
        <v>628</v>
      </c>
      <c r="T80" s="23" t="s">
        <v>628</v>
      </c>
      <c r="U80" s="27" t="s">
        <v>628</v>
      </c>
      <c r="V80" s="27" t="s">
        <v>628</v>
      </c>
    </row>
    <row r="81" spans="1:22" s="46" customFormat="1" ht="15" customHeight="1" x14ac:dyDescent="0.25">
      <c r="A81" s="46" t="s">
        <v>2400</v>
      </c>
      <c r="B81" s="17" t="s">
        <v>294</v>
      </c>
      <c r="C81" s="17" t="s">
        <v>1684</v>
      </c>
      <c r="D81" s="23" t="s">
        <v>632</v>
      </c>
      <c r="E81" s="23" t="s">
        <v>1946</v>
      </c>
      <c r="F81" s="27" t="s">
        <v>844</v>
      </c>
      <c r="G81" s="43" t="s">
        <v>2105</v>
      </c>
      <c r="M81" s="16"/>
      <c r="N81" s="25"/>
      <c r="O81" s="28"/>
      <c r="P81" s="31"/>
      <c r="Q81" s="17" t="s">
        <v>294</v>
      </c>
      <c r="R81" s="17" t="s">
        <v>294</v>
      </c>
      <c r="S81" s="23" t="s">
        <v>632</v>
      </c>
      <c r="T81" s="23" t="s">
        <v>632</v>
      </c>
      <c r="U81" s="27" t="s">
        <v>844</v>
      </c>
      <c r="V81" s="27" t="s">
        <v>844</v>
      </c>
    </row>
    <row r="82" spans="1:22" s="46" customFormat="1" ht="15" customHeight="1" x14ac:dyDescent="0.25">
      <c r="A82" s="46" t="s">
        <v>2403</v>
      </c>
      <c r="B82" s="17" t="s">
        <v>295</v>
      </c>
      <c r="C82" s="17" t="s">
        <v>1685</v>
      </c>
      <c r="D82" s="23" t="s">
        <v>665</v>
      </c>
      <c r="E82" s="23" t="s">
        <v>1979</v>
      </c>
      <c r="F82" s="27" t="s">
        <v>845</v>
      </c>
      <c r="G82" s="43" t="s">
        <v>2106</v>
      </c>
      <c r="M82" s="16"/>
      <c r="N82" s="25"/>
      <c r="O82" s="28"/>
      <c r="P82" s="31"/>
      <c r="Q82" s="17" t="s">
        <v>295</v>
      </c>
      <c r="R82" s="17" t="s">
        <v>295</v>
      </c>
      <c r="S82" s="23" t="s">
        <v>665</v>
      </c>
      <c r="T82" s="23" t="s">
        <v>665</v>
      </c>
      <c r="U82" s="27" t="s">
        <v>845</v>
      </c>
      <c r="V82" s="27" t="s">
        <v>845</v>
      </c>
    </row>
    <row r="83" spans="1:22" s="46" customFormat="1" ht="15" customHeight="1" x14ac:dyDescent="0.25">
      <c r="A83" s="46" t="s">
        <v>2404</v>
      </c>
      <c r="B83" s="17" t="s">
        <v>311</v>
      </c>
      <c r="C83" s="17" t="s">
        <v>1699</v>
      </c>
      <c r="D83" s="23" t="s">
        <v>669</v>
      </c>
      <c r="E83" s="23" t="s">
        <v>1983</v>
      </c>
      <c r="F83" s="27" t="s">
        <v>802</v>
      </c>
      <c r="G83" s="43" t="s">
        <v>2116</v>
      </c>
      <c r="M83" s="16"/>
      <c r="N83" s="25"/>
      <c r="O83" s="28"/>
      <c r="P83" s="31"/>
      <c r="Q83" s="17" t="s">
        <v>311</v>
      </c>
      <c r="R83" s="17" t="s">
        <v>311</v>
      </c>
      <c r="S83" s="23" t="s">
        <v>669</v>
      </c>
      <c r="T83" s="23" t="s">
        <v>669</v>
      </c>
      <c r="U83" s="27" t="s">
        <v>802</v>
      </c>
      <c r="V83" s="27" t="s">
        <v>802</v>
      </c>
    </row>
    <row r="84" spans="1:22" s="46" customFormat="1" ht="15" customHeight="1" x14ac:dyDescent="0.25">
      <c r="A84" s="19" t="s">
        <v>1897</v>
      </c>
      <c r="B84" s="17" t="s">
        <v>2402</v>
      </c>
      <c r="C84" s="17" t="s">
        <v>2402</v>
      </c>
      <c r="D84" s="23" t="s">
        <v>2402</v>
      </c>
      <c r="E84" s="23" t="s">
        <v>2402</v>
      </c>
      <c r="F84" s="27" t="s">
        <v>2402</v>
      </c>
      <c r="G84" s="43" t="s">
        <v>2402</v>
      </c>
      <c r="H84" s="46" t="e">
        <f ca="1">AI_DIV(A81,A$80)</f>
        <v>#NAME?</v>
      </c>
      <c r="I84" s="46" t="e">
        <f ca="1">AI_DIV(A81,A$80)</f>
        <v>#NAME?</v>
      </c>
      <c r="M84" s="16">
        <v>5</v>
      </c>
      <c r="N84" s="25">
        <v>5</v>
      </c>
      <c r="O84" s="28">
        <v>5</v>
      </c>
      <c r="P84" s="31"/>
      <c r="Q84" s="17" t="s">
        <v>2402</v>
      </c>
      <c r="R84" s="17" t="s">
        <v>2402</v>
      </c>
      <c r="S84" s="23" t="s">
        <v>2402</v>
      </c>
      <c r="T84" s="23" t="s">
        <v>2402</v>
      </c>
      <c r="U84" s="27" t="s">
        <v>2402</v>
      </c>
      <c r="V84" s="27" t="s">
        <v>2402</v>
      </c>
    </row>
    <row r="85" spans="1:22" s="46" customFormat="1" ht="15" customHeight="1" x14ac:dyDescent="0.25">
      <c r="A85" s="19" t="s">
        <v>1898</v>
      </c>
      <c r="B85" s="17" t="s">
        <v>2405</v>
      </c>
      <c r="C85" s="17" t="s">
        <v>2405</v>
      </c>
      <c r="D85" s="23" t="s">
        <v>2405</v>
      </c>
      <c r="E85" s="23" t="s">
        <v>2405</v>
      </c>
      <c r="F85" s="27" t="s">
        <v>2405</v>
      </c>
      <c r="G85" s="43" t="s">
        <v>2405</v>
      </c>
      <c r="H85" s="46" t="e">
        <f t="shared" ref="H85" ca="1" si="0">AI_DIV(A82,A$80)</f>
        <v>#NAME?</v>
      </c>
      <c r="I85" s="46" t="e">
        <f ca="1">AI_DIV(A82,A$80)</f>
        <v>#NAME?</v>
      </c>
      <c r="M85" s="16">
        <v>5</v>
      </c>
      <c r="N85" s="25">
        <v>5</v>
      </c>
      <c r="O85" s="28">
        <v>5</v>
      </c>
      <c r="P85" s="31"/>
      <c r="Q85" s="17" t="s">
        <v>2405</v>
      </c>
      <c r="R85" s="17" t="s">
        <v>2405</v>
      </c>
      <c r="S85" s="23" t="s">
        <v>2405</v>
      </c>
      <c r="T85" s="23" t="s">
        <v>2405</v>
      </c>
      <c r="U85" s="27" t="s">
        <v>2405</v>
      </c>
      <c r="V85" s="27" t="s">
        <v>2405</v>
      </c>
    </row>
    <row r="86" spans="1:22" s="46" customFormat="1" ht="15" customHeight="1" x14ac:dyDescent="0.25">
      <c r="A86" s="19" t="s">
        <v>1899</v>
      </c>
      <c r="B86" s="17" t="s">
        <v>2406</v>
      </c>
      <c r="C86" s="17" t="s">
        <v>2406</v>
      </c>
      <c r="D86" s="23" t="s">
        <v>2406</v>
      </c>
      <c r="E86" s="23" t="s">
        <v>2406</v>
      </c>
      <c r="F86" s="27" t="s">
        <v>2406</v>
      </c>
      <c r="G86" s="43" t="s">
        <v>2406</v>
      </c>
      <c r="H86" s="46" t="e">
        <f ca="1">AI_DIV(A83,A$80)</f>
        <v>#NAME?</v>
      </c>
      <c r="I86" s="46" t="e">
        <f ca="1">AI_DIV(A83,A$80)</f>
        <v>#NAME?</v>
      </c>
      <c r="M86" s="16">
        <v>5</v>
      </c>
      <c r="N86" s="25">
        <v>5</v>
      </c>
      <c r="O86" s="28">
        <v>5</v>
      </c>
      <c r="P86" s="31"/>
      <c r="Q86" s="17" t="s">
        <v>2406</v>
      </c>
      <c r="R86" s="17" t="s">
        <v>2406</v>
      </c>
      <c r="S86" s="23" t="s">
        <v>2406</v>
      </c>
      <c r="T86" s="23" t="s">
        <v>2406</v>
      </c>
      <c r="U86" s="27" t="s">
        <v>2406</v>
      </c>
      <c r="V86" s="27" t="s">
        <v>2406</v>
      </c>
    </row>
    <row r="87" spans="1:22" s="46" customFormat="1" ht="15" customHeight="1" x14ac:dyDescent="0.25">
      <c r="A87" s="46" t="s">
        <v>1900</v>
      </c>
      <c r="B87" s="17" t="s">
        <v>2407</v>
      </c>
      <c r="C87" s="17" t="s">
        <v>2407</v>
      </c>
      <c r="D87" s="23" t="s">
        <v>2407</v>
      </c>
      <c r="E87" s="23" t="s">
        <v>2407</v>
      </c>
      <c r="F87" s="27" t="s">
        <v>2407</v>
      </c>
      <c r="G87" s="43" t="s">
        <v>2407</v>
      </c>
      <c r="H87" s="46" t="e">
        <f ca="1">AI_SUM(A84,A85,A86)</f>
        <v>#NAME?</v>
      </c>
      <c r="I87" s="46" t="e">
        <f ca="1">AI_SUM(A84,A85,A86)</f>
        <v>#NAME?</v>
      </c>
      <c r="M87" s="16">
        <v>5</v>
      </c>
      <c r="N87" s="25">
        <v>5</v>
      </c>
      <c r="O87" s="28">
        <v>5</v>
      </c>
      <c r="P87" s="31"/>
      <c r="Q87" s="17" t="s">
        <v>2407</v>
      </c>
      <c r="R87" s="17" t="s">
        <v>2407</v>
      </c>
      <c r="S87" s="23" t="s">
        <v>2407</v>
      </c>
      <c r="T87" s="23" t="s">
        <v>2407</v>
      </c>
      <c r="U87" s="27" t="s">
        <v>2407</v>
      </c>
      <c r="V87" s="27" t="s">
        <v>2407</v>
      </c>
    </row>
    <row r="88" spans="1:22" s="46" customFormat="1" ht="15" customHeight="1" x14ac:dyDescent="0.25">
      <c r="B88" s="3"/>
      <c r="C88" s="3"/>
      <c r="D88" s="23"/>
      <c r="E88" s="23"/>
      <c r="F88" s="28"/>
      <c r="G88" s="43"/>
      <c r="M88" s="16"/>
      <c r="N88" s="25"/>
      <c r="O88" s="28"/>
      <c r="P88" s="31"/>
      <c r="Q88" s="16"/>
      <c r="R88" s="16"/>
      <c r="S88" s="25"/>
      <c r="T88" s="25"/>
      <c r="U88" s="28"/>
      <c r="V88" s="28"/>
    </row>
    <row r="89" spans="1:22" s="46" customFormat="1" ht="15" customHeight="1" x14ac:dyDescent="0.25">
      <c r="B89" s="3"/>
      <c r="C89" s="3"/>
      <c r="D89" s="23"/>
      <c r="E89" s="23"/>
      <c r="F89" s="28"/>
      <c r="G89" s="43"/>
      <c r="M89" s="16"/>
      <c r="N89" s="25"/>
      <c r="O89" s="28"/>
      <c r="P89" s="31"/>
      <c r="Q89" s="16"/>
      <c r="R89" s="16"/>
      <c r="S89" s="25"/>
      <c r="T89" s="25"/>
      <c r="U89" s="28"/>
      <c r="V89" s="28"/>
    </row>
    <row r="90" spans="1:22" s="46" customFormat="1" ht="15" customHeight="1" x14ac:dyDescent="0.25">
      <c r="B90" s="17"/>
      <c r="C90" s="17"/>
      <c r="D90" s="23"/>
      <c r="E90" s="23"/>
      <c r="F90" s="28"/>
      <c r="G90" s="43"/>
      <c r="M90" s="16"/>
      <c r="N90" s="25"/>
      <c r="O90" s="28"/>
      <c r="P90" s="31"/>
      <c r="Q90" s="16"/>
      <c r="R90" s="16"/>
      <c r="S90" s="25"/>
      <c r="T90" s="25"/>
      <c r="U90" s="28"/>
      <c r="V90" s="28"/>
    </row>
    <row r="91" spans="1:22" s="46" customFormat="1" ht="15" customHeight="1" x14ac:dyDescent="0.25">
      <c r="B91" s="17"/>
      <c r="C91" s="17"/>
      <c r="D91" s="23"/>
      <c r="E91" s="23"/>
      <c r="F91" s="28"/>
      <c r="G91" s="43"/>
      <c r="M91" s="16"/>
      <c r="N91" s="25"/>
      <c r="O91" s="28"/>
      <c r="P91" s="31"/>
      <c r="Q91" s="16"/>
      <c r="R91" s="16"/>
      <c r="S91" s="25"/>
      <c r="T91" s="25"/>
      <c r="U91" s="28"/>
      <c r="V91" s="28"/>
    </row>
    <row r="92" spans="1:22" s="46" customFormat="1" ht="15" customHeight="1" x14ac:dyDescent="0.25">
      <c r="B92" s="17"/>
      <c r="C92" s="17"/>
      <c r="D92" s="23"/>
      <c r="E92" s="23"/>
      <c r="F92" s="28"/>
      <c r="G92" s="441"/>
      <c r="M92" s="16"/>
      <c r="N92" s="25"/>
      <c r="O92" s="28"/>
      <c r="P92" s="31"/>
      <c r="Q92" s="16"/>
      <c r="R92" s="22"/>
      <c r="S92" s="25"/>
      <c r="T92" s="26"/>
      <c r="U92" s="28"/>
      <c r="V92" s="29"/>
    </row>
  </sheetData>
  <autoFilter ref="A1:S87" xr:uid="{00000000-0009-0000-0000-000005000000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A76"/>
  <sheetViews>
    <sheetView topLeftCell="A40" zoomScale="80" zoomScaleNormal="80" workbookViewId="0">
      <selection activeCell="I1" sqref="I1:I1048576"/>
    </sheetView>
  </sheetViews>
  <sheetFormatPr defaultRowHeight="12.75" x14ac:dyDescent="0.25"/>
  <cols>
    <col min="1" max="1" width="51.5703125" style="80" bestFit="1" customWidth="1"/>
    <col min="2" max="10" width="9.140625" style="80"/>
    <col min="11" max="11" width="9.140625" style="361"/>
    <col min="12" max="16384" width="9.140625" style="80"/>
  </cols>
  <sheetData>
    <row r="2" spans="1:27" x14ac:dyDescent="0.25">
      <c r="A2" s="80" t="s">
        <v>2498</v>
      </c>
    </row>
    <row r="3" spans="1:27" x14ac:dyDescent="0.25">
      <c r="A3" s="80" t="s">
        <v>1879</v>
      </c>
      <c r="J3" s="80" t="s">
        <v>1882</v>
      </c>
      <c r="K3" s="361" t="s">
        <v>1883</v>
      </c>
    </row>
    <row r="4" spans="1:27" s="48" customFormat="1" ht="15" customHeight="1" x14ac:dyDescent="0.25">
      <c r="A4" s="20" t="s">
        <v>1880</v>
      </c>
      <c r="B4" s="97" t="s">
        <v>3166</v>
      </c>
      <c r="C4" s="50"/>
      <c r="D4" s="70" t="s">
        <v>3166</v>
      </c>
      <c r="E4" s="70"/>
      <c r="F4" s="49" t="s">
        <v>3166</v>
      </c>
      <c r="G4" s="49"/>
      <c r="H4" s="48" t="e">
        <f ca="1">AI_DIV(Assets!A4,Assets!$A$28)</f>
        <v>#NAME?</v>
      </c>
      <c r="J4" s="77"/>
      <c r="K4" s="362"/>
      <c r="M4" s="50">
        <v>4</v>
      </c>
      <c r="N4" s="70">
        <v>4</v>
      </c>
      <c r="O4" s="49">
        <v>4</v>
      </c>
      <c r="P4" s="245"/>
      <c r="Q4" s="46"/>
      <c r="R4" s="31"/>
      <c r="S4" s="79"/>
      <c r="T4" s="79"/>
      <c r="U4" s="79"/>
      <c r="V4" s="79"/>
      <c r="W4" s="79"/>
    </row>
    <row r="5" spans="1:27" s="48" customFormat="1" ht="15" customHeight="1" x14ac:dyDescent="0.25">
      <c r="A5" s="20" t="s">
        <v>2776</v>
      </c>
      <c r="B5" s="97" t="s">
        <v>3168</v>
      </c>
      <c r="C5" s="50"/>
      <c r="D5" s="70" t="s">
        <v>3168</v>
      </c>
      <c r="E5" s="70"/>
      <c r="F5" s="49" t="s">
        <v>3168</v>
      </c>
      <c r="G5" s="49"/>
      <c r="H5" s="48" t="e">
        <f ca="1">AI_DIV(Assets!A5,Assets!$A$28)</f>
        <v>#NAME?</v>
      </c>
      <c r="J5" s="77"/>
      <c r="K5" s="362"/>
      <c r="M5" s="50">
        <v>4</v>
      </c>
      <c r="N5" s="70">
        <v>4</v>
      </c>
      <c r="O5" s="49">
        <v>4</v>
      </c>
      <c r="P5" s="245"/>
      <c r="Q5" s="46"/>
      <c r="R5" s="31"/>
      <c r="S5" s="79"/>
      <c r="T5" s="79"/>
      <c r="U5" s="79"/>
      <c r="V5" s="79"/>
      <c r="W5" s="79"/>
    </row>
    <row r="6" spans="1:27" s="48" customFormat="1" ht="15" customHeight="1" x14ac:dyDescent="0.25">
      <c r="A6" s="20" t="s">
        <v>2777</v>
      </c>
      <c r="B6" s="97" t="s">
        <v>3169</v>
      </c>
      <c r="C6" s="50"/>
      <c r="D6" s="70" t="s">
        <v>3169</v>
      </c>
      <c r="E6" s="70"/>
      <c r="F6" s="49" t="s">
        <v>3169</v>
      </c>
      <c r="G6" s="49"/>
      <c r="H6" s="48" t="e">
        <f ca="1">AI_DIV(Assets!A6,Assets!$A$28)</f>
        <v>#NAME?</v>
      </c>
      <c r="J6" s="77"/>
      <c r="K6" s="362"/>
      <c r="M6" s="50">
        <v>4</v>
      </c>
      <c r="N6" s="70">
        <v>4</v>
      </c>
      <c r="O6" s="49">
        <v>4</v>
      </c>
      <c r="P6" s="245"/>
      <c r="Q6" s="20"/>
      <c r="R6" s="30"/>
      <c r="S6" s="79"/>
      <c r="T6" s="79"/>
      <c r="U6" s="79"/>
      <c r="V6" s="79"/>
      <c r="W6" s="79"/>
    </row>
    <row r="7" spans="1:27" s="48" customFormat="1" ht="15" customHeight="1" x14ac:dyDescent="0.25">
      <c r="A7" s="20" t="s">
        <v>2778</v>
      </c>
      <c r="B7" s="97" t="s">
        <v>3170</v>
      </c>
      <c r="C7" s="50"/>
      <c r="D7" s="70" t="s">
        <v>3170</v>
      </c>
      <c r="E7" s="70"/>
      <c r="F7" s="49" t="s">
        <v>3170</v>
      </c>
      <c r="G7" s="49"/>
      <c r="H7" s="48" t="e">
        <f ca="1">AI_DIV(Assets!A7,Assets!$A$28)</f>
        <v>#NAME?</v>
      </c>
      <c r="J7" s="77"/>
      <c r="K7" s="362"/>
      <c r="M7" s="50">
        <v>4</v>
      </c>
      <c r="N7" s="70">
        <v>4</v>
      </c>
      <c r="O7" s="49">
        <v>4</v>
      </c>
      <c r="P7" s="245"/>
      <c r="Q7" s="20"/>
      <c r="R7" s="30"/>
      <c r="S7" s="79"/>
      <c r="T7" s="79"/>
      <c r="U7" s="79"/>
      <c r="V7" s="79"/>
      <c r="W7" s="79"/>
    </row>
    <row r="8" spans="1:27" s="48" customFormat="1" ht="15" customHeight="1" x14ac:dyDescent="0.25">
      <c r="A8" s="20" t="s">
        <v>2785</v>
      </c>
      <c r="B8" s="97" t="s">
        <v>3171</v>
      </c>
      <c r="C8" s="50"/>
      <c r="D8" s="70" t="s">
        <v>3171</v>
      </c>
      <c r="E8" s="70"/>
      <c r="F8" s="49" t="s">
        <v>3171</v>
      </c>
      <c r="G8" s="49"/>
      <c r="H8" s="48" t="e">
        <f ca="1">AI_DIV(Assets!A8,Assets!$A$28)</f>
        <v>#NAME?</v>
      </c>
      <c r="J8" s="77"/>
      <c r="K8" s="362"/>
      <c r="M8" s="50">
        <v>4</v>
      </c>
      <c r="N8" s="70">
        <v>4</v>
      </c>
      <c r="O8" s="49">
        <v>4</v>
      </c>
      <c r="P8" s="245"/>
      <c r="Q8" s="20"/>
      <c r="R8" s="30"/>
      <c r="S8" s="79"/>
      <c r="T8" s="79"/>
      <c r="U8" s="79"/>
      <c r="V8" s="79"/>
      <c r="W8" s="79"/>
    </row>
    <row r="9" spans="1:27" s="48" customFormat="1" ht="15" customHeight="1" x14ac:dyDescent="0.25">
      <c r="A9" s="20" t="s">
        <v>1801</v>
      </c>
      <c r="B9" s="97" t="s">
        <v>3172</v>
      </c>
      <c r="C9" s="50"/>
      <c r="D9" s="70" t="s">
        <v>3172</v>
      </c>
      <c r="E9" s="70"/>
      <c r="F9" s="49" t="s">
        <v>3172</v>
      </c>
      <c r="G9" s="49"/>
      <c r="H9" s="48" t="e">
        <f ca="1">AI_DIV(Assets!A9,Assets!$A$28)</f>
        <v>#NAME?</v>
      </c>
      <c r="J9" s="77"/>
      <c r="K9" s="362"/>
      <c r="M9" s="50">
        <v>4</v>
      </c>
      <c r="N9" s="70">
        <v>4</v>
      </c>
      <c r="O9" s="49">
        <v>4</v>
      </c>
      <c r="P9" s="245"/>
      <c r="Q9" s="20"/>
      <c r="R9" s="30"/>
      <c r="S9" s="79"/>
      <c r="T9" s="79"/>
      <c r="U9" s="79"/>
      <c r="V9" s="79"/>
      <c r="W9" s="79"/>
    </row>
    <row r="10" spans="1:27" s="48" customFormat="1" ht="15" customHeight="1" x14ac:dyDescent="0.25">
      <c r="A10" s="20" t="s">
        <v>1906</v>
      </c>
      <c r="B10" s="97" t="s">
        <v>3173</v>
      </c>
      <c r="C10" s="50"/>
      <c r="D10" s="70" t="s">
        <v>3173</v>
      </c>
      <c r="E10" s="70"/>
      <c r="F10" s="49" t="s">
        <v>3173</v>
      </c>
      <c r="G10" s="49"/>
      <c r="H10" s="48" t="e">
        <f ca="1">AI_DIV(Assets!A28,Assets!$A$28)</f>
        <v>#NAME?</v>
      </c>
      <c r="J10" s="77"/>
      <c r="K10" s="362"/>
      <c r="M10" s="50">
        <v>4</v>
      </c>
      <c r="N10" s="70">
        <v>4</v>
      </c>
      <c r="O10" s="49">
        <v>4</v>
      </c>
      <c r="P10" s="245"/>
      <c r="Q10" s="20"/>
      <c r="R10" s="30"/>
      <c r="S10" s="79"/>
      <c r="T10" s="79"/>
      <c r="U10" s="79"/>
      <c r="V10" s="79"/>
      <c r="W10" s="79"/>
    </row>
    <row r="11" spans="1:27" s="48" customFormat="1" ht="15" customHeight="1" x14ac:dyDescent="0.25">
      <c r="A11" s="20" t="s">
        <v>1573</v>
      </c>
      <c r="B11" s="97" t="s">
        <v>3174</v>
      </c>
      <c r="C11" s="50"/>
      <c r="D11" s="70" t="s">
        <v>3174</v>
      </c>
      <c r="E11" s="70"/>
      <c r="F11" s="49" t="s">
        <v>3174</v>
      </c>
      <c r="G11" s="49"/>
      <c r="H11" s="48" t="e">
        <f ca="1">AI_SET_DF(Assets!A73)</f>
        <v>#NAME?</v>
      </c>
      <c r="J11" s="77"/>
      <c r="K11" s="362"/>
      <c r="M11" s="50">
        <v>4</v>
      </c>
      <c r="N11" s="70">
        <v>4</v>
      </c>
      <c r="O11" s="49">
        <v>4</v>
      </c>
      <c r="P11" s="245"/>
    </row>
    <row r="12" spans="1:27" s="48" customFormat="1" ht="15" customHeight="1" x14ac:dyDescent="0.25">
      <c r="A12" s="20" t="s">
        <v>1896</v>
      </c>
      <c r="B12" s="97" t="s">
        <v>3175</v>
      </c>
      <c r="C12" s="50"/>
      <c r="D12" s="70" t="s">
        <v>3175</v>
      </c>
      <c r="E12" s="70"/>
      <c r="F12" s="49" t="s">
        <v>3175</v>
      </c>
      <c r="G12" s="49"/>
      <c r="H12" s="48" t="e">
        <f ca="1">AI_SET_DF(Assets!A74)</f>
        <v>#NAME?</v>
      </c>
      <c r="J12" s="77"/>
      <c r="K12" s="362"/>
      <c r="M12" s="50">
        <v>4</v>
      </c>
      <c r="N12" s="70">
        <v>4</v>
      </c>
      <c r="O12" s="49">
        <v>4</v>
      </c>
      <c r="P12" s="245"/>
    </row>
    <row r="13" spans="1:27" s="48" customFormat="1" ht="15" customHeight="1" x14ac:dyDescent="0.25">
      <c r="A13" s="20" t="s">
        <v>3165</v>
      </c>
      <c r="B13" s="97" t="s">
        <v>3176</v>
      </c>
      <c r="C13" s="50"/>
      <c r="D13" s="70" t="s">
        <v>3176</v>
      </c>
      <c r="E13" s="70"/>
      <c r="F13" s="49" t="s">
        <v>3176</v>
      </c>
      <c r="G13" s="49"/>
      <c r="H13" s="48" t="e">
        <f ca="1">AI_SET_DF(Assets!A75)</f>
        <v>#NAME?</v>
      </c>
      <c r="J13" s="77"/>
      <c r="K13" s="362"/>
      <c r="M13" s="50">
        <v>4</v>
      </c>
      <c r="N13" s="70">
        <v>4</v>
      </c>
      <c r="O13" s="49">
        <v>4</v>
      </c>
      <c r="P13" s="245"/>
      <c r="Y13" s="79"/>
      <c r="Z13" s="79"/>
      <c r="AA13" s="79"/>
    </row>
    <row r="14" spans="1:27" s="48" customFormat="1" ht="15" customHeight="1" x14ac:dyDescent="0.25">
      <c r="A14" s="20" t="s">
        <v>3223</v>
      </c>
      <c r="B14" s="97" t="s">
        <v>3177</v>
      </c>
      <c r="C14" s="50"/>
      <c r="D14" s="70" t="s">
        <v>3177</v>
      </c>
      <c r="E14" s="70"/>
      <c r="F14" s="49" t="s">
        <v>3177</v>
      </c>
      <c r="G14" s="49"/>
      <c r="H14" s="48" t="e">
        <f ca="1">AI_SET_DF(Assets!A76)</f>
        <v>#NAME?</v>
      </c>
      <c r="J14" s="77"/>
      <c r="K14" s="362"/>
      <c r="M14" s="50">
        <v>4</v>
      </c>
      <c r="N14" s="70">
        <v>4</v>
      </c>
      <c r="O14" s="49">
        <v>4</v>
      </c>
      <c r="P14" s="245"/>
      <c r="Y14" s="79"/>
      <c r="Z14" s="79"/>
      <c r="AA14" s="79"/>
    </row>
    <row r="15" spans="1:27" s="48" customFormat="1" ht="15" customHeight="1" x14ac:dyDescent="0.25">
      <c r="A15" s="20" t="s">
        <v>2448</v>
      </c>
      <c r="B15" s="97" t="s">
        <v>3178</v>
      </c>
      <c r="C15" s="50"/>
      <c r="D15" s="70" t="s">
        <v>3178</v>
      </c>
      <c r="E15" s="70"/>
      <c r="F15" s="49" t="s">
        <v>3178</v>
      </c>
      <c r="G15" s="49"/>
      <c r="H15" s="48" t="e">
        <f ca="1">AI_SET_DF(Assets!A77)</f>
        <v>#NAME?</v>
      </c>
      <c r="J15" s="77"/>
      <c r="K15" s="362"/>
      <c r="M15" s="50">
        <v>4</v>
      </c>
      <c r="N15" s="70">
        <v>4</v>
      </c>
      <c r="O15" s="49">
        <v>4</v>
      </c>
      <c r="P15" s="245"/>
      <c r="Y15" s="79"/>
      <c r="Z15" s="79"/>
      <c r="AA15" s="79"/>
    </row>
    <row r="16" spans="1:27" s="48" customFormat="1" ht="15" customHeight="1" x14ac:dyDescent="0.25">
      <c r="A16" s="20" t="s">
        <v>3224</v>
      </c>
      <c r="B16" s="97" t="s">
        <v>3179</v>
      </c>
      <c r="C16" s="50"/>
      <c r="D16" s="70" t="s">
        <v>3179</v>
      </c>
      <c r="E16" s="70"/>
      <c r="F16" s="49" t="s">
        <v>3179</v>
      </c>
      <c r="G16" s="49"/>
      <c r="H16" s="48" t="e">
        <f ca="1">AI_SET_DF(Assets!A78)</f>
        <v>#NAME?</v>
      </c>
      <c r="J16" s="77"/>
      <c r="K16" s="362"/>
      <c r="M16" s="50">
        <v>4</v>
      </c>
      <c r="N16" s="70">
        <v>4</v>
      </c>
      <c r="O16" s="49">
        <v>4</v>
      </c>
      <c r="P16" s="245"/>
    </row>
    <row r="17" spans="1:23" s="48" customFormat="1" ht="15" customHeight="1" x14ac:dyDescent="0.25">
      <c r="A17" s="20" t="s">
        <v>1768</v>
      </c>
      <c r="B17" s="97" t="s">
        <v>3180</v>
      </c>
      <c r="C17" s="50"/>
      <c r="D17" s="70" t="s">
        <v>3180</v>
      </c>
      <c r="E17" s="70"/>
      <c r="F17" s="49" t="s">
        <v>3180</v>
      </c>
      <c r="G17" s="49"/>
      <c r="H17" s="48" t="e">
        <f ca="1">AI_DIV(Liquid_Assets!A4,Liquid_Assets!A54)</f>
        <v>#NAME?</v>
      </c>
      <c r="J17" s="77"/>
      <c r="K17" s="362"/>
      <c r="M17" s="50">
        <v>4</v>
      </c>
      <c r="N17" s="70">
        <v>4</v>
      </c>
      <c r="O17" s="49">
        <v>4</v>
      </c>
      <c r="P17" s="245"/>
      <c r="Q17" s="20"/>
      <c r="R17" s="30"/>
      <c r="S17" s="79"/>
      <c r="T17" s="79"/>
      <c r="U17" s="79"/>
      <c r="V17" s="79"/>
      <c r="W17" s="79"/>
    </row>
    <row r="18" spans="1:23" s="48" customFormat="1" ht="15" customHeight="1" x14ac:dyDescent="0.25">
      <c r="A18" s="20" t="s">
        <v>2516</v>
      </c>
      <c r="B18" s="97" t="s">
        <v>3181</v>
      </c>
      <c r="C18" s="50"/>
      <c r="D18" s="70" t="s">
        <v>3181</v>
      </c>
      <c r="E18" s="70"/>
      <c r="F18" s="49" t="s">
        <v>3181</v>
      </c>
      <c r="G18" s="49"/>
      <c r="H18" s="48" t="e">
        <f ca="1">AI_DIV(Liquid_Assets!A8,Liquid_Assets!$A$54)</f>
        <v>#NAME?</v>
      </c>
      <c r="J18" s="77"/>
      <c r="K18" s="362"/>
      <c r="M18" s="50">
        <v>4</v>
      </c>
      <c r="N18" s="70">
        <v>4</v>
      </c>
      <c r="O18" s="49">
        <v>4</v>
      </c>
      <c r="P18" s="245"/>
      <c r="Q18" s="20"/>
      <c r="R18" s="30"/>
      <c r="S18" s="79"/>
      <c r="T18" s="79"/>
      <c r="U18" s="79"/>
      <c r="V18" s="79"/>
      <c r="W18" s="79"/>
    </row>
    <row r="19" spans="1:23" s="48" customFormat="1" ht="15" customHeight="1" x14ac:dyDescent="0.25">
      <c r="A19" s="20" t="s">
        <v>2523</v>
      </c>
      <c r="B19" s="97" t="s">
        <v>3182</v>
      </c>
      <c r="C19" s="50"/>
      <c r="D19" s="70" t="s">
        <v>3182</v>
      </c>
      <c r="E19" s="70"/>
      <c r="F19" s="49" t="s">
        <v>3182</v>
      </c>
      <c r="G19" s="49"/>
      <c r="H19" s="48" t="e">
        <f ca="1">AI_DIV(Liquid_Assets!A9,Liquid_Assets!$A$54)</f>
        <v>#NAME?</v>
      </c>
      <c r="J19" s="77"/>
      <c r="K19" s="362"/>
      <c r="M19" s="50">
        <v>4</v>
      </c>
      <c r="N19" s="70">
        <v>4</v>
      </c>
      <c r="O19" s="49">
        <v>4</v>
      </c>
      <c r="P19" s="245"/>
      <c r="Q19" s="20"/>
      <c r="R19" s="30"/>
      <c r="S19" s="79"/>
      <c r="T19" s="79"/>
      <c r="U19" s="79"/>
      <c r="V19" s="79"/>
      <c r="W19" s="79"/>
    </row>
    <row r="20" spans="1:23" s="48" customFormat="1" ht="15" customHeight="1" x14ac:dyDescent="0.25">
      <c r="A20" s="20" t="s">
        <v>1776</v>
      </c>
      <c r="B20" s="97" t="s">
        <v>3183</v>
      </c>
      <c r="C20" s="50"/>
      <c r="D20" s="70" t="s">
        <v>3183</v>
      </c>
      <c r="E20" s="70"/>
      <c r="F20" s="49" t="s">
        <v>3183</v>
      </c>
      <c r="G20" s="49"/>
      <c r="H20" s="48" t="e">
        <f ca="1">AI_DIV(Liquid_Assets!A10,Liquid_Assets!$A$54)</f>
        <v>#NAME?</v>
      </c>
      <c r="J20" s="77"/>
      <c r="K20" s="362"/>
      <c r="M20" s="50">
        <v>4</v>
      </c>
      <c r="N20" s="70">
        <v>4</v>
      </c>
      <c r="O20" s="49">
        <v>4</v>
      </c>
      <c r="P20" s="245"/>
      <c r="Q20" s="20"/>
      <c r="R20" s="30"/>
      <c r="S20" s="79"/>
      <c r="T20" s="79"/>
      <c r="U20" s="79"/>
      <c r="V20" s="79"/>
      <c r="W20" s="79"/>
    </row>
    <row r="21" spans="1:23" s="48" customFormat="1" ht="15" customHeight="1" x14ac:dyDescent="0.25">
      <c r="A21" s="20" t="s">
        <v>1777</v>
      </c>
      <c r="B21" s="97" t="s">
        <v>3184</v>
      </c>
      <c r="C21" s="50"/>
      <c r="D21" s="70" t="s">
        <v>3184</v>
      </c>
      <c r="E21" s="70"/>
      <c r="F21" s="49" t="s">
        <v>3184</v>
      </c>
      <c r="G21" s="49"/>
      <c r="H21" s="48" t="e">
        <f ca="1">AI_DIV(Liquid_Assets!A11,Liquid_Assets!$A$54)</f>
        <v>#NAME?</v>
      </c>
      <c r="J21" s="77"/>
      <c r="K21" s="362"/>
      <c r="M21" s="50">
        <v>4</v>
      </c>
      <c r="N21" s="70">
        <v>4</v>
      </c>
      <c r="O21" s="49">
        <v>4</v>
      </c>
      <c r="P21" s="245"/>
      <c r="Q21" s="20"/>
      <c r="R21" s="30"/>
      <c r="S21" s="79"/>
      <c r="T21" s="79"/>
      <c r="U21" s="79"/>
      <c r="V21" s="79"/>
      <c r="W21" s="79"/>
    </row>
    <row r="22" spans="1:23" s="48" customFormat="1" ht="15" customHeight="1" x14ac:dyDescent="0.25">
      <c r="A22" s="20" t="s">
        <v>1778</v>
      </c>
      <c r="B22" s="97" t="s">
        <v>3185</v>
      </c>
      <c r="C22" s="50"/>
      <c r="D22" s="70" t="s">
        <v>3185</v>
      </c>
      <c r="E22" s="70"/>
      <c r="F22" s="49" t="s">
        <v>3185</v>
      </c>
      <c r="G22" s="49"/>
      <c r="H22" s="48" t="e">
        <f ca="1">AI_DIV(Liquid_Assets!A12,Liquid_Assets!$A$54)</f>
        <v>#NAME?</v>
      </c>
      <c r="J22" s="77"/>
      <c r="K22" s="362"/>
      <c r="M22" s="50">
        <v>4</v>
      </c>
      <c r="N22" s="70">
        <v>4</v>
      </c>
      <c r="O22" s="49">
        <v>4</v>
      </c>
      <c r="P22" s="245"/>
      <c r="Q22" s="20"/>
      <c r="R22" s="30"/>
      <c r="S22" s="79"/>
      <c r="T22" s="79"/>
      <c r="U22" s="79"/>
      <c r="V22" s="79"/>
      <c r="W22" s="79"/>
    </row>
    <row r="23" spans="1:23" s="48" customFormat="1" ht="15" customHeight="1" x14ac:dyDescent="0.25">
      <c r="A23" s="20" t="s">
        <v>1779</v>
      </c>
      <c r="B23" s="97" t="s">
        <v>3186</v>
      </c>
      <c r="C23" s="50"/>
      <c r="D23" s="70" t="s">
        <v>3186</v>
      </c>
      <c r="E23" s="70"/>
      <c r="F23" s="49" t="s">
        <v>3186</v>
      </c>
      <c r="G23" s="49"/>
      <c r="H23" s="48" t="e">
        <f ca="1">AI_DIV(Liquid_Assets!A13,Liquid_Assets!$A$54)</f>
        <v>#NAME?</v>
      </c>
      <c r="J23" s="77"/>
      <c r="K23" s="362"/>
      <c r="M23" s="50">
        <v>4</v>
      </c>
      <c r="N23" s="70">
        <v>4</v>
      </c>
      <c r="O23" s="49">
        <v>4</v>
      </c>
      <c r="P23" s="245"/>
      <c r="Q23" s="20"/>
      <c r="R23" s="30"/>
      <c r="S23" s="79"/>
      <c r="T23" s="79"/>
      <c r="U23" s="79"/>
      <c r="V23" s="79"/>
      <c r="W23" s="79"/>
    </row>
    <row r="24" spans="1:23" s="48" customFormat="1" ht="15" customHeight="1" x14ac:dyDescent="0.25">
      <c r="A24" s="20" t="s">
        <v>1780</v>
      </c>
      <c r="B24" s="97" t="s">
        <v>3187</v>
      </c>
      <c r="C24" s="50"/>
      <c r="D24" s="70" t="s">
        <v>3187</v>
      </c>
      <c r="E24" s="70"/>
      <c r="F24" s="49" t="s">
        <v>3187</v>
      </c>
      <c r="G24" s="49"/>
      <c r="H24" s="48" t="e">
        <f ca="1">AI_DIV(Liquid_Assets!A14,Liquid_Assets!$A$54)</f>
        <v>#NAME?</v>
      </c>
      <c r="J24" s="77"/>
      <c r="K24" s="362"/>
      <c r="M24" s="50">
        <v>4</v>
      </c>
      <c r="N24" s="70">
        <v>4</v>
      </c>
      <c r="O24" s="49">
        <v>4</v>
      </c>
      <c r="P24" s="245"/>
      <c r="Q24" s="20"/>
      <c r="R24" s="30"/>
      <c r="S24" s="79"/>
      <c r="T24" s="79"/>
      <c r="U24" s="79"/>
      <c r="V24" s="79"/>
      <c r="W24" s="79"/>
    </row>
    <row r="25" spans="1:23" s="48" customFormat="1" ht="15" customHeight="1" x14ac:dyDescent="0.25">
      <c r="A25" s="20" t="s">
        <v>1781</v>
      </c>
      <c r="B25" s="97" t="s">
        <v>3188</v>
      </c>
      <c r="C25" s="50"/>
      <c r="D25" s="70" t="s">
        <v>3188</v>
      </c>
      <c r="E25" s="70"/>
      <c r="F25" s="49" t="s">
        <v>3188</v>
      </c>
      <c r="G25" s="49"/>
      <c r="H25" s="48" t="e">
        <f ca="1">AI_DIV(Liquid_Assets!A15,Liquid_Assets!$A$54)</f>
        <v>#NAME?</v>
      </c>
      <c r="J25" s="77"/>
      <c r="K25" s="362"/>
      <c r="M25" s="50">
        <v>4</v>
      </c>
      <c r="N25" s="70">
        <v>4</v>
      </c>
      <c r="O25" s="49">
        <v>4</v>
      </c>
      <c r="P25" s="245"/>
      <c r="Q25" s="20"/>
      <c r="R25" s="30"/>
      <c r="S25" s="79"/>
      <c r="T25" s="79"/>
      <c r="U25" s="79"/>
      <c r="V25" s="79"/>
      <c r="W25" s="79"/>
    </row>
    <row r="26" spans="1:23" s="48" customFormat="1" ht="15" customHeight="1" x14ac:dyDescent="0.25">
      <c r="A26" s="20" t="s">
        <v>1782</v>
      </c>
      <c r="B26" s="97" t="s">
        <v>3189</v>
      </c>
      <c r="C26" s="50"/>
      <c r="D26" s="70" t="s">
        <v>3189</v>
      </c>
      <c r="E26" s="70"/>
      <c r="F26" s="49" t="s">
        <v>3189</v>
      </c>
      <c r="G26" s="49"/>
      <c r="H26" s="48" t="e">
        <f ca="1">AI_DIV(Liquid_Assets!A16,Liquid_Assets!$A$54)</f>
        <v>#NAME?</v>
      </c>
      <c r="J26" s="77"/>
      <c r="K26" s="362"/>
      <c r="M26" s="50">
        <v>4</v>
      </c>
      <c r="N26" s="70">
        <v>4</v>
      </c>
      <c r="O26" s="49">
        <v>4</v>
      </c>
      <c r="P26" s="245"/>
      <c r="Q26" s="20"/>
      <c r="R26" s="30"/>
      <c r="S26" s="79"/>
      <c r="T26" s="79"/>
      <c r="U26" s="79"/>
      <c r="V26" s="79"/>
      <c r="W26" s="79"/>
    </row>
    <row r="27" spans="1:23" s="48" customFormat="1" ht="15" customHeight="1" x14ac:dyDescent="0.25">
      <c r="A27" s="20" t="s">
        <v>1783</v>
      </c>
      <c r="B27" s="97" t="s">
        <v>3190</v>
      </c>
      <c r="C27" s="50"/>
      <c r="D27" s="70" t="s">
        <v>3190</v>
      </c>
      <c r="E27" s="70"/>
      <c r="F27" s="49" t="s">
        <v>3190</v>
      </c>
      <c r="G27" s="49"/>
      <c r="H27" s="48" t="e">
        <f ca="1">AI_DIV(Liquid_Assets!A17,Liquid_Assets!$A$54)</f>
        <v>#NAME?</v>
      </c>
      <c r="J27" s="77"/>
      <c r="K27" s="362"/>
      <c r="M27" s="50">
        <v>4</v>
      </c>
      <c r="N27" s="70">
        <v>4</v>
      </c>
      <c r="O27" s="49">
        <v>4</v>
      </c>
      <c r="P27" s="245"/>
      <c r="Q27" s="20"/>
      <c r="R27" s="30"/>
      <c r="S27" s="79"/>
      <c r="T27" s="79"/>
      <c r="U27" s="79"/>
      <c r="V27" s="79"/>
      <c r="W27" s="79"/>
    </row>
    <row r="28" spans="1:23" s="48" customFormat="1" ht="15" customHeight="1" x14ac:dyDescent="0.25">
      <c r="A28" s="20" t="s">
        <v>1784</v>
      </c>
      <c r="B28" s="97" t="s">
        <v>3191</v>
      </c>
      <c r="C28" s="50"/>
      <c r="D28" s="70" t="s">
        <v>3191</v>
      </c>
      <c r="E28" s="70"/>
      <c r="F28" s="49" t="s">
        <v>3191</v>
      </c>
      <c r="G28" s="49"/>
      <c r="H28" s="48" t="e">
        <f ca="1">AI_DIV(Liquid_Assets!A18,Liquid_Assets!$A$54)</f>
        <v>#NAME?</v>
      </c>
      <c r="J28" s="77"/>
      <c r="K28" s="362"/>
      <c r="M28" s="50">
        <v>4</v>
      </c>
      <c r="N28" s="70">
        <v>4</v>
      </c>
      <c r="O28" s="49">
        <v>4</v>
      </c>
      <c r="P28" s="245"/>
      <c r="Q28" s="20"/>
      <c r="R28" s="30"/>
      <c r="S28" s="79"/>
      <c r="T28" s="79"/>
      <c r="U28" s="79"/>
      <c r="V28" s="79"/>
      <c r="W28" s="79"/>
    </row>
    <row r="29" spans="1:23" s="48" customFormat="1" ht="15" customHeight="1" x14ac:dyDescent="0.25">
      <c r="A29" s="20" t="s">
        <v>1803</v>
      </c>
      <c r="B29" s="97" t="s">
        <v>3192</v>
      </c>
      <c r="C29" s="50"/>
      <c r="D29" s="70" t="s">
        <v>3192</v>
      </c>
      <c r="E29" s="70"/>
      <c r="F29" s="49" t="s">
        <v>3192</v>
      </c>
      <c r="G29" s="49"/>
      <c r="H29" s="48" t="e">
        <f ca="1">AI_DIV(Liquid_Assets!A19,Liquid_Assets!$A$54)</f>
        <v>#NAME?</v>
      </c>
      <c r="J29" s="77"/>
      <c r="K29" s="362"/>
      <c r="M29" s="50">
        <v>4</v>
      </c>
      <c r="N29" s="70">
        <v>4</v>
      </c>
      <c r="O29" s="49">
        <v>4</v>
      </c>
      <c r="P29" s="245"/>
      <c r="Q29" s="20"/>
      <c r="R29" s="79"/>
      <c r="S29" s="79"/>
      <c r="T29" s="79"/>
      <c r="U29" s="79"/>
      <c r="V29" s="79"/>
      <c r="W29" s="79"/>
    </row>
    <row r="30" spans="1:23" s="48" customFormat="1" ht="15" customHeight="1" x14ac:dyDescent="0.25">
      <c r="A30" s="20" t="s">
        <v>1785</v>
      </c>
      <c r="B30" s="97" t="s">
        <v>3193</v>
      </c>
      <c r="C30" s="50"/>
      <c r="D30" s="70" t="s">
        <v>3193</v>
      </c>
      <c r="E30" s="70"/>
      <c r="F30" s="49" t="s">
        <v>3193</v>
      </c>
      <c r="G30" s="49"/>
      <c r="H30" s="48" t="e">
        <f ca="1">AI_DIV(Liquid_Assets!A21,Liquid_Assets!$A$54)</f>
        <v>#NAME?</v>
      </c>
      <c r="J30" s="77"/>
      <c r="K30" s="362"/>
      <c r="M30" s="50">
        <v>4</v>
      </c>
      <c r="N30" s="70">
        <v>4</v>
      </c>
      <c r="O30" s="49">
        <v>4</v>
      </c>
      <c r="P30" s="245"/>
      <c r="Q30" s="20"/>
    </row>
    <row r="31" spans="1:23" s="48" customFormat="1" ht="15" customHeight="1" x14ac:dyDescent="0.25">
      <c r="A31" s="20" t="s">
        <v>1786</v>
      </c>
      <c r="B31" s="97" t="s">
        <v>3194</v>
      </c>
      <c r="C31" s="50"/>
      <c r="D31" s="70" t="s">
        <v>3194</v>
      </c>
      <c r="E31" s="70"/>
      <c r="F31" s="49" t="s">
        <v>3194</v>
      </c>
      <c r="G31" s="49"/>
      <c r="H31" s="48" t="e">
        <f ca="1">AI_DIV(Liquid_Assets!A22,Liquid_Assets!$A$54)</f>
        <v>#NAME?</v>
      </c>
      <c r="J31" s="77"/>
      <c r="K31" s="362"/>
      <c r="M31" s="50">
        <v>4</v>
      </c>
      <c r="N31" s="70">
        <v>4</v>
      </c>
      <c r="O31" s="49">
        <v>4</v>
      </c>
      <c r="P31" s="245"/>
      <c r="Q31" s="20"/>
    </row>
    <row r="32" spans="1:23" s="48" customFormat="1" ht="15" customHeight="1" x14ac:dyDescent="0.25">
      <c r="A32" s="20" t="s">
        <v>1787</v>
      </c>
      <c r="B32" s="97" t="s">
        <v>3195</v>
      </c>
      <c r="C32" s="50"/>
      <c r="D32" s="70" t="s">
        <v>3195</v>
      </c>
      <c r="E32" s="70"/>
      <c r="F32" s="49" t="s">
        <v>3195</v>
      </c>
      <c r="G32" s="49"/>
      <c r="H32" s="48" t="e">
        <f ca="1">AI_DIV(Liquid_Assets!A23,Liquid_Assets!$A$54)</f>
        <v>#NAME?</v>
      </c>
      <c r="J32" s="77"/>
      <c r="K32" s="362"/>
      <c r="M32" s="50">
        <v>4</v>
      </c>
      <c r="N32" s="70">
        <v>4</v>
      </c>
      <c r="O32" s="49">
        <v>4</v>
      </c>
      <c r="P32" s="245"/>
      <c r="Q32" s="20"/>
    </row>
    <row r="33" spans="1:17" s="48" customFormat="1" ht="15" customHeight="1" x14ac:dyDescent="0.25">
      <c r="A33" s="20" t="s">
        <v>1789</v>
      </c>
      <c r="B33" s="97" t="s">
        <v>3196</v>
      </c>
      <c r="C33" s="50"/>
      <c r="D33" s="70" t="s">
        <v>3196</v>
      </c>
      <c r="E33" s="70"/>
      <c r="F33" s="49" t="s">
        <v>3196</v>
      </c>
      <c r="G33" s="49"/>
      <c r="H33" s="48" t="e">
        <f ca="1">AI_DIV(Liquid_Assets!A24,Liquid_Assets!$A$54)</f>
        <v>#NAME?</v>
      </c>
      <c r="J33" s="77"/>
      <c r="K33" s="362"/>
      <c r="M33" s="50">
        <v>4</v>
      </c>
      <c r="N33" s="70">
        <v>4</v>
      </c>
      <c r="O33" s="49">
        <v>4</v>
      </c>
      <c r="P33" s="245"/>
      <c r="Q33" s="20"/>
    </row>
    <row r="34" spans="1:17" s="48" customFormat="1" ht="15" customHeight="1" x14ac:dyDescent="0.25">
      <c r="A34" s="20" t="s">
        <v>1790</v>
      </c>
      <c r="B34" s="97" t="s">
        <v>3197</v>
      </c>
      <c r="C34" s="50"/>
      <c r="D34" s="70" t="s">
        <v>3197</v>
      </c>
      <c r="E34" s="70"/>
      <c r="F34" s="49" t="s">
        <v>3197</v>
      </c>
      <c r="G34" s="49"/>
      <c r="H34" s="48" t="e">
        <f ca="1">AI_DIV(Liquid_Assets!A25,Liquid_Assets!$A$54)</f>
        <v>#NAME?</v>
      </c>
      <c r="J34" s="77"/>
      <c r="K34" s="362"/>
      <c r="M34" s="50">
        <v>4</v>
      </c>
      <c r="N34" s="70">
        <v>4</v>
      </c>
      <c r="O34" s="49">
        <v>4</v>
      </c>
      <c r="P34" s="245"/>
      <c r="Q34" s="20"/>
    </row>
    <row r="35" spans="1:17" s="48" customFormat="1" ht="15" customHeight="1" x14ac:dyDescent="0.25">
      <c r="A35" s="20" t="s">
        <v>1791</v>
      </c>
      <c r="B35" s="97" t="s">
        <v>3198</v>
      </c>
      <c r="C35" s="50"/>
      <c r="D35" s="70" t="s">
        <v>3198</v>
      </c>
      <c r="E35" s="70"/>
      <c r="F35" s="49" t="s">
        <v>3198</v>
      </c>
      <c r="G35" s="49"/>
      <c r="H35" s="48" t="e">
        <f ca="1">AI_DIV(Liquid_Assets!A27,Liquid_Assets!$A$54)</f>
        <v>#NAME?</v>
      </c>
      <c r="J35" s="77"/>
      <c r="K35" s="362"/>
      <c r="M35" s="50">
        <v>4</v>
      </c>
      <c r="N35" s="70">
        <v>4</v>
      </c>
      <c r="O35" s="49">
        <v>4</v>
      </c>
      <c r="P35" s="245"/>
      <c r="Q35" s="20"/>
    </row>
    <row r="36" spans="1:17" s="48" customFormat="1" ht="15" customHeight="1" x14ac:dyDescent="0.25">
      <c r="A36" s="20" t="s">
        <v>1788</v>
      </c>
      <c r="B36" s="97" t="s">
        <v>3199</v>
      </c>
      <c r="C36" s="50"/>
      <c r="D36" s="70" t="s">
        <v>3199</v>
      </c>
      <c r="E36" s="70"/>
      <c r="F36" s="49" t="s">
        <v>3199</v>
      </c>
      <c r="G36" s="49"/>
      <c r="H36" s="48" t="e">
        <f ca="1">AI_DIV(Liquid_Assets!A28,Liquid_Assets!$A$54)</f>
        <v>#NAME?</v>
      </c>
      <c r="J36" s="77"/>
      <c r="K36" s="362"/>
      <c r="M36" s="50">
        <v>4</v>
      </c>
      <c r="N36" s="70">
        <v>4</v>
      </c>
      <c r="O36" s="49">
        <v>4</v>
      </c>
      <c r="P36" s="245"/>
      <c r="Q36" s="20"/>
    </row>
    <row r="37" spans="1:17" s="48" customFormat="1" ht="15" customHeight="1" x14ac:dyDescent="0.25">
      <c r="A37" s="20" t="s">
        <v>1792</v>
      </c>
      <c r="B37" s="97" t="s">
        <v>3200</v>
      </c>
      <c r="C37" s="50"/>
      <c r="D37" s="70" t="s">
        <v>3200</v>
      </c>
      <c r="E37" s="70"/>
      <c r="F37" s="49" t="s">
        <v>3200</v>
      </c>
      <c r="G37" s="49"/>
      <c r="H37" s="48" t="e">
        <f ca="1">AI_DIV(Liquid_Assets!A29,Liquid_Assets!$A$54)</f>
        <v>#NAME?</v>
      </c>
      <c r="J37" s="77"/>
      <c r="K37" s="362"/>
      <c r="M37" s="50">
        <v>4</v>
      </c>
      <c r="N37" s="70">
        <v>4</v>
      </c>
      <c r="O37" s="49">
        <v>4</v>
      </c>
      <c r="P37" s="245"/>
      <c r="Q37" s="20"/>
    </row>
    <row r="38" spans="1:17" s="10" customFormat="1" ht="15" customHeight="1" x14ac:dyDescent="0.25">
      <c r="A38" s="12" t="s">
        <v>1793</v>
      </c>
      <c r="B38" s="199" t="s">
        <v>3201</v>
      </c>
      <c r="C38" s="13"/>
      <c r="D38" s="244" t="s">
        <v>3201</v>
      </c>
      <c r="E38" s="244"/>
      <c r="F38" s="45" t="s">
        <v>3201</v>
      </c>
      <c r="G38" s="7"/>
      <c r="H38" s="48" t="e">
        <f ca="1">AI_DIV(Liquid_Assets!A31,Liquid_Assets!$A$54)</f>
        <v>#NAME?</v>
      </c>
      <c r="I38" s="48"/>
      <c r="J38" s="77"/>
      <c r="K38" s="362"/>
      <c r="M38" s="11">
        <v>4</v>
      </c>
      <c r="N38" s="14">
        <v>4</v>
      </c>
      <c r="O38" s="15">
        <v>4</v>
      </c>
      <c r="P38" s="163"/>
    </row>
    <row r="39" spans="1:17" s="48" customFormat="1" ht="15" customHeight="1" x14ac:dyDescent="0.25">
      <c r="A39" s="20" t="s">
        <v>1794</v>
      </c>
      <c r="B39" s="97" t="s">
        <v>3202</v>
      </c>
      <c r="C39" s="50"/>
      <c r="D39" s="70" t="s">
        <v>3202</v>
      </c>
      <c r="E39" s="70"/>
      <c r="F39" s="49" t="s">
        <v>3202</v>
      </c>
      <c r="G39" s="49"/>
      <c r="H39" s="48" t="e">
        <f ca="1">AI_DIV(Liquid_Assets!A32,Liquid_Assets!$A$54)</f>
        <v>#NAME?</v>
      </c>
      <c r="J39" s="77"/>
      <c r="K39" s="362"/>
      <c r="M39" s="50">
        <v>4</v>
      </c>
      <c r="N39" s="70">
        <v>4</v>
      </c>
      <c r="O39" s="49">
        <v>4</v>
      </c>
      <c r="P39" s="245"/>
      <c r="Q39" s="20"/>
    </row>
    <row r="40" spans="1:17" x14ac:dyDescent="0.25">
      <c r="A40" s="48" t="s">
        <v>1795</v>
      </c>
      <c r="B40" s="50" t="s">
        <v>3203</v>
      </c>
      <c r="C40" s="50"/>
      <c r="D40" s="70" t="s">
        <v>3203</v>
      </c>
      <c r="E40" s="70"/>
      <c r="F40" s="49" t="s">
        <v>3203</v>
      </c>
      <c r="G40" s="49"/>
      <c r="H40" s="48" t="e">
        <f ca="1">AI_DIV(Liquid_Assets!A33,Liquid_Assets!$A$54)</f>
        <v>#NAME?</v>
      </c>
      <c r="I40" s="48"/>
      <c r="J40" s="77"/>
      <c r="K40" s="362"/>
      <c r="L40" s="48"/>
      <c r="M40" s="50">
        <v>4</v>
      </c>
      <c r="N40" s="70">
        <v>4</v>
      </c>
      <c r="O40" s="49">
        <v>4</v>
      </c>
      <c r="P40" s="245"/>
    </row>
    <row r="41" spans="1:17" x14ac:dyDescent="0.25">
      <c r="A41" s="48" t="s">
        <v>1796</v>
      </c>
      <c r="B41" s="50" t="s">
        <v>3204</v>
      </c>
      <c r="C41" s="50"/>
      <c r="D41" s="70" t="s">
        <v>3204</v>
      </c>
      <c r="E41" s="70"/>
      <c r="F41" s="49" t="s">
        <v>3204</v>
      </c>
      <c r="G41" s="49"/>
      <c r="H41" s="48" t="e">
        <f ca="1">AI_DIV(Liquid_Assets!A34,Liquid_Assets!$A$54)</f>
        <v>#NAME?</v>
      </c>
      <c r="I41" s="48"/>
      <c r="J41" s="77"/>
      <c r="K41" s="362"/>
      <c r="L41" s="48"/>
      <c r="M41" s="50">
        <v>4</v>
      </c>
      <c r="N41" s="70">
        <v>4</v>
      </c>
      <c r="O41" s="49">
        <v>4</v>
      </c>
      <c r="P41" s="245"/>
    </row>
    <row r="42" spans="1:17" x14ac:dyDescent="0.25">
      <c r="A42" s="48" t="s">
        <v>2825</v>
      </c>
      <c r="B42" s="50" t="s">
        <v>3205</v>
      </c>
      <c r="C42" s="50"/>
      <c r="D42" s="70" t="s">
        <v>3205</v>
      </c>
      <c r="E42" s="70"/>
      <c r="F42" s="49" t="s">
        <v>3205</v>
      </c>
      <c r="G42" s="49"/>
      <c r="H42" s="48" t="e">
        <f ca="1">AI_DIV(Liquid_Assets!A35,Liquid_Assets!$A$54)</f>
        <v>#NAME?</v>
      </c>
      <c r="I42" s="48"/>
      <c r="J42" s="77"/>
      <c r="K42" s="362"/>
      <c r="L42" s="48"/>
      <c r="M42" s="50">
        <v>4</v>
      </c>
      <c r="N42" s="70">
        <v>4</v>
      </c>
      <c r="O42" s="49">
        <v>4</v>
      </c>
      <c r="P42" s="245"/>
    </row>
    <row r="43" spans="1:17" x14ac:dyDescent="0.25">
      <c r="A43" s="48" t="s">
        <v>2826</v>
      </c>
      <c r="B43" s="50" t="s">
        <v>3206</v>
      </c>
      <c r="C43" s="50"/>
      <c r="D43" s="70" t="s">
        <v>3206</v>
      </c>
      <c r="E43" s="70"/>
      <c r="F43" s="49" t="s">
        <v>3206</v>
      </c>
      <c r="G43" s="49"/>
      <c r="H43" s="48" t="e">
        <f ca="1">AI_DIV(Liquid_Assets!A36,Liquid_Assets!$A$54)</f>
        <v>#NAME?</v>
      </c>
      <c r="I43" s="48"/>
      <c r="J43" s="77"/>
      <c r="K43" s="362"/>
      <c r="L43" s="48"/>
      <c r="M43" s="50">
        <v>4</v>
      </c>
      <c r="N43" s="70">
        <v>4</v>
      </c>
      <c r="O43" s="49">
        <v>4</v>
      </c>
      <c r="P43" s="245"/>
    </row>
    <row r="44" spans="1:17" x14ac:dyDescent="0.25">
      <c r="A44" s="48" t="s">
        <v>2762</v>
      </c>
      <c r="B44" s="50" t="s">
        <v>3244</v>
      </c>
      <c r="C44" s="50"/>
      <c r="D44" s="70" t="s">
        <v>3244</v>
      </c>
      <c r="E44" s="70"/>
      <c r="F44" s="49" t="s">
        <v>3244</v>
      </c>
      <c r="G44" s="49"/>
      <c r="H44" s="48" t="e">
        <f ca="1">AI_DIV(Liquid_Assets!A39,Liquid_Assets!$A$54)</f>
        <v>#NAME?</v>
      </c>
      <c r="I44" s="48"/>
      <c r="J44" s="77"/>
      <c r="K44" s="362"/>
      <c r="L44" s="48"/>
      <c r="M44" s="50">
        <v>4</v>
      </c>
      <c r="N44" s="70">
        <v>4</v>
      </c>
      <c r="O44" s="49">
        <v>4</v>
      </c>
      <c r="P44" s="245"/>
    </row>
    <row r="45" spans="1:17" x14ac:dyDescent="0.25">
      <c r="A45" s="48" t="s">
        <v>1797</v>
      </c>
      <c r="B45" s="50" t="s">
        <v>3207</v>
      </c>
      <c r="C45" s="50"/>
      <c r="D45" s="70" t="s">
        <v>3207</v>
      </c>
      <c r="E45" s="70"/>
      <c r="F45" s="49" t="s">
        <v>3207</v>
      </c>
      <c r="G45" s="49"/>
      <c r="H45" s="48" t="e">
        <f ca="1">AI_DIV(Liquid_Assets!A41,Liquid_Assets!$A$54)</f>
        <v>#NAME?</v>
      </c>
      <c r="I45" s="48"/>
      <c r="J45" s="77"/>
      <c r="K45" s="362"/>
      <c r="L45" s="48"/>
      <c r="M45" s="50">
        <v>4</v>
      </c>
      <c r="N45" s="70">
        <v>4</v>
      </c>
      <c r="O45" s="49">
        <v>4</v>
      </c>
      <c r="P45" s="245"/>
    </row>
    <row r="46" spans="1:17" x14ac:dyDescent="0.25">
      <c r="A46" s="48" t="s">
        <v>1798</v>
      </c>
      <c r="B46" s="50" t="s">
        <v>3208</v>
      </c>
      <c r="C46" s="50"/>
      <c r="D46" s="70" t="s">
        <v>3208</v>
      </c>
      <c r="E46" s="70"/>
      <c r="F46" s="49" t="s">
        <v>3208</v>
      </c>
      <c r="G46" s="49"/>
      <c r="H46" s="48" t="e">
        <f ca="1">AI_DIV(Liquid_Assets!A45,Liquid_Assets!$A$54)</f>
        <v>#NAME?</v>
      </c>
      <c r="I46" s="48"/>
      <c r="J46" s="77"/>
      <c r="K46" s="362"/>
      <c r="L46" s="48"/>
      <c r="M46" s="50">
        <v>4</v>
      </c>
      <c r="N46" s="70">
        <v>4</v>
      </c>
      <c r="O46" s="49">
        <v>4</v>
      </c>
      <c r="P46" s="245"/>
    </row>
    <row r="47" spans="1:17" x14ac:dyDescent="0.25">
      <c r="A47" s="48" t="s">
        <v>1800</v>
      </c>
      <c r="B47" s="50" t="s">
        <v>3209</v>
      </c>
      <c r="C47" s="50"/>
      <c r="D47" s="70" t="s">
        <v>3209</v>
      </c>
      <c r="E47" s="70"/>
      <c r="F47" s="49" t="s">
        <v>3209</v>
      </c>
      <c r="G47" s="49"/>
      <c r="H47" s="48" t="e">
        <f ca="1">AI_DIV(Liquid_Assets!A47,Liquid_Assets!$A$54)</f>
        <v>#NAME?</v>
      </c>
      <c r="I47" s="48"/>
      <c r="J47" s="77"/>
      <c r="K47" s="362"/>
      <c r="L47" s="48"/>
      <c r="M47" s="50">
        <v>4</v>
      </c>
      <c r="N47" s="70">
        <v>4</v>
      </c>
      <c r="O47" s="49">
        <v>4</v>
      </c>
      <c r="P47" s="245"/>
    </row>
    <row r="48" spans="1:17" x14ac:dyDescent="0.25">
      <c r="A48" s="48" t="s">
        <v>1799</v>
      </c>
      <c r="B48" s="50" t="s">
        <v>3210</v>
      </c>
      <c r="C48" s="50"/>
      <c r="D48" s="70" t="s">
        <v>3210</v>
      </c>
      <c r="E48" s="70"/>
      <c r="F48" s="49" t="s">
        <v>3210</v>
      </c>
      <c r="G48" s="49"/>
      <c r="H48" s="48" t="e">
        <f ca="1">AI_DIV(Liquid_Assets!A50,Liquid_Assets!$A$54)</f>
        <v>#NAME?</v>
      </c>
      <c r="I48" s="48"/>
      <c r="J48" s="77"/>
      <c r="K48" s="362"/>
      <c r="L48" s="48"/>
      <c r="M48" s="50">
        <v>4</v>
      </c>
      <c r="N48" s="70">
        <v>4</v>
      </c>
      <c r="O48" s="49">
        <v>4</v>
      </c>
      <c r="P48" s="245"/>
    </row>
    <row r="49" spans="1:16" x14ac:dyDescent="0.25">
      <c r="A49" s="48" t="s">
        <v>968</v>
      </c>
      <c r="B49" s="50" t="s">
        <v>3211</v>
      </c>
      <c r="C49" s="50"/>
      <c r="D49" s="70" t="s">
        <v>3211</v>
      </c>
      <c r="E49" s="70"/>
      <c r="F49" s="49" t="s">
        <v>3211</v>
      </c>
      <c r="G49" s="49"/>
      <c r="H49" s="48" t="e">
        <f ca="1">AI_DIV(Liquid_Assets!A54,Liquid_Assets!$A$54)</f>
        <v>#NAME?</v>
      </c>
      <c r="I49" s="48"/>
      <c r="J49" s="77"/>
      <c r="K49" s="362"/>
      <c r="L49" s="48"/>
      <c r="M49" s="50">
        <v>4</v>
      </c>
      <c r="N49" s="70">
        <v>4</v>
      </c>
      <c r="O49" s="49">
        <v>4</v>
      </c>
      <c r="P49" s="245"/>
    </row>
    <row r="50" spans="1:16" x14ac:dyDescent="0.25">
      <c r="A50" s="48" t="s">
        <v>42</v>
      </c>
      <c r="B50" s="50" t="s">
        <v>3212</v>
      </c>
      <c r="C50" s="50"/>
      <c r="D50" s="70" t="s">
        <v>3212</v>
      </c>
      <c r="E50" s="70"/>
      <c r="F50" s="49" t="s">
        <v>3212</v>
      </c>
      <c r="G50" s="49"/>
      <c r="H50" s="48" t="e">
        <f ca="1">AI_DIV('E07'!A4,'E07'!$A$47)</f>
        <v>#NAME?</v>
      </c>
      <c r="I50" s="48"/>
      <c r="J50" s="77"/>
      <c r="K50" s="362"/>
      <c r="L50" s="48"/>
      <c r="M50" s="50">
        <v>4</v>
      </c>
      <c r="N50" s="70">
        <v>4</v>
      </c>
      <c r="O50" s="49">
        <v>4</v>
      </c>
      <c r="P50" s="245"/>
    </row>
    <row r="51" spans="1:16" x14ac:dyDescent="0.25">
      <c r="A51" s="48" t="s">
        <v>43</v>
      </c>
      <c r="B51" s="50" t="s">
        <v>3213</v>
      </c>
      <c r="C51" s="50"/>
      <c r="D51" s="70" t="s">
        <v>3213</v>
      </c>
      <c r="E51" s="70"/>
      <c r="F51" s="49" t="s">
        <v>3213</v>
      </c>
      <c r="G51" s="49"/>
      <c r="H51" s="48" t="e">
        <f ca="1">AI_DIV('E07'!A6,'E07'!$A$47)</f>
        <v>#NAME?</v>
      </c>
      <c r="I51" s="48"/>
      <c r="J51" s="77"/>
      <c r="K51" s="362"/>
      <c r="L51" s="48"/>
      <c r="M51" s="50">
        <v>4</v>
      </c>
      <c r="N51" s="70">
        <v>4</v>
      </c>
      <c r="O51" s="49">
        <v>4</v>
      </c>
      <c r="P51" s="245"/>
    </row>
    <row r="52" spans="1:16" x14ac:dyDescent="0.25">
      <c r="A52" s="48" t="s">
        <v>44</v>
      </c>
      <c r="B52" s="50" t="s">
        <v>3214</v>
      </c>
      <c r="C52" s="50"/>
      <c r="D52" s="70" t="s">
        <v>3214</v>
      </c>
      <c r="E52" s="70"/>
      <c r="F52" s="49" t="s">
        <v>3214</v>
      </c>
      <c r="G52" s="49"/>
      <c r="H52" s="48" t="e">
        <f ca="1">AI_DIV('E07'!A8,'E07'!$A$47)</f>
        <v>#NAME?</v>
      </c>
      <c r="I52" s="48"/>
      <c r="J52" s="77"/>
      <c r="K52" s="362"/>
      <c r="L52" s="48"/>
      <c r="M52" s="50">
        <v>4</v>
      </c>
      <c r="N52" s="70">
        <v>4</v>
      </c>
      <c r="O52" s="49">
        <v>4</v>
      </c>
      <c r="P52" s="245"/>
    </row>
    <row r="53" spans="1:16" x14ac:dyDescent="0.25">
      <c r="A53" s="48" t="s">
        <v>45</v>
      </c>
      <c r="B53" s="50" t="s">
        <v>3215</v>
      </c>
      <c r="C53" s="50"/>
      <c r="D53" s="70" t="s">
        <v>3215</v>
      </c>
      <c r="E53" s="70"/>
      <c r="F53" s="49" t="s">
        <v>3215</v>
      </c>
      <c r="G53" s="49"/>
      <c r="H53" s="48" t="e">
        <f ca="1">AI_DIV('E07'!A10,'E07'!$A$47)</f>
        <v>#NAME?</v>
      </c>
      <c r="I53" s="48"/>
      <c r="J53" s="77"/>
      <c r="K53" s="362"/>
      <c r="L53" s="48"/>
      <c r="M53" s="50">
        <v>4</v>
      </c>
      <c r="N53" s="70">
        <v>4</v>
      </c>
      <c r="O53" s="49">
        <v>4</v>
      </c>
      <c r="P53" s="245"/>
    </row>
    <row r="54" spans="1:16" x14ac:dyDescent="0.25">
      <c r="A54" s="48" t="s">
        <v>46</v>
      </c>
      <c r="B54" s="50" t="s">
        <v>3216</v>
      </c>
      <c r="C54" s="50"/>
      <c r="D54" s="70" t="s">
        <v>3216</v>
      </c>
      <c r="E54" s="70"/>
      <c r="F54" s="49" t="s">
        <v>3216</v>
      </c>
      <c r="G54" s="49"/>
      <c r="H54" s="48" t="e">
        <f ca="1">AI_DIV('E07'!A12,'E07'!$A$47)</f>
        <v>#NAME?</v>
      </c>
      <c r="I54" s="48"/>
      <c r="J54" s="77"/>
      <c r="K54" s="362"/>
      <c r="L54" s="48"/>
      <c r="M54" s="50">
        <v>4</v>
      </c>
      <c r="N54" s="70">
        <v>4</v>
      </c>
      <c r="O54" s="49">
        <v>4</v>
      </c>
      <c r="P54" s="245"/>
    </row>
    <row r="55" spans="1:16" x14ac:dyDescent="0.25">
      <c r="A55" s="48" t="s">
        <v>47</v>
      </c>
      <c r="B55" s="50" t="s">
        <v>3217</v>
      </c>
      <c r="C55" s="50"/>
      <c r="D55" s="70" t="s">
        <v>3217</v>
      </c>
      <c r="E55" s="70"/>
      <c r="F55" s="49" t="s">
        <v>3217</v>
      </c>
      <c r="G55" s="49"/>
      <c r="H55" s="48" t="e">
        <f ca="1">AI_DIV('E07'!A14,'E07'!$A$47)</f>
        <v>#NAME?</v>
      </c>
      <c r="I55" s="48"/>
      <c r="J55" s="77"/>
      <c r="K55" s="362"/>
      <c r="L55" s="48"/>
      <c r="M55" s="50">
        <v>4</v>
      </c>
      <c r="N55" s="70">
        <v>4</v>
      </c>
      <c r="O55" s="49">
        <v>4</v>
      </c>
      <c r="P55" s="245"/>
    </row>
    <row r="56" spans="1:16" x14ac:dyDescent="0.25">
      <c r="A56" s="48" t="s">
        <v>48</v>
      </c>
      <c r="B56" s="50" t="s">
        <v>3218</v>
      </c>
      <c r="C56" s="50"/>
      <c r="D56" s="70" t="s">
        <v>3218</v>
      </c>
      <c r="E56" s="70"/>
      <c r="F56" s="49" t="s">
        <v>3218</v>
      </c>
      <c r="G56" s="49"/>
      <c r="H56" s="48" t="e">
        <f ca="1">AI_DIV('E07'!A16,'E07'!$A$47)</f>
        <v>#NAME?</v>
      </c>
      <c r="I56" s="48"/>
      <c r="J56" s="77"/>
      <c r="K56" s="362"/>
      <c r="L56" s="48"/>
      <c r="M56" s="50">
        <v>4</v>
      </c>
      <c r="N56" s="70">
        <v>4</v>
      </c>
      <c r="O56" s="49">
        <v>4</v>
      </c>
      <c r="P56" s="245"/>
    </row>
    <row r="57" spans="1:16" x14ac:dyDescent="0.25">
      <c r="A57" s="48" t="s">
        <v>49</v>
      </c>
      <c r="B57" s="50" t="s">
        <v>3219</v>
      </c>
      <c r="C57" s="50"/>
      <c r="D57" s="70" t="s">
        <v>3219</v>
      </c>
      <c r="E57" s="70"/>
      <c r="F57" s="49" t="s">
        <v>3219</v>
      </c>
      <c r="G57" s="49"/>
      <c r="H57" s="48" t="e">
        <f ca="1">AI_DIV('E07'!A18,'E07'!$A$47)</f>
        <v>#NAME?</v>
      </c>
      <c r="I57" s="48"/>
      <c r="J57" s="77"/>
      <c r="K57" s="362"/>
      <c r="L57" s="48"/>
      <c r="M57" s="50">
        <v>4</v>
      </c>
      <c r="N57" s="70">
        <v>4</v>
      </c>
      <c r="O57" s="49">
        <v>4</v>
      </c>
      <c r="P57" s="245"/>
    </row>
    <row r="58" spans="1:16" x14ac:dyDescent="0.25">
      <c r="A58" s="48" t="s">
        <v>50</v>
      </c>
      <c r="B58" s="50" t="s">
        <v>3220</v>
      </c>
      <c r="C58" s="50"/>
      <c r="D58" s="70" t="s">
        <v>3220</v>
      </c>
      <c r="E58" s="70"/>
      <c r="F58" s="49" t="s">
        <v>3220</v>
      </c>
      <c r="G58" s="49"/>
      <c r="H58" s="48" t="e">
        <f ca="1">AI_DIV('E07'!A20,'E07'!$A$47)</f>
        <v>#NAME?</v>
      </c>
      <c r="I58" s="48"/>
      <c r="J58" s="77"/>
      <c r="K58" s="362"/>
      <c r="L58" s="48"/>
      <c r="M58" s="50">
        <v>4</v>
      </c>
      <c r="N58" s="70">
        <v>4</v>
      </c>
      <c r="O58" s="49">
        <v>4</v>
      </c>
      <c r="P58" s="245"/>
    </row>
    <row r="59" spans="1:16" x14ac:dyDescent="0.25">
      <c r="A59" s="48" t="s">
        <v>51</v>
      </c>
      <c r="B59" s="50" t="s">
        <v>3221</v>
      </c>
      <c r="C59" s="50"/>
      <c r="D59" s="70" t="s">
        <v>3221</v>
      </c>
      <c r="E59" s="70"/>
      <c r="F59" s="49" t="s">
        <v>3221</v>
      </c>
      <c r="G59" s="49"/>
      <c r="H59" s="48" t="e">
        <f ca="1">AI_DIV('E07'!A22,'E07'!$A$47)</f>
        <v>#NAME?</v>
      </c>
      <c r="I59" s="48"/>
      <c r="J59" s="77"/>
      <c r="K59" s="362"/>
      <c r="L59" s="48"/>
      <c r="M59" s="50">
        <v>4</v>
      </c>
      <c r="N59" s="70">
        <v>4</v>
      </c>
      <c r="O59" s="49">
        <v>4</v>
      </c>
      <c r="P59" s="245"/>
    </row>
    <row r="60" spans="1:16" x14ac:dyDescent="0.25">
      <c r="A60" s="48" t="s">
        <v>52</v>
      </c>
      <c r="B60" s="50" t="s">
        <v>3222</v>
      </c>
      <c r="C60" s="50"/>
      <c r="D60" s="70" t="s">
        <v>3222</v>
      </c>
      <c r="E60" s="70"/>
      <c r="F60" s="49" t="s">
        <v>3222</v>
      </c>
      <c r="G60" s="49"/>
      <c r="H60" s="48" t="e">
        <f ca="1">AI_DIV('E07'!A24,'E07'!$A$47)</f>
        <v>#NAME?</v>
      </c>
      <c r="I60" s="48"/>
      <c r="J60" s="77"/>
      <c r="K60" s="362"/>
      <c r="L60" s="48"/>
      <c r="M60" s="50">
        <v>4</v>
      </c>
      <c r="N60" s="70">
        <v>4</v>
      </c>
      <c r="O60" s="49">
        <v>4</v>
      </c>
      <c r="P60" s="245"/>
    </row>
    <row r="61" spans="1:16" x14ac:dyDescent="0.25">
      <c r="A61" s="48" t="s">
        <v>53</v>
      </c>
      <c r="B61" s="50" t="s">
        <v>3167</v>
      </c>
      <c r="C61" s="50"/>
      <c r="D61" s="70" t="s">
        <v>3167</v>
      </c>
      <c r="E61" s="70"/>
      <c r="F61" s="49" t="s">
        <v>3167</v>
      </c>
      <c r="G61" s="49"/>
      <c r="H61" s="48" t="e">
        <f ca="1">AI_DIV('E07'!A26,'E07'!$A$47)</f>
        <v>#NAME?</v>
      </c>
      <c r="I61" s="48"/>
      <c r="J61" s="77"/>
      <c r="K61" s="362"/>
      <c r="L61" s="48"/>
      <c r="M61" s="50">
        <v>4</v>
      </c>
      <c r="N61" s="70">
        <v>4</v>
      </c>
      <c r="O61" s="49">
        <v>4</v>
      </c>
      <c r="P61" s="245"/>
    </row>
    <row r="62" spans="1:16" x14ac:dyDescent="0.25">
      <c r="A62" s="48" t="s">
        <v>54</v>
      </c>
      <c r="B62" s="50" t="s">
        <v>3225</v>
      </c>
      <c r="C62" s="50"/>
      <c r="D62" s="70" t="s">
        <v>3225</v>
      </c>
      <c r="E62" s="70"/>
      <c r="F62" s="49" t="s">
        <v>3225</v>
      </c>
      <c r="G62" s="49"/>
      <c r="H62" s="48" t="e">
        <f ca="1">AI_DIV('E07'!A28,'E07'!$A$47)</f>
        <v>#NAME?</v>
      </c>
      <c r="I62" s="48"/>
      <c r="J62" s="77"/>
      <c r="K62" s="362"/>
      <c r="L62" s="48"/>
      <c r="M62" s="50">
        <v>4</v>
      </c>
      <c r="N62" s="70">
        <v>4</v>
      </c>
      <c r="O62" s="49">
        <v>4</v>
      </c>
      <c r="P62" s="245"/>
    </row>
    <row r="63" spans="1:16" x14ac:dyDescent="0.25">
      <c r="A63" s="48" t="s">
        <v>55</v>
      </c>
      <c r="B63" s="50" t="s">
        <v>3226</v>
      </c>
      <c r="C63" s="50"/>
      <c r="D63" s="70" t="s">
        <v>3226</v>
      </c>
      <c r="E63" s="70"/>
      <c r="F63" s="49" t="s">
        <v>3226</v>
      </c>
      <c r="G63" s="49"/>
      <c r="H63" s="48" t="e">
        <f ca="1">AI_DIV('E07'!A30,'E07'!$A$47)</f>
        <v>#NAME?</v>
      </c>
      <c r="I63" s="48"/>
      <c r="J63" s="77"/>
      <c r="K63" s="362"/>
      <c r="L63" s="48"/>
      <c r="M63" s="50">
        <v>4</v>
      </c>
      <c r="N63" s="70">
        <v>4</v>
      </c>
      <c r="O63" s="49">
        <v>4</v>
      </c>
      <c r="P63" s="245"/>
    </row>
    <row r="64" spans="1:16" x14ac:dyDescent="0.25">
      <c r="A64" s="48" t="s">
        <v>56</v>
      </c>
      <c r="B64" s="50" t="s">
        <v>3227</v>
      </c>
      <c r="C64" s="50"/>
      <c r="D64" s="70" t="s">
        <v>3227</v>
      </c>
      <c r="E64" s="70"/>
      <c r="F64" s="49" t="s">
        <v>3227</v>
      </c>
      <c r="G64" s="49"/>
      <c r="H64" s="48" t="e">
        <f ca="1">AI_DIV('E07'!A32,'E07'!$A$47)</f>
        <v>#NAME?</v>
      </c>
      <c r="I64" s="48"/>
      <c r="J64" s="77"/>
      <c r="K64" s="362"/>
      <c r="L64" s="48"/>
      <c r="M64" s="50">
        <v>4</v>
      </c>
      <c r="N64" s="70">
        <v>4</v>
      </c>
      <c r="O64" s="49">
        <v>4</v>
      </c>
      <c r="P64" s="245"/>
    </row>
    <row r="65" spans="1:16" x14ac:dyDescent="0.25">
      <c r="A65" s="48" t="s">
        <v>57</v>
      </c>
      <c r="B65" s="50" t="s">
        <v>3228</v>
      </c>
      <c r="C65" s="50"/>
      <c r="D65" s="70" t="s">
        <v>3228</v>
      </c>
      <c r="E65" s="70"/>
      <c r="F65" s="49" t="s">
        <v>3228</v>
      </c>
      <c r="G65" s="49"/>
      <c r="H65" s="48" t="e">
        <f ca="1">AI_DIV('E07'!A34,'E07'!$A$47)</f>
        <v>#NAME?</v>
      </c>
      <c r="I65" s="48"/>
      <c r="J65" s="77"/>
      <c r="K65" s="362"/>
      <c r="L65" s="48"/>
      <c r="M65" s="50">
        <v>4</v>
      </c>
      <c r="N65" s="70">
        <v>4</v>
      </c>
      <c r="O65" s="49">
        <v>4</v>
      </c>
      <c r="P65" s="245"/>
    </row>
    <row r="66" spans="1:16" x14ac:dyDescent="0.25">
      <c r="A66" s="48" t="s">
        <v>58</v>
      </c>
      <c r="B66" s="50" t="s">
        <v>3229</v>
      </c>
      <c r="C66" s="50"/>
      <c r="D66" s="70" t="s">
        <v>3229</v>
      </c>
      <c r="E66" s="70"/>
      <c r="F66" s="49" t="s">
        <v>3229</v>
      </c>
      <c r="G66" s="49"/>
      <c r="H66" s="48" t="e">
        <f ca="1">AI_DIV('E07'!A36,'E07'!$A$47)</f>
        <v>#NAME?</v>
      </c>
      <c r="I66" s="48"/>
      <c r="J66" s="77"/>
      <c r="K66" s="362"/>
      <c r="L66" s="48"/>
      <c r="M66" s="50">
        <v>4</v>
      </c>
      <c r="N66" s="70">
        <v>4</v>
      </c>
      <c r="O66" s="49">
        <v>4</v>
      </c>
      <c r="P66" s="245"/>
    </row>
    <row r="67" spans="1:16" x14ac:dyDescent="0.25">
      <c r="A67" s="48" t="s">
        <v>59</v>
      </c>
      <c r="B67" s="50" t="s">
        <v>3230</v>
      </c>
      <c r="C67" s="50"/>
      <c r="D67" s="70" t="s">
        <v>3230</v>
      </c>
      <c r="E67" s="70"/>
      <c r="F67" s="49" t="s">
        <v>3230</v>
      </c>
      <c r="G67" s="49"/>
      <c r="H67" s="48" t="e">
        <f ca="1">AI_DIV('E07'!A38,'E07'!$A$47)</f>
        <v>#NAME?</v>
      </c>
      <c r="I67" s="48"/>
      <c r="J67" s="77"/>
      <c r="K67" s="362"/>
      <c r="L67" s="48"/>
      <c r="M67" s="50">
        <v>4</v>
      </c>
      <c r="N67" s="70">
        <v>4</v>
      </c>
      <c r="O67" s="49">
        <v>4</v>
      </c>
      <c r="P67" s="245"/>
    </row>
    <row r="68" spans="1:16" x14ac:dyDescent="0.25">
      <c r="A68" s="48" t="s">
        <v>60</v>
      </c>
      <c r="B68" s="50" t="s">
        <v>3231</v>
      </c>
      <c r="C68" s="50"/>
      <c r="D68" s="70" t="s">
        <v>3231</v>
      </c>
      <c r="E68" s="70"/>
      <c r="F68" s="49" t="s">
        <v>3231</v>
      </c>
      <c r="G68" s="49"/>
      <c r="H68" s="48" t="e">
        <f ca="1">AI_DIV('E07'!A40,'E07'!$A$47)</f>
        <v>#NAME?</v>
      </c>
      <c r="I68" s="48"/>
      <c r="J68" s="77"/>
      <c r="K68" s="362"/>
      <c r="L68" s="48"/>
      <c r="M68" s="50">
        <v>4</v>
      </c>
      <c r="N68" s="70">
        <v>4</v>
      </c>
      <c r="O68" s="49">
        <v>4</v>
      </c>
      <c r="P68" s="245"/>
    </row>
    <row r="69" spans="1:16" x14ac:dyDescent="0.25">
      <c r="A69" s="48" t="s">
        <v>61</v>
      </c>
      <c r="B69" s="50" t="s">
        <v>3232</v>
      </c>
      <c r="C69" s="50"/>
      <c r="D69" s="70" t="s">
        <v>3232</v>
      </c>
      <c r="E69" s="70"/>
      <c r="F69" s="49" t="s">
        <v>3232</v>
      </c>
      <c r="G69" s="49"/>
      <c r="H69" s="48" t="e">
        <f ca="1">AI_DIV('E07'!A42,'E07'!$A$47)</f>
        <v>#NAME?</v>
      </c>
      <c r="I69" s="48"/>
      <c r="J69" s="77"/>
      <c r="K69" s="362"/>
      <c r="L69" s="48"/>
      <c r="M69" s="50">
        <v>4</v>
      </c>
      <c r="N69" s="70">
        <v>4</v>
      </c>
      <c r="O69" s="49">
        <v>4</v>
      </c>
      <c r="P69" s="245"/>
    </row>
    <row r="70" spans="1:16" x14ac:dyDescent="0.25">
      <c r="A70" s="48" t="s">
        <v>62</v>
      </c>
      <c r="B70" s="50" t="s">
        <v>3233</v>
      </c>
      <c r="C70" s="50"/>
      <c r="D70" s="70" t="s">
        <v>3233</v>
      </c>
      <c r="E70" s="70"/>
      <c r="F70" s="49" t="s">
        <v>3233</v>
      </c>
      <c r="G70" s="49"/>
      <c r="H70" s="48" t="e">
        <f ca="1">AI_DIV('E07'!A44,'E07'!$A$47)</f>
        <v>#NAME?</v>
      </c>
      <c r="I70" s="48"/>
      <c r="J70" s="77"/>
      <c r="K70" s="362"/>
      <c r="L70" s="48"/>
      <c r="M70" s="50">
        <v>4</v>
      </c>
      <c r="N70" s="70">
        <v>4</v>
      </c>
      <c r="O70" s="49">
        <v>4</v>
      </c>
      <c r="P70" s="245"/>
    </row>
    <row r="71" spans="1:16" x14ac:dyDescent="0.25">
      <c r="A71" s="48" t="s">
        <v>63</v>
      </c>
      <c r="B71" s="50" t="s">
        <v>3234</v>
      </c>
      <c r="C71" s="50"/>
      <c r="D71" s="70" t="s">
        <v>3234</v>
      </c>
      <c r="E71" s="70"/>
      <c r="F71" s="49" t="s">
        <v>3234</v>
      </c>
      <c r="G71" s="49"/>
      <c r="H71" s="48" t="e">
        <f ca="1">AI_DIV('E07'!A45,'E07'!$A$47)</f>
        <v>#NAME?</v>
      </c>
      <c r="I71" s="48"/>
      <c r="J71" s="77"/>
      <c r="K71" s="362"/>
      <c r="L71" s="48"/>
      <c r="M71" s="50">
        <v>4</v>
      </c>
      <c r="N71" s="70">
        <v>4</v>
      </c>
      <c r="O71" s="49">
        <v>4</v>
      </c>
      <c r="P71" s="245"/>
    </row>
    <row r="72" spans="1:16" x14ac:dyDescent="0.25">
      <c r="A72" s="48" t="s">
        <v>64</v>
      </c>
      <c r="B72" s="50" t="s">
        <v>3235</v>
      </c>
      <c r="C72" s="50"/>
      <c r="D72" s="70" t="s">
        <v>3235</v>
      </c>
      <c r="E72" s="70"/>
      <c r="F72" s="49" t="s">
        <v>3235</v>
      </c>
      <c r="G72" s="49"/>
      <c r="H72" s="48" t="e">
        <f ca="1">AI_DIV('E07'!A47,'E07'!$A$47)</f>
        <v>#NAME?</v>
      </c>
      <c r="I72" s="48"/>
      <c r="J72" s="77"/>
      <c r="K72" s="362"/>
      <c r="L72" s="48"/>
      <c r="M72" s="50">
        <v>4</v>
      </c>
      <c r="N72" s="70">
        <v>4</v>
      </c>
      <c r="O72" s="49">
        <v>4</v>
      </c>
      <c r="P72" s="245"/>
    </row>
    <row r="73" spans="1:16" x14ac:dyDescent="0.25">
      <c r="A73" s="48" t="s">
        <v>3129</v>
      </c>
      <c r="B73" s="50" t="s">
        <v>3236</v>
      </c>
      <c r="C73" s="50"/>
      <c r="D73" s="70" t="s">
        <v>3236</v>
      </c>
      <c r="E73" s="70"/>
      <c r="F73" s="49" t="s">
        <v>3236</v>
      </c>
      <c r="G73" s="49"/>
      <c r="H73" s="48" t="e">
        <f ca="1">AI_DIV(Real_Estate!A4,Real_Estate!$A$7)</f>
        <v>#NAME?</v>
      </c>
      <c r="I73" s="48"/>
      <c r="J73" s="77"/>
      <c r="K73" s="362"/>
      <c r="L73" s="48"/>
      <c r="M73" s="50">
        <v>4</v>
      </c>
      <c r="N73" s="70">
        <v>4</v>
      </c>
      <c r="O73" s="49">
        <v>4</v>
      </c>
      <c r="P73" s="245"/>
    </row>
    <row r="74" spans="1:16" x14ac:dyDescent="0.25">
      <c r="A74" s="48" t="s">
        <v>3130</v>
      </c>
      <c r="B74" s="50" t="s">
        <v>3237</v>
      </c>
      <c r="C74" s="50"/>
      <c r="D74" s="70" t="s">
        <v>3237</v>
      </c>
      <c r="E74" s="70"/>
      <c r="F74" s="49" t="s">
        <v>3237</v>
      </c>
      <c r="G74" s="49"/>
      <c r="H74" s="48" t="e">
        <f ca="1">AI_DIV(Real_Estate!A5,Real_Estate!$A$7)</f>
        <v>#NAME?</v>
      </c>
      <c r="I74" s="48"/>
      <c r="J74" s="77"/>
      <c r="K74" s="362"/>
      <c r="L74" s="48"/>
      <c r="M74" s="50">
        <v>4</v>
      </c>
      <c r="N74" s="70">
        <v>4</v>
      </c>
      <c r="O74" s="49">
        <v>4</v>
      </c>
      <c r="P74" s="245"/>
    </row>
    <row r="75" spans="1:16" x14ac:dyDescent="0.25">
      <c r="A75" s="48" t="s">
        <v>3131</v>
      </c>
      <c r="B75" s="50" t="s">
        <v>3238</v>
      </c>
      <c r="C75" s="50"/>
      <c r="D75" s="70" t="s">
        <v>3238</v>
      </c>
      <c r="E75" s="70"/>
      <c r="F75" s="49" t="s">
        <v>3238</v>
      </c>
      <c r="G75" s="49"/>
      <c r="H75" s="48" t="e">
        <f ca="1">AI_DIV(Real_Estate!A6,Real_Estate!$A$7)</f>
        <v>#NAME?</v>
      </c>
      <c r="I75" s="48"/>
      <c r="J75" s="77"/>
      <c r="K75" s="362"/>
      <c r="L75" s="48"/>
      <c r="M75" s="50">
        <v>4</v>
      </c>
      <c r="N75" s="70">
        <v>4</v>
      </c>
      <c r="O75" s="49">
        <v>4</v>
      </c>
      <c r="P75" s="245"/>
    </row>
    <row r="76" spans="1:16" x14ac:dyDescent="0.25">
      <c r="A76" s="48" t="s">
        <v>3132</v>
      </c>
      <c r="B76" s="50" t="s">
        <v>3239</v>
      </c>
      <c r="C76" s="50"/>
      <c r="D76" s="70" t="s">
        <v>3239</v>
      </c>
      <c r="E76" s="70"/>
      <c r="F76" s="49" t="s">
        <v>3239</v>
      </c>
      <c r="G76" s="49"/>
      <c r="H76" s="48" t="e">
        <f ca="1">AI_DIV(Real_Estate!A7,Real_Estate!$A$7)</f>
        <v>#NAME?</v>
      </c>
      <c r="I76" s="48"/>
      <c r="J76" s="77"/>
      <c r="K76" s="362"/>
      <c r="L76" s="48"/>
      <c r="M76" s="50">
        <v>4</v>
      </c>
      <c r="N76" s="70">
        <v>4</v>
      </c>
      <c r="O76" s="49">
        <v>4</v>
      </c>
      <c r="P76" s="24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 filterMode="1"/>
  <dimension ref="A1:Q56"/>
  <sheetViews>
    <sheetView topLeftCell="A20" zoomScale="80" zoomScaleNormal="80" workbookViewId="0">
      <selection activeCell="I1" sqref="I1:I1048576"/>
    </sheetView>
  </sheetViews>
  <sheetFormatPr defaultColWidth="9.140625" defaultRowHeight="15" customHeight="1" x14ac:dyDescent="0.25"/>
  <cols>
    <col min="1" max="1" width="52.140625" style="30" customWidth="1"/>
    <col min="2" max="3" width="10.7109375" style="21" customWidth="1"/>
    <col min="4" max="5" width="10.7109375" style="26" customWidth="1"/>
    <col min="6" max="7" width="10.7109375" style="29" customWidth="1"/>
    <col min="8" max="12" width="10.7109375" style="30" customWidth="1"/>
    <col min="13" max="13" width="10.7109375" style="22" customWidth="1"/>
    <col min="14" max="14" width="10.7109375" style="26" customWidth="1"/>
    <col min="15" max="15" width="10.7109375" style="29" customWidth="1"/>
    <col min="16" max="16" width="10.7109375" style="164" customWidth="1"/>
    <col min="17" max="17" width="10.7109375" style="80" customWidth="1"/>
    <col min="18" max="18" width="9.140625" style="30"/>
    <col min="19" max="19" width="34.42578125" style="30" bestFit="1" customWidth="1"/>
    <col min="20" max="16384" width="9.140625" style="30"/>
  </cols>
  <sheetData>
    <row r="1" spans="1:16" s="31" customFormat="1" ht="15" customHeight="1" x14ac:dyDescent="0.25">
      <c r="A1" s="9"/>
      <c r="B1" s="1"/>
      <c r="C1" s="1"/>
      <c r="D1" s="34"/>
      <c r="E1" s="34"/>
      <c r="F1" s="35"/>
      <c r="G1" s="35"/>
      <c r="H1" s="9"/>
      <c r="I1" s="9"/>
      <c r="M1" s="16"/>
      <c r="N1" s="25"/>
      <c r="O1" s="28"/>
      <c r="P1" s="249"/>
    </row>
    <row r="2" spans="1:16" s="31" customFormat="1" ht="15" customHeight="1" x14ac:dyDescent="0.25">
      <c r="A2" s="31" t="s">
        <v>1769</v>
      </c>
      <c r="B2" s="1" t="s">
        <v>1622</v>
      </c>
      <c r="C2" s="1" t="s">
        <v>1623</v>
      </c>
      <c r="D2" s="34"/>
      <c r="E2" s="34"/>
      <c r="F2" s="35"/>
      <c r="G2" s="35"/>
      <c r="H2" s="9" t="s">
        <v>1887</v>
      </c>
      <c r="I2" s="9"/>
      <c r="J2" s="31" t="s">
        <v>1884</v>
      </c>
      <c r="K2" s="31" t="s">
        <v>1885</v>
      </c>
      <c r="L2" s="31" t="s">
        <v>1886</v>
      </c>
      <c r="M2" s="16"/>
      <c r="N2" s="25"/>
      <c r="O2" s="28"/>
      <c r="P2" s="249"/>
    </row>
    <row r="3" spans="1:16" s="31" customFormat="1" ht="15" customHeight="1" x14ac:dyDescent="0.25">
      <c r="A3" s="145" t="s">
        <v>1895</v>
      </c>
      <c r="B3" s="1"/>
      <c r="C3" s="1"/>
      <c r="D3" s="25"/>
      <c r="E3" s="25"/>
      <c r="F3" s="94"/>
      <c r="G3" s="94"/>
      <c r="H3" s="93"/>
      <c r="I3" s="93"/>
      <c r="J3" s="31" t="s">
        <v>1882</v>
      </c>
      <c r="K3" s="31" t="s">
        <v>1883</v>
      </c>
      <c r="L3" s="31">
        <v>190</v>
      </c>
      <c r="M3" s="16">
        <v>1</v>
      </c>
      <c r="N3" s="25">
        <v>1</v>
      </c>
      <c r="O3" s="28">
        <v>1</v>
      </c>
      <c r="P3" s="249"/>
    </row>
    <row r="4" spans="1:16" s="31" customFormat="1" ht="15" hidden="1" customHeight="1" x14ac:dyDescent="0.25">
      <c r="A4" s="31" t="s">
        <v>942</v>
      </c>
      <c r="B4" s="3" t="s">
        <v>334</v>
      </c>
      <c r="C4" s="3" t="s">
        <v>1624</v>
      </c>
      <c r="D4" s="5" t="s">
        <v>373</v>
      </c>
      <c r="E4" s="5" t="s">
        <v>2006</v>
      </c>
      <c r="F4" s="7" t="s">
        <v>411</v>
      </c>
      <c r="G4" s="7" t="s">
        <v>2134</v>
      </c>
      <c r="H4" s="32"/>
      <c r="I4" s="32"/>
      <c r="M4" s="16"/>
      <c r="N4" s="25"/>
      <c r="O4" s="28"/>
      <c r="P4" s="249"/>
    </row>
    <row r="5" spans="1:16" s="31" customFormat="1" ht="15" hidden="1" customHeight="1" x14ac:dyDescent="0.25">
      <c r="A5" s="31" t="s">
        <v>943</v>
      </c>
      <c r="B5" s="3" t="s">
        <v>335</v>
      </c>
      <c r="C5" s="3" t="s">
        <v>1625</v>
      </c>
      <c r="D5" s="5" t="s">
        <v>374</v>
      </c>
      <c r="E5" s="5" t="s">
        <v>2007</v>
      </c>
      <c r="F5" s="7" t="s">
        <v>412</v>
      </c>
      <c r="G5" s="7" t="s">
        <v>2135</v>
      </c>
      <c r="H5" s="32"/>
      <c r="I5" s="32"/>
      <c r="M5" s="16"/>
      <c r="N5" s="25"/>
      <c r="O5" s="28"/>
      <c r="P5" s="249"/>
    </row>
    <row r="6" spans="1:16" s="31" customFormat="1" ht="15" hidden="1" customHeight="1" x14ac:dyDescent="0.25">
      <c r="A6" s="31" t="s">
        <v>944</v>
      </c>
      <c r="B6" s="3" t="s">
        <v>336</v>
      </c>
      <c r="C6" s="3" t="s">
        <v>1626</v>
      </c>
      <c r="D6" s="5" t="s">
        <v>375</v>
      </c>
      <c r="E6" s="5" t="s">
        <v>2008</v>
      </c>
      <c r="F6" s="7" t="s">
        <v>413</v>
      </c>
      <c r="G6" s="7" t="s">
        <v>2136</v>
      </c>
      <c r="H6" s="32"/>
      <c r="I6" s="32"/>
      <c r="M6" s="16"/>
      <c r="N6" s="25"/>
      <c r="O6" s="28"/>
      <c r="P6" s="249"/>
    </row>
    <row r="7" spans="1:16" s="31" customFormat="1" ht="15" hidden="1" customHeight="1" x14ac:dyDescent="0.25">
      <c r="A7" s="31" t="s">
        <v>968</v>
      </c>
      <c r="B7" s="3" t="s">
        <v>337</v>
      </c>
      <c r="C7" s="3" t="s">
        <v>1627</v>
      </c>
      <c r="D7" s="5" t="s">
        <v>376</v>
      </c>
      <c r="E7" s="5" t="s">
        <v>2009</v>
      </c>
      <c r="F7" s="7" t="s">
        <v>414</v>
      </c>
      <c r="G7" s="7" t="s">
        <v>2137</v>
      </c>
      <c r="H7" s="32"/>
      <c r="I7" s="32"/>
      <c r="M7" s="16"/>
      <c r="N7" s="25"/>
      <c r="O7" s="28"/>
      <c r="P7" s="249"/>
    </row>
    <row r="8" spans="1:16" s="31" customFormat="1" ht="15" hidden="1" customHeight="1" x14ac:dyDescent="0.25">
      <c r="A8" s="31" t="s">
        <v>945</v>
      </c>
      <c r="B8" s="3" t="s">
        <v>338</v>
      </c>
      <c r="C8" s="3" t="s">
        <v>1628</v>
      </c>
      <c r="D8" s="5" t="s">
        <v>377</v>
      </c>
      <c r="E8" s="5" t="s">
        <v>2010</v>
      </c>
      <c r="F8" s="7" t="s">
        <v>415</v>
      </c>
      <c r="G8" s="7" t="s">
        <v>2138</v>
      </c>
      <c r="H8" s="32"/>
      <c r="I8" s="32"/>
      <c r="M8" s="16"/>
      <c r="N8" s="25"/>
      <c r="O8" s="28"/>
      <c r="P8" s="249"/>
    </row>
    <row r="9" spans="1:16" s="31" customFormat="1" ht="15" hidden="1" customHeight="1" x14ac:dyDescent="0.25">
      <c r="A9" s="31" t="s">
        <v>946</v>
      </c>
      <c r="B9" s="3" t="s">
        <v>339</v>
      </c>
      <c r="C9" s="3" t="s">
        <v>1629</v>
      </c>
      <c r="D9" s="5" t="s">
        <v>378</v>
      </c>
      <c r="E9" s="5" t="s">
        <v>2011</v>
      </c>
      <c r="F9" s="7" t="s">
        <v>416</v>
      </c>
      <c r="G9" s="7" t="s">
        <v>2139</v>
      </c>
      <c r="H9" s="32"/>
      <c r="I9" s="32"/>
      <c r="M9" s="16"/>
      <c r="N9" s="25"/>
      <c r="O9" s="28"/>
      <c r="P9" s="249"/>
    </row>
    <row r="10" spans="1:16" s="31" customFormat="1" ht="15" hidden="1" customHeight="1" x14ac:dyDescent="0.25">
      <c r="A10" s="31" t="s">
        <v>947</v>
      </c>
      <c r="B10" s="3" t="s">
        <v>340</v>
      </c>
      <c r="C10" s="3" t="s">
        <v>1630</v>
      </c>
      <c r="D10" s="5" t="s">
        <v>379</v>
      </c>
      <c r="E10" s="5" t="s">
        <v>2012</v>
      </c>
      <c r="F10" s="7" t="s">
        <v>417</v>
      </c>
      <c r="G10" s="7" t="s">
        <v>2140</v>
      </c>
      <c r="H10" s="32"/>
      <c r="I10" s="32"/>
      <c r="M10" s="16"/>
      <c r="N10" s="25"/>
      <c r="O10" s="28"/>
      <c r="P10" s="249"/>
    </row>
    <row r="11" spans="1:16" s="31" customFormat="1" ht="15" hidden="1" customHeight="1" x14ac:dyDescent="0.25">
      <c r="A11" s="31" t="s">
        <v>948</v>
      </c>
      <c r="B11" s="3" t="s">
        <v>341</v>
      </c>
      <c r="C11" s="3" t="s">
        <v>1631</v>
      </c>
      <c r="D11" s="5" t="s">
        <v>380</v>
      </c>
      <c r="E11" s="5" t="s">
        <v>2013</v>
      </c>
      <c r="F11" s="7" t="s">
        <v>418</v>
      </c>
      <c r="G11" s="7" t="s">
        <v>2141</v>
      </c>
      <c r="H11" s="32"/>
      <c r="I11" s="32"/>
      <c r="M11" s="16"/>
      <c r="N11" s="25"/>
      <c r="O11" s="28"/>
      <c r="P11" s="249"/>
    </row>
    <row r="12" spans="1:16" s="31" customFormat="1" ht="15" hidden="1" customHeight="1" x14ac:dyDescent="0.25">
      <c r="A12" s="31" t="s">
        <v>969</v>
      </c>
      <c r="B12" s="3" t="s">
        <v>342</v>
      </c>
      <c r="C12" s="3" t="s">
        <v>1632</v>
      </c>
      <c r="D12" s="5" t="s">
        <v>381</v>
      </c>
      <c r="E12" s="5" t="s">
        <v>2014</v>
      </c>
      <c r="F12" s="7" t="s">
        <v>419</v>
      </c>
      <c r="G12" s="7" t="s">
        <v>2142</v>
      </c>
      <c r="H12" s="32"/>
      <c r="I12" s="32"/>
      <c r="M12" s="16"/>
      <c r="N12" s="25"/>
      <c r="O12" s="28"/>
      <c r="P12" s="249"/>
    </row>
    <row r="13" spans="1:16" s="31" customFormat="1" ht="15" hidden="1" customHeight="1" x14ac:dyDescent="0.25">
      <c r="A13" s="31" t="s">
        <v>968</v>
      </c>
      <c r="B13" s="3" t="s">
        <v>343</v>
      </c>
      <c r="C13" s="3" t="s">
        <v>1633</v>
      </c>
      <c r="D13" s="5" t="s">
        <v>382</v>
      </c>
      <c r="E13" s="5" t="s">
        <v>2015</v>
      </c>
      <c r="F13" s="7" t="s">
        <v>420</v>
      </c>
      <c r="G13" s="7" t="s">
        <v>2143</v>
      </c>
      <c r="H13" s="32"/>
      <c r="I13" s="32"/>
      <c r="M13" s="16"/>
      <c r="N13" s="25"/>
      <c r="O13" s="28"/>
      <c r="P13" s="249"/>
    </row>
    <row r="14" spans="1:16" s="31" customFormat="1" ht="15" customHeight="1" x14ac:dyDescent="0.25">
      <c r="A14" s="61" t="s">
        <v>970</v>
      </c>
      <c r="B14" s="3" t="s">
        <v>344</v>
      </c>
      <c r="C14" s="3" t="s">
        <v>1634</v>
      </c>
      <c r="D14" s="5" t="s">
        <v>383</v>
      </c>
      <c r="E14" s="5" t="s">
        <v>2016</v>
      </c>
      <c r="F14" s="7" t="s">
        <v>421</v>
      </c>
      <c r="G14" s="7" t="s">
        <v>2144</v>
      </c>
      <c r="H14" s="32"/>
      <c r="I14" s="32"/>
      <c r="M14" s="16">
        <v>1</v>
      </c>
      <c r="N14" s="25">
        <v>1</v>
      </c>
      <c r="O14" s="28">
        <v>1</v>
      </c>
      <c r="P14" s="249"/>
    </row>
    <row r="15" spans="1:16" s="31" customFormat="1" ht="15" customHeight="1" x14ac:dyDescent="0.25">
      <c r="A15" s="31" t="s">
        <v>345</v>
      </c>
      <c r="B15" s="1"/>
      <c r="C15" s="1"/>
      <c r="D15" s="34"/>
      <c r="E15" s="34"/>
      <c r="F15" s="35"/>
      <c r="G15" s="35"/>
      <c r="H15" s="9"/>
      <c r="I15" s="9"/>
      <c r="M15" s="16">
        <v>1</v>
      </c>
      <c r="N15" s="25">
        <v>1</v>
      </c>
      <c r="O15" s="28">
        <v>1</v>
      </c>
      <c r="P15" s="249"/>
    </row>
    <row r="16" spans="1:16" s="31" customFormat="1" ht="15" customHeight="1" x14ac:dyDescent="0.25">
      <c r="A16" s="31" t="s">
        <v>949</v>
      </c>
      <c r="B16" s="17"/>
      <c r="C16" s="17"/>
      <c r="D16" s="23"/>
      <c r="E16" s="23"/>
      <c r="F16" s="27"/>
      <c r="G16" s="27"/>
      <c r="H16" s="32"/>
      <c r="I16" s="32"/>
      <c r="M16" s="16">
        <v>1</v>
      </c>
      <c r="N16" s="25">
        <v>1</v>
      </c>
      <c r="O16" s="28">
        <v>1</v>
      </c>
      <c r="P16" s="249"/>
    </row>
    <row r="17" spans="1:16" s="31" customFormat="1" ht="15" customHeight="1" x14ac:dyDescent="0.25">
      <c r="A17" s="31" t="s">
        <v>950</v>
      </c>
      <c r="B17" s="3" t="s">
        <v>346</v>
      </c>
      <c r="C17" s="3" t="s">
        <v>1635</v>
      </c>
      <c r="D17" s="5" t="s">
        <v>384</v>
      </c>
      <c r="E17" s="5" t="s">
        <v>2017</v>
      </c>
      <c r="F17" s="7" t="s">
        <v>422</v>
      </c>
      <c r="G17" s="7" t="s">
        <v>2145</v>
      </c>
      <c r="H17" s="32"/>
      <c r="I17" s="32"/>
      <c r="M17" s="16">
        <v>1</v>
      </c>
      <c r="N17" s="25">
        <v>1</v>
      </c>
      <c r="O17" s="28">
        <v>1</v>
      </c>
      <c r="P17" s="249"/>
    </row>
    <row r="18" spans="1:16" s="31" customFormat="1" ht="15" customHeight="1" x14ac:dyDescent="0.25">
      <c r="A18" s="31" t="s">
        <v>951</v>
      </c>
      <c r="B18" s="3" t="s">
        <v>347</v>
      </c>
      <c r="C18" s="3" t="s">
        <v>1636</v>
      </c>
      <c r="D18" s="5" t="s">
        <v>385</v>
      </c>
      <c r="E18" s="5" t="s">
        <v>2018</v>
      </c>
      <c r="F18" s="7" t="s">
        <v>423</v>
      </c>
      <c r="G18" s="7" t="s">
        <v>2146</v>
      </c>
      <c r="H18" s="32"/>
      <c r="I18" s="32"/>
      <c r="M18" s="16">
        <v>1</v>
      </c>
      <c r="N18" s="25">
        <v>1</v>
      </c>
      <c r="O18" s="28">
        <v>1</v>
      </c>
      <c r="P18" s="249"/>
    </row>
    <row r="19" spans="1:16" s="31" customFormat="1" ht="15" customHeight="1" x14ac:dyDescent="0.25">
      <c r="A19" s="31" t="s">
        <v>952</v>
      </c>
      <c r="B19" s="3" t="s">
        <v>348</v>
      </c>
      <c r="C19" s="3" t="s">
        <v>1637</v>
      </c>
      <c r="D19" s="5" t="s">
        <v>386</v>
      </c>
      <c r="E19" s="5" t="s">
        <v>2019</v>
      </c>
      <c r="F19" s="7" t="s">
        <v>424</v>
      </c>
      <c r="G19" s="7" t="s">
        <v>2147</v>
      </c>
      <c r="H19" s="32"/>
      <c r="I19" s="32"/>
      <c r="M19" s="16">
        <v>1</v>
      </c>
      <c r="N19" s="25">
        <v>1</v>
      </c>
      <c r="O19" s="28">
        <v>1</v>
      </c>
      <c r="P19" s="249"/>
    </row>
    <row r="20" spans="1:16" s="31" customFormat="1" ht="15" customHeight="1" x14ac:dyDescent="0.25">
      <c r="A20" s="31" t="s">
        <v>953</v>
      </c>
      <c r="B20" s="3" t="s">
        <v>349</v>
      </c>
      <c r="C20" s="3" t="s">
        <v>1638</v>
      </c>
      <c r="D20" s="5" t="s">
        <v>387</v>
      </c>
      <c r="E20" s="5" t="s">
        <v>2020</v>
      </c>
      <c r="F20" s="7" t="s">
        <v>425</v>
      </c>
      <c r="G20" s="7" t="s">
        <v>2148</v>
      </c>
      <c r="H20" s="32"/>
      <c r="I20" s="32"/>
      <c r="M20" s="16">
        <v>1</v>
      </c>
      <c r="N20" s="25">
        <v>1</v>
      </c>
      <c r="O20" s="28">
        <v>1</v>
      </c>
      <c r="P20" s="249"/>
    </row>
    <row r="21" spans="1:16" s="31" customFormat="1" ht="15" customHeight="1" x14ac:dyDescent="0.25">
      <c r="A21" s="31" t="s">
        <v>954</v>
      </c>
      <c r="B21" s="3" t="s">
        <v>350</v>
      </c>
      <c r="C21" s="3" t="s">
        <v>1639</v>
      </c>
      <c r="D21" s="5" t="s">
        <v>388</v>
      </c>
      <c r="E21" s="5" t="s">
        <v>2021</v>
      </c>
      <c r="F21" s="7" t="s">
        <v>426</v>
      </c>
      <c r="G21" s="7" t="s">
        <v>2149</v>
      </c>
      <c r="H21" s="32"/>
      <c r="I21" s="32"/>
      <c r="M21" s="16">
        <v>1</v>
      </c>
      <c r="N21" s="25">
        <v>1</v>
      </c>
      <c r="O21" s="28">
        <v>1</v>
      </c>
      <c r="P21" s="249"/>
    </row>
    <row r="22" spans="1:16" s="31" customFormat="1" ht="15" customHeight="1" x14ac:dyDescent="0.25">
      <c r="A22" s="31" t="s">
        <v>971</v>
      </c>
      <c r="B22" s="3" t="s">
        <v>351</v>
      </c>
      <c r="C22" s="3" t="s">
        <v>1640</v>
      </c>
      <c r="D22" s="5" t="s">
        <v>389</v>
      </c>
      <c r="E22" s="5" t="s">
        <v>2022</v>
      </c>
      <c r="F22" s="7" t="s">
        <v>427</v>
      </c>
      <c r="G22" s="7" t="s">
        <v>2150</v>
      </c>
      <c r="H22" s="32"/>
      <c r="I22" s="32"/>
      <c r="M22" s="16">
        <v>1</v>
      </c>
      <c r="N22" s="25">
        <v>1</v>
      </c>
      <c r="O22" s="28">
        <v>1</v>
      </c>
      <c r="P22" s="249"/>
    </row>
    <row r="23" spans="1:16" s="31" customFormat="1" ht="15" customHeight="1" x14ac:dyDescent="0.25">
      <c r="A23" s="31" t="s">
        <v>955</v>
      </c>
      <c r="B23" s="3" t="s">
        <v>352</v>
      </c>
      <c r="C23" s="3" t="s">
        <v>1641</v>
      </c>
      <c r="D23" s="5" t="s">
        <v>390</v>
      </c>
      <c r="E23" s="5" t="s">
        <v>2023</v>
      </c>
      <c r="F23" s="7" t="s">
        <v>428</v>
      </c>
      <c r="G23" s="7" t="s">
        <v>2151</v>
      </c>
      <c r="H23" s="32"/>
      <c r="I23" s="32"/>
      <c r="M23" s="16">
        <v>1</v>
      </c>
      <c r="N23" s="25">
        <v>1</v>
      </c>
      <c r="O23" s="28">
        <v>1</v>
      </c>
      <c r="P23" s="249"/>
    </row>
    <row r="24" spans="1:16" s="31" customFormat="1" ht="15" customHeight="1" x14ac:dyDescent="0.25">
      <c r="A24" s="31" t="s">
        <v>972</v>
      </c>
      <c r="B24" s="3" t="s">
        <v>353</v>
      </c>
      <c r="C24" s="3" t="s">
        <v>1642</v>
      </c>
      <c r="D24" s="5" t="s">
        <v>391</v>
      </c>
      <c r="E24" s="5" t="s">
        <v>2024</v>
      </c>
      <c r="F24" s="7" t="s">
        <v>429</v>
      </c>
      <c r="G24" s="7" t="s">
        <v>2152</v>
      </c>
      <c r="H24" s="32"/>
      <c r="I24" s="32"/>
      <c r="M24" s="16">
        <v>1</v>
      </c>
      <c r="N24" s="25">
        <v>1</v>
      </c>
      <c r="O24" s="28">
        <v>1</v>
      </c>
      <c r="P24" s="249"/>
    </row>
    <row r="25" spans="1:16" s="31" customFormat="1" ht="15" customHeight="1" x14ac:dyDescent="0.25">
      <c r="A25" s="31" t="s">
        <v>973</v>
      </c>
      <c r="B25" s="17"/>
      <c r="C25" s="17"/>
      <c r="D25" s="23"/>
      <c r="E25" s="23"/>
      <c r="F25" s="27"/>
      <c r="G25" s="27"/>
      <c r="H25" s="32"/>
      <c r="I25" s="32"/>
      <c r="M25" s="16">
        <v>1</v>
      </c>
      <c r="N25" s="25">
        <v>1</v>
      </c>
      <c r="O25" s="28">
        <v>1</v>
      </c>
      <c r="P25" s="249"/>
    </row>
    <row r="26" spans="1:16" s="31" customFormat="1" ht="15" customHeight="1" x14ac:dyDescent="0.25">
      <c r="A26" s="31" t="s">
        <v>950</v>
      </c>
      <c r="B26" s="3" t="s">
        <v>354</v>
      </c>
      <c r="C26" s="3" t="s">
        <v>1643</v>
      </c>
      <c r="D26" s="5" t="s">
        <v>392</v>
      </c>
      <c r="E26" s="5" t="s">
        <v>2025</v>
      </c>
      <c r="F26" s="7" t="s">
        <v>430</v>
      </c>
      <c r="G26" s="7" t="s">
        <v>2153</v>
      </c>
      <c r="H26" s="32"/>
      <c r="I26" s="32"/>
      <c r="M26" s="16">
        <v>5</v>
      </c>
      <c r="N26" s="25">
        <v>5</v>
      </c>
      <c r="O26" s="28">
        <v>5</v>
      </c>
      <c r="P26" s="249" t="s">
        <v>1901</v>
      </c>
    </row>
    <row r="27" spans="1:16" s="31" customFormat="1" ht="15" customHeight="1" x14ac:dyDescent="0.25">
      <c r="A27" s="31" t="s">
        <v>951</v>
      </c>
      <c r="B27" s="3" t="s">
        <v>355</v>
      </c>
      <c r="C27" s="3" t="s">
        <v>1644</v>
      </c>
      <c r="D27" s="5" t="s">
        <v>393</v>
      </c>
      <c r="E27" s="5" t="s">
        <v>2026</v>
      </c>
      <c r="F27" s="7" t="s">
        <v>431</v>
      </c>
      <c r="G27" s="7" t="s">
        <v>2154</v>
      </c>
      <c r="H27" s="32"/>
      <c r="I27" s="32"/>
      <c r="M27" s="16">
        <v>5</v>
      </c>
      <c r="N27" s="25">
        <v>5</v>
      </c>
      <c r="O27" s="28">
        <v>5</v>
      </c>
      <c r="P27" s="249" t="s">
        <v>1902</v>
      </c>
    </row>
    <row r="28" spans="1:16" s="31" customFormat="1" ht="15" customHeight="1" x14ac:dyDescent="0.25">
      <c r="A28" s="31" t="s">
        <v>952</v>
      </c>
      <c r="B28" s="3" t="s">
        <v>356</v>
      </c>
      <c r="C28" s="3" t="s">
        <v>1645</v>
      </c>
      <c r="D28" s="5" t="s">
        <v>394</v>
      </c>
      <c r="E28" s="5" t="s">
        <v>2027</v>
      </c>
      <c r="F28" s="7" t="s">
        <v>432</v>
      </c>
      <c r="G28" s="7" t="s">
        <v>2155</v>
      </c>
      <c r="H28" s="32"/>
      <c r="I28" s="32"/>
      <c r="M28" s="16">
        <v>1</v>
      </c>
      <c r="N28" s="25">
        <v>1</v>
      </c>
      <c r="O28" s="28">
        <v>1</v>
      </c>
      <c r="P28" s="249"/>
    </row>
    <row r="29" spans="1:16" s="31" customFormat="1" ht="15" customHeight="1" x14ac:dyDescent="0.25">
      <c r="A29" s="31" t="s">
        <v>953</v>
      </c>
      <c r="B29" s="3" t="s">
        <v>357</v>
      </c>
      <c r="C29" s="3" t="s">
        <v>1646</v>
      </c>
      <c r="D29" s="5" t="s">
        <v>395</v>
      </c>
      <c r="E29" s="5" t="s">
        <v>2028</v>
      </c>
      <c r="F29" s="7" t="s">
        <v>433</v>
      </c>
      <c r="G29" s="7" t="s">
        <v>2156</v>
      </c>
      <c r="H29" s="32"/>
      <c r="I29" s="32"/>
      <c r="M29" s="16">
        <v>1</v>
      </c>
      <c r="N29" s="25">
        <v>1</v>
      </c>
      <c r="O29" s="28">
        <v>1</v>
      </c>
      <c r="P29" s="249"/>
    </row>
    <row r="30" spans="1:16" s="31" customFormat="1" ht="15" customHeight="1" x14ac:dyDescent="0.25">
      <c r="A30" s="31" t="s">
        <v>954</v>
      </c>
      <c r="B30" s="3" t="s">
        <v>358</v>
      </c>
      <c r="C30" s="3" t="s">
        <v>1647</v>
      </c>
      <c r="D30" s="5" t="s">
        <v>396</v>
      </c>
      <c r="E30" s="5" t="s">
        <v>2029</v>
      </c>
      <c r="F30" s="7" t="s">
        <v>434</v>
      </c>
      <c r="G30" s="7" t="s">
        <v>2157</v>
      </c>
      <c r="H30" s="32"/>
      <c r="I30" s="32"/>
      <c r="M30" s="16">
        <v>5</v>
      </c>
      <c r="N30" s="25">
        <v>5</v>
      </c>
      <c r="O30" s="28">
        <v>5</v>
      </c>
      <c r="P30" s="249" t="s">
        <v>1903</v>
      </c>
    </row>
    <row r="31" spans="1:16" s="31" customFormat="1" ht="15" customHeight="1" x14ac:dyDescent="0.25">
      <c r="A31" s="31" t="s">
        <v>956</v>
      </c>
      <c r="B31" s="3" t="s">
        <v>359</v>
      </c>
      <c r="C31" s="3" t="s">
        <v>1648</v>
      </c>
      <c r="D31" s="5" t="s">
        <v>397</v>
      </c>
      <c r="E31" s="5" t="s">
        <v>2030</v>
      </c>
      <c r="F31" s="7" t="s">
        <v>435</v>
      </c>
      <c r="G31" s="7" t="s">
        <v>2158</v>
      </c>
      <c r="H31" s="32"/>
      <c r="I31" s="32"/>
      <c r="M31" s="16">
        <v>1</v>
      </c>
      <c r="N31" s="25">
        <v>1</v>
      </c>
      <c r="O31" s="28">
        <v>1</v>
      </c>
      <c r="P31" s="249"/>
    </row>
    <row r="32" spans="1:16" s="31" customFormat="1" ht="15" customHeight="1" x14ac:dyDescent="0.25">
      <c r="A32" s="31" t="s">
        <v>974</v>
      </c>
      <c r="B32" s="3" t="s">
        <v>360</v>
      </c>
      <c r="C32" s="3" t="s">
        <v>1649</v>
      </c>
      <c r="D32" s="5" t="s">
        <v>398</v>
      </c>
      <c r="E32" s="5" t="s">
        <v>2031</v>
      </c>
      <c r="F32" s="7" t="s">
        <v>436</v>
      </c>
      <c r="G32" s="7" t="s">
        <v>2159</v>
      </c>
      <c r="H32" s="32"/>
      <c r="I32" s="32"/>
      <c r="M32" s="16">
        <v>5</v>
      </c>
      <c r="N32" s="25">
        <v>5</v>
      </c>
      <c r="O32" s="28">
        <v>5</v>
      </c>
      <c r="P32" s="249" t="s">
        <v>1905</v>
      </c>
    </row>
    <row r="33" spans="1:16" s="31" customFormat="1" ht="15" customHeight="1" x14ac:dyDescent="0.25">
      <c r="A33" s="31" t="s">
        <v>975</v>
      </c>
      <c r="B33" s="3" t="s">
        <v>361</v>
      </c>
      <c r="C33" s="3" t="s">
        <v>1650</v>
      </c>
      <c r="D33" s="5" t="s">
        <v>399</v>
      </c>
      <c r="E33" s="5" t="s">
        <v>2032</v>
      </c>
      <c r="F33" s="7" t="s">
        <v>437</v>
      </c>
      <c r="G33" s="7" t="s">
        <v>2160</v>
      </c>
      <c r="H33" s="32"/>
      <c r="I33" s="32"/>
      <c r="M33" s="16">
        <v>1</v>
      </c>
      <c r="N33" s="25">
        <v>1</v>
      </c>
      <c r="O33" s="28">
        <v>1</v>
      </c>
      <c r="P33" s="249"/>
    </row>
    <row r="34" spans="1:16" s="31" customFormat="1" ht="15" customHeight="1" x14ac:dyDescent="0.25">
      <c r="A34" s="33" t="s">
        <v>976</v>
      </c>
      <c r="B34" s="3" t="s">
        <v>362</v>
      </c>
      <c r="C34" s="3" t="s">
        <v>1651</v>
      </c>
      <c r="D34" s="5" t="s">
        <v>400</v>
      </c>
      <c r="E34" s="5" t="s">
        <v>2033</v>
      </c>
      <c r="F34" s="7" t="s">
        <v>438</v>
      </c>
      <c r="G34" s="7" t="s">
        <v>2161</v>
      </c>
      <c r="H34" s="32"/>
      <c r="I34" s="32"/>
      <c r="M34" s="16">
        <v>1</v>
      </c>
      <c r="N34" s="25">
        <v>1</v>
      </c>
      <c r="O34" s="28">
        <v>1</v>
      </c>
      <c r="P34" s="249"/>
    </row>
    <row r="35" spans="1:16" s="31" customFormat="1" ht="15" hidden="1" customHeight="1" x14ac:dyDescent="0.25">
      <c r="A35" s="31" t="s">
        <v>620</v>
      </c>
      <c r="B35" s="1"/>
      <c r="C35" s="1"/>
      <c r="D35" s="34"/>
      <c r="E35" s="34"/>
      <c r="F35" s="35"/>
      <c r="G35" s="35"/>
      <c r="H35" s="9"/>
      <c r="I35" s="9"/>
      <c r="M35" s="16"/>
      <c r="N35" s="25"/>
      <c r="O35" s="28"/>
      <c r="P35" s="249"/>
    </row>
    <row r="36" spans="1:16" s="31" customFormat="1" ht="15" hidden="1" customHeight="1" x14ac:dyDescent="0.25">
      <c r="A36" s="31" t="s">
        <v>957</v>
      </c>
      <c r="B36" s="17"/>
      <c r="C36" s="17"/>
      <c r="D36" s="23"/>
      <c r="E36" s="23"/>
      <c r="F36" s="27"/>
      <c r="G36" s="27"/>
      <c r="H36" s="32"/>
      <c r="I36" s="32"/>
      <c r="M36" s="16"/>
      <c r="N36" s="25"/>
      <c r="O36" s="28"/>
      <c r="P36" s="249"/>
    </row>
    <row r="37" spans="1:16" s="31" customFormat="1" ht="15" hidden="1" customHeight="1" x14ac:dyDescent="0.25">
      <c r="A37" s="31" t="s">
        <v>958</v>
      </c>
      <c r="B37" s="3" t="s">
        <v>363</v>
      </c>
      <c r="C37" s="3" t="s">
        <v>1652</v>
      </c>
      <c r="D37" s="5" t="s">
        <v>401</v>
      </c>
      <c r="E37" s="5" t="s">
        <v>2034</v>
      </c>
      <c r="F37" s="7" t="s">
        <v>439</v>
      </c>
      <c r="G37" s="7" t="s">
        <v>2162</v>
      </c>
      <c r="H37" s="32"/>
      <c r="I37" s="32"/>
      <c r="M37" s="16"/>
      <c r="N37" s="25"/>
      <c r="O37" s="28"/>
      <c r="P37" s="249"/>
    </row>
    <row r="38" spans="1:16" s="31" customFormat="1" ht="15" hidden="1" customHeight="1" x14ac:dyDescent="0.25">
      <c r="A38" s="31" t="s">
        <v>959</v>
      </c>
      <c r="B38" s="3" t="s">
        <v>364</v>
      </c>
      <c r="C38" s="3" t="s">
        <v>1653</v>
      </c>
      <c r="D38" s="5" t="s">
        <v>402</v>
      </c>
      <c r="E38" s="5" t="s">
        <v>2035</v>
      </c>
      <c r="F38" s="7" t="s">
        <v>440</v>
      </c>
      <c r="G38" s="7" t="s">
        <v>2163</v>
      </c>
      <c r="H38" s="32"/>
      <c r="I38" s="32"/>
      <c r="M38" s="16"/>
      <c r="N38" s="25"/>
      <c r="O38" s="28"/>
      <c r="P38" s="249"/>
    </row>
    <row r="39" spans="1:16" s="31" customFormat="1" ht="15" hidden="1" customHeight="1" x14ac:dyDescent="0.25">
      <c r="A39" s="31" t="s">
        <v>960</v>
      </c>
      <c r="B39" s="3" t="s">
        <v>365</v>
      </c>
      <c r="C39" s="3" t="s">
        <v>1654</v>
      </c>
      <c r="D39" s="5" t="s">
        <v>403</v>
      </c>
      <c r="E39" s="5" t="s">
        <v>2036</v>
      </c>
      <c r="F39" s="7" t="s">
        <v>441</v>
      </c>
      <c r="G39" s="7" t="s">
        <v>2164</v>
      </c>
      <c r="H39" s="32"/>
      <c r="I39" s="32"/>
      <c r="M39" s="16"/>
      <c r="N39" s="25"/>
      <c r="O39" s="28"/>
      <c r="P39" s="249"/>
    </row>
    <row r="40" spans="1:16" s="31" customFormat="1" ht="15" hidden="1" customHeight="1" x14ac:dyDescent="0.25">
      <c r="A40" s="31" t="s">
        <v>961</v>
      </c>
      <c r="B40" s="3" t="s">
        <v>366</v>
      </c>
      <c r="C40" s="3" t="s">
        <v>1655</v>
      </c>
      <c r="D40" s="5" t="s">
        <v>404</v>
      </c>
      <c r="E40" s="5" t="s">
        <v>2037</v>
      </c>
      <c r="F40" s="7" t="s">
        <v>442</v>
      </c>
      <c r="G40" s="7" t="s">
        <v>2165</v>
      </c>
      <c r="H40" s="32"/>
      <c r="I40" s="32"/>
      <c r="M40" s="16"/>
      <c r="N40" s="25"/>
      <c r="O40" s="28"/>
      <c r="P40" s="249"/>
    </row>
    <row r="41" spans="1:16" s="31" customFormat="1" ht="15" hidden="1" customHeight="1" x14ac:dyDescent="0.25">
      <c r="A41" s="31" t="s">
        <v>962</v>
      </c>
      <c r="B41" s="3" t="s">
        <v>367</v>
      </c>
      <c r="C41" s="3" t="s">
        <v>1656</v>
      </c>
      <c r="D41" s="5" t="s">
        <v>405</v>
      </c>
      <c r="E41" s="5" t="s">
        <v>2038</v>
      </c>
      <c r="F41" s="7" t="s">
        <v>443</v>
      </c>
      <c r="G41" s="7" t="s">
        <v>2166</v>
      </c>
      <c r="H41" s="32"/>
      <c r="I41" s="32"/>
      <c r="M41" s="16"/>
      <c r="N41" s="25"/>
      <c r="O41" s="28"/>
      <c r="P41" s="249"/>
    </row>
    <row r="42" spans="1:16" s="31" customFormat="1" ht="15" hidden="1" customHeight="1" x14ac:dyDescent="0.25">
      <c r="A42" s="31" t="s">
        <v>963</v>
      </c>
      <c r="B42" s="3" t="s">
        <v>368</v>
      </c>
      <c r="C42" s="3" t="s">
        <v>1657</v>
      </c>
      <c r="D42" s="5" t="s">
        <v>406</v>
      </c>
      <c r="E42" s="5" t="s">
        <v>2039</v>
      </c>
      <c r="F42" s="7" t="s">
        <v>444</v>
      </c>
      <c r="G42" s="7" t="s">
        <v>2167</v>
      </c>
      <c r="H42" s="32"/>
      <c r="I42" s="32"/>
      <c r="M42" s="16"/>
      <c r="N42" s="25"/>
      <c r="O42" s="28"/>
      <c r="P42" s="249"/>
    </row>
    <row r="43" spans="1:16" s="31" customFormat="1" ht="15" hidden="1" customHeight="1" x14ac:dyDescent="0.25">
      <c r="A43" s="31" t="s">
        <v>964</v>
      </c>
      <c r="B43" s="3" t="s">
        <v>369</v>
      </c>
      <c r="C43" s="3" t="s">
        <v>1658</v>
      </c>
      <c r="D43" s="5" t="s">
        <v>407</v>
      </c>
      <c r="E43" s="5" t="s">
        <v>2040</v>
      </c>
      <c r="F43" s="7" t="s">
        <v>445</v>
      </c>
      <c r="G43" s="7" t="s">
        <v>2168</v>
      </c>
      <c r="H43" s="32"/>
      <c r="I43" s="32"/>
      <c r="M43" s="16"/>
      <c r="N43" s="25"/>
      <c r="O43" s="28"/>
      <c r="P43" s="249"/>
    </row>
    <row r="44" spans="1:16" s="31" customFormat="1" ht="15" hidden="1" customHeight="1" x14ac:dyDescent="0.25">
      <c r="A44" s="31" t="s">
        <v>617</v>
      </c>
      <c r="B44" s="1"/>
      <c r="C44" s="1"/>
      <c r="D44" s="34"/>
      <c r="E44" s="34"/>
      <c r="F44" s="35"/>
      <c r="G44" s="35"/>
      <c r="H44" s="9"/>
      <c r="I44" s="9"/>
      <c r="M44" s="16"/>
      <c r="N44" s="25"/>
      <c r="O44" s="28"/>
      <c r="P44" s="249"/>
    </row>
    <row r="45" spans="1:16" s="31" customFormat="1" ht="15" hidden="1" customHeight="1" x14ac:dyDescent="0.25">
      <c r="A45" s="31" t="s">
        <v>965</v>
      </c>
      <c r="B45" s="3" t="s">
        <v>370</v>
      </c>
      <c r="C45" s="3" t="s">
        <v>1659</v>
      </c>
      <c r="D45" s="5" t="s">
        <v>408</v>
      </c>
      <c r="E45" s="5" t="s">
        <v>2041</v>
      </c>
      <c r="F45" s="7" t="s">
        <v>446</v>
      </c>
      <c r="G45" s="7" t="s">
        <v>2169</v>
      </c>
      <c r="H45" s="32"/>
      <c r="I45" s="32"/>
      <c r="M45" s="16"/>
      <c r="N45" s="25"/>
      <c r="O45" s="28"/>
      <c r="P45" s="249"/>
    </row>
    <row r="46" spans="1:16" s="31" customFormat="1" ht="15" hidden="1" customHeight="1" x14ac:dyDescent="0.25">
      <c r="A46" s="31" t="s">
        <v>966</v>
      </c>
      <c r="B46" s="17"/>
      <c r="C46" s="17"/>
      <c r="D46" s="23"/>
      <c r="E46" s="23"/>
      <c r="F46" s="27"/>
      <c r="G46" s="27"/>
      <c r="H46" s="32"/>
      <c r="I46" s="32"/>
      <c r="M46" s="16"/>
      <c r="N46" s="25"/>
      <c r="O46" s="28"/>
      <c r="P46" s="249"/>
    </row>
    <row r="47" spans="1:16" s="31" customFormat="1" ht="15" hidden="1" customHeight="1" x14ac:dyDescent="0.25">
      <c r="A47" s="31" t="s">
        <v>967</v>
      </c>
      <c r="B47" s="3" t="s">
        <v>371</v>
      </c>
      <c r="C47" s="3" t="s">
        <v>1660</v>
      </c>
      <c r="D47" s="5" t="s">
        <v>409</v>
      </c>
      <c r="E47" s="5" t="s">
        <v>2042</v>
      </c>
      <c r="F47" s="7" t="s">
        <v>447</v>
      </c>
      <c r="G47" s="7" t="s">
        <v>2170</v>
      </c>
      <c r="H47" s="32"/>
      <c r="I47" s="32"/>
      <c r="M47" s="16"/>
      <c r="N47" s="25"/>
      <c r="O47" s="28"/>
      <c r="P47" s="249"/>
    </row>
    <row r="48" spans="1:16" s="31" customFormat="1" ht="15" hidden="1" customHeight="1" x14ac:dyDescent="0.25">
      <c r="A48" s="31" t="s">
        <v>977</v>
      </c>
      <c r="B48" s="3" t="s">
        <v>372</v>
      </c>
      <c r="C48" s="3" t="s">
        <v>1661</v>
      </c>
      <c r="D48" s="5" t="s">
        <v>410</v>
      </c>
      <c r="E48" s="5" t="s">
        <v>2043</v>
      </c>
      <c r="F48" s="7" t="s">
        <v>448</v>
      </c>
      <c r="G48" s="7" t="s">
        <v>2171</v>
      </c>
      <c r="H48" s="32"/>
      <c r="I48" s="32"/>
      <c r="M48" s="16"/>
      <c r="N48" s="25"/>
      <c r="O48" s="28"/>
      <c r="P48" s="249"/>
    </row>
    <row r="49" spans="1:16" s="31" customFormat="1" ht="15" customHeight="1" x14ac:dyDescent="0.25">
      <c r="B49" s="17"/>
      <c r="C49" s="17"/>
      <c r="D49" s="5"/>
      <c r="E49" s="5"/>
      <c r="F49" s="7"/>
      <c r="G49" s="7"/>
      <c r="H49" s="32"/>
      <c r="I49" s="32"/>
      <c r="M49" s="16"/>
      <c r="N49" s="25"/>
      <c r="O49" s="28"/>
      <c r="P49" s="249"/>
    </row>
    <row r="50" spans="1:16" s="31" customFormat="1" ht="15" customHeight="1" x14ac:dyDescent="0.25">
      <c r="B50" s="17"/>
      <c r="C50" s="17"/>
      <c r="D50" s="5"/>
      <c r="E50" s="5"/>
      <c r="F50" s="7"/>
      <c r="G50" s="7"/>
      <c r="H50" s="32"/>
      <c r="I50" s="32"/>
      <c r="M50" s="16"/>
      <c r="N50" s="25"/>
      <c r="O50" s="28"/>
      <c r="P50" s="249"/>
    </row>
    <row r="51" spans="1:16" s="31" customFormat="1" ht="15" customHeight="1" x14ac:dyDescent="0.25">
      <c r="A51" s="33"/>
      <c r="B51" s="17"/>
      <c r="C51" s="17"/>
      <c r="D51" s="23"/>
      <c r="E51" s="23"/>
      <c r="F51" s="7"/>
      <c r="G51" s="7"/>
      <c r="H51" s="32"/>
      <c r="I51" s="32"/>
      <c r="M51" s="16"/>
      <c r="N51" s="25"/>
      <c r="O51" s="28"/>
      <c r="P51" s="249"/>
    </row>
    <row r="52" spans="1:16" s="31" customFormat="1" ht="15" customHeight="1" x14ac:dyDescent="0.25">
      <c r="A52" s="33"/>
      <c r="B52" s="17"/>
      <c r="C52" s="17"/>
      <c r="D52" s="23"/>
      <c r="E52" s="23"/>
      <c r="F52" s="27"/>
      <c r="G52" s="27"/>
      <c r="H52" s="32"/>
      <c r="I52" s="32"/>
      <c r="M52" s="16"/>
      <c r="N52" s="25"/>
      <c r="O52" s="28"/>
      <c r="P52" s="249"/>
    </row>
    <row r="53" spans="1:16" s="31" customFormat="1" ht="15" customHeight="1" x14ac:dyDescent="0.25">
      <c r="A53" s="33"/>
      <c r="B53" s="17"/>
      <c r="C53" s="17"/>
      <c r="D53" s="23"/>
      <c r="E53" s="23"/>
      <c r="F53" s="27"/>
      <c r="G53" s="27"/>
      <c r="H53" s="32"/>
      <c r="I53" s="32"/>
      <c r="M53" s="16"/>
      <c r="N53" s="25"/>
      <c r="O53" s="28"/>
      <c r="P53" s="249"/>
    </row>
    <row r="54" spans="1:16" s="31" customFormat="1" ht="15" customHeight="1" x14ac:dyDescent="0.25">
      <c r="A54" s="33"/>
      <c r="B54" s="17"/>
      <c r="C54" s="17"/>
      <c r="D54" s="23"/>
      <c r="E54" s="23"/>
      <c r="F54" s="27"/>
      <c r="G54" s="27"/>
      <c r="H54" s="32"/>
      <c r="I54" s="32"/>
      <c r="M54" s="16"/>
      <c r="N54" s="25"/>
      <c r="O54" s="28"/>
      <c r="P54" s="249"/>
    </row>
    <row r="55" spans="1:16" s="31" customFormat="1" ht="15" customHeight="1" x14ac:dyDescent="0.25">
      <c r="A55" s="30"/>
      <c r="B55" s="17"/>
      <c r="C55" s="17"/>
      <c r="D55" s="23"/>
      <c r="E55" s="23"/>
      <c r="F55" s="27"/>
      <c r="G55" s="27"/>
      <c r="H55" s="32"/>
      <c r="I55" s="32"/>
      <c r="M55" s="16"/>
      <c r="N55" s="25"/>
      <c r="O55" s="28"/>
      <c r="P55" s="249"/>
    </row>
    <row r="56" spans="1:16" ht="15" customHeight="1" x14ac:dyDescent="0.25">
      <c r="F56" s="27"/>
      <c r="G56" s="27"/>
      <c r="H56" s="32"/>
      <c r="I56" s="32"/>
    </row>
  </sheetData>
  <autoFilter ref="A2:Q48" xr:uid="{00000000-0009-0000-0000-000007000000}">
    <filterColumn colId="1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O157"/>
  <sheetViews>
    <sheetView topLeftCell="A67" zoomScale="80" zoomScaleNormal="80" workbookViewId="0">
      <selection activeCell="I1" sqref="I1:I1048576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8" width="10.7109375" style="48" customWidth="1"/>
    <col min="9" max="9" width="10.7109375" style="402" customWidth="1"/>
    <col min="10" max="12" width="10.7109375" style="80" customWidth="1"/>
    <col min="13" max="13" width="10.7109375" style="50" customWidth="1"/>
    <col min="14" max="14" width="10.7109375" style="70" customWidth="1"/>
    <col min="15" max="15" width="10.7109375" style="49" customWidth="1"/>
    <col min="16" max="17" width="10.7109375" style="48" customWidth="1"/>
    <col min="18" max="16384" width="9.140625" style="48"/>
  </cols>
  <sheetData>
    <row r="1" spans="1:15" ht="15" customHeight="1" x14ac:dyDescent="0.25">
      <c r="A1" s="46"/>
      <c r="B1" s="9"/>
      <c r="C1" s="9"/>
      <c r="D1" s="79"/>
      <c r="E1" s="79"/>
      <c r="F1" s="79"/>
      <c r="G1" s="79"/>
      <c r="H1" s="79"/>
      <c r="I1" s="401"/>
      <c r="M1" s="50" t="s">
        <v>629</v>
      </c>
      <c r="N1" s="79"/>
      <c r="O1" s="79"/>
    </row>
    <row r="2" spans="1:15" ht="15" customHeight="1" x14ac:dyDescent="0.25">
      <c r="A2" s="80" t="s">
        <v>1770</v>
      </c>
      <c r="B2" s="1" t="s">
        <v>1622</v>
      </c>
      <c r="C2" s="1" t="s">
        <v>1623</v>
      </c>
      <c r="H2" s="48" t="s">
        <v>1887</v>
      </c>
      <c r="J2" s="80" t="s">
        <v>1884</v>
      </c>
      <c r="K2" s="80" t="s">
        <v>1885</v>
      </c>
      <c r="L2" s="80" t="s">
        <v>1886</v>
      </c>
      <c r="M2" s="50" t="s">
        <v>170</v>
      </c>
      <c r="N2" s="70" t="s">
        <v>171</v>
      </c>
      <c r="O2" s="49" t="s">
        <v>172</v>
      </c>
    </row>
    <row r="3" spans="1:15" ht="15" customHeight="1" x14ac:dyDescent="0.25">
      <c r="A3" s="41" t="s">
        <v>1866</v>
      </c>
      <c r="B3" s="2" t="s">
        <v>170</v>
      </c>
      <c r="C3" s="2"/>
      <c r="D3" s="70" t="s">
        <v>171</v>
      </c>
      <c r="F3" s="49" t="s">
        <v>172</v>
      </c>
      <c r="J3" s="80" t="s">
        <v>1882</v>
      </c>
      <c r="K3" s="80" t="s">
        <v>1883</v>
      </c>
    </row>
    <row r="4" spans="1:15" ht="15" customHeight="1" x14ac:dyDescent="0.25">
      <c r="A4" s="46" t="s">
        <v>856</v>
      </c>
    </row>
    <row r="5" spans="1:15" ht="15" customHeight="1" x14ac:dyDescent="0.25">
      <c r="A5" s="46" t="s">
        <v>857</v>
      </c>
      <c r="B5" s="3" t="s">
        <v>0</v>
      </c>
      <c r="C5" s="3"/>
      <c r="D5" s="5" t="s">
        <v>88</v>
      </c>
      <c r="E5" s="5"/>
      <c r="F5" s="7" t="s">
        <v>129</v>
      </c>
      <c r="G5" s="7"/>
    </row>
    <row r="6" spans="1:15" ht="15" customHeight="1" x14ac:dyDescent="0.25">
      <c r="A6" s="46" t="s">
        <v>1566</v>
      </c>
      <c r="B6" s="3"/>
      <c r="C6" s="3"/>
      <c r="D6" s="5"/>
      <c r="E6" s="5"/>
      <c r="F6" s="7"/>
      <c r="G6" s="7"/>
    </row>
    <row r="7" spans="1:15" ht="15" customHeight="1" x14ac:dyDescent="0.25">
      <c r="A7" s="46" t="s">
        <v>859</v>
      </c>
      <c r="B7" s="3" t="s">
        <v>1</v>
      </c>
      <c r="C7" s="3"/>
      <c r="D7" s="5" t="s">
        <v>89</v>
      </c>
      <c r="E7" s="5"/>
      <c r="F7" s="7" t="s">
        <v>130</v>
      </c>
      <c r="G7" s="7"/>
    </row>
    <row r="8" spans="1:15" ht="15" customHeight="1" x14ac:dyDescent="0.25">
      <c r="A8" s="46" t="s">
        <v>860</v>
      </c>
      <c r="B8" s="3" t="s">
        <v>2</v>
      </c>
      <c r="C8" s="3"/>
      <c r="D8" s="5" t="s">
        <v>90</v>
      </c>
      <c r="E8" s="5"/>
      <c r="F8" s="7" t="s">
        <v>131</v>
      </c>
      <c r="G8" s="7"/>
    </row>
    <row r="9" spans="1:15" ht="15" customHeight="1" x14ac:dyDescent="0.25">
      <c r="A9" s="46" t="s">
        <v>1552</v>
      </c>
      <c r="B9" s="3" t="s">
        <v>2466</v>
      </c>
      <c r="C9" s="3"/>
      <c r="D9" s="5" t="s">
        <v>2466</v>
      </c>
      <c r="E9" s="5"/>
      <c r="F9" s="7" t="s">
        <v>2466</v>
      </c>
      <c r="G9" s="7"/>
      <c r="H9" s="48" t="e">
        <f ca="1">AI_SUM(A7,A8)</f>
        <v>#NAME?</v>
      </c>
    </row>
    <row r="10" spans="1:15" ht="15" customHeight="1" x14ac:dyDescent="0.25">
      <c r="A10" s="46" t="s">
        <v>1568</v>
      </c>
      <c r="B10" s="3" t="s">
        <v>3</v>
      </c>
      <c r="C10" s="3"/>
      <c r="D10" s="5" t="s">
        <v>91</v>
      </c>
      <c r="E10" s="5"/>
      <c r="F10" s="7" t="s">
        <v>132</v>
      </c>
      <c r="G10" s="7"/>
    </row>
    <row r="11" spans="1:15" ht="15" customHeight="1" x14ac:dyDescent="0.25">
      <c r="A11" s="46" t="s">
        <v>861</v>
      </c>
      <c r="B11" s="3"/>
      <c r="C11" s="3"/>
      <c r="D11" s="5"/>
      <c r="E11" s="5"/>
      <c r="F11" s="7"/>
      <c r="G11" s="7"/>
    </row>
    <row r="12" spans="1:15" ht="15" customHeight="1" x14ac:dyDescent="0.25">
      <c r="A12" s="46" t="s">
        <v>852</v>
      </c>
      <c r="B12" s="3"/>
      <c r="C12" s="3"/>
      <c r="D12" s="5"/>
      <c r="E12" s="5"/>
      <c r="F12" s="7"/>
      <c r="G12" s="7"/>
    </row>
    <row r="13" spans="1:15" ht="15" customHeight="1" x14ac:dyDescent="0.25">
      <c r="A13" s="46" t="s">
        <v>862</v>
      </c>
      <c r="B13" s="3" t="s">
        <v>4</v>
      </c>
      <c r="C13" s="3"/>
      <c r="D13" s="5" t="s">
        <v>92</v>
      </c>
      <c r="E13" s="5"/>
      <c r="F13" s="7" t="s">
        <v>133</v>
      </c>
      <c r="G13" s="7"/>
    </row>
    <row r="14" spans="1:15" ht="15" customHeight="1" x14ac:dyDescent="0.25">
      <c r="A14" s="46" t="s">
        <v>1569</v>
      </c>
      <c r="B14" s="3" t="s">
        <v>5</v>
      </c>
      <c r="C14" s="3"/>
      <c r="D14" s="5" t="s">
        <v>93</v>
      </c>
      <c r="E14" s="5"/>
      <c r="F14" s="7" t="s">
        <v>134</v>
      </c>
      <c r="G14" s="7"/>
    </row>
    <row r="15" spans="1:15" ht="15" customHeight="1" x14ac:dyDescent="0.25">
      <c r="A15" s="46" t="s">
        <v>863</v>
      </c>
      <c r="B15" s="3" t="s">
        <v>6</v>
      </c>
      <c r="C15" s="3"/>
      <c r="D15" s="5" t="s">
        <v>94</v>
      </c>
      <c r="E15" s="5"/>
      <c r="F15" s="7" t="s">
        <v>135</v>
      </c>
      <c r="G15" s="7"/>
    </row>
    <row r="16" spans="1:15" ht="15" customHeight="1" x14ac:dyDescent="0.25">
      <c r="A16" s="46" t="s">
        <v>864</v>
      </c>
      <c r="B16" s="3" t="s">
        <v>7</v>
      </c>
      <c r="C16" s="3"/>
      <c r="D16" s="5" t="s">
        <v>95</v>
      </c>
      <c r="E16" s="5"/>
      <c r="F16" s="7" t="s">
        <v>136</v>
      </c>
      <c r="G16" s="7"/>
    </row>
    <row r="17" spans="1:8" ht="15" customHeight="1" x14ac:dyDescent="0.25">
      <c r="A17" s="46" t="s">
        <v>1553</v>
      </c>
      <c r="B17" s="3" t="s">
        <v>2467</v>
      </c>
      <c r="C17" s="3"/>
      <c r="D17" s="5" t="s">
        <v>2467</v>
      </c>
      <c r="E17" s="5"/>
      <c r="F17" s="7" t="s">
        <v>2467</v>
      </c>
      <c r="G17" s="7"/>
      <c r="H17" s="48" t="e">
        <f ca="1">AI_SUM(A13,A14,A15,A16)</f>
        <v>#NAME?</v>
      </c>
    </row>
    <row r="18" spans="1:8" ht="15" customHeight="1" x14ac:dyDescent="0.25">
      <c r="A18" s="46" t="s">
        <v>865</v>
      </c>
      <c r="B18" s="3"/>
      <c r="C18" s="3"/>
      <c r="D18" s="5"/>
      <c r="E18" s="5"/>
      <c r="F18" s="7"/>
      <c r="G18" s="7"/>
    </row>
    <row r="19" spans="1:8" ht="15" customHeight="1" x14ac:dyDescent="0.25">
      <c r="A19" s="46" t="s">
        <v>866</v>
      </c>
      <c r="B19" s="3"/>
      <c r="C19" s="3"/>
      <c r="D19" s="5"/>
      <c r="E19" s="5"/>
      <c r="F19" s="7"/>
      <c r="G19" s="7"/>
    </row>
    <row r="20" spans="1:8" ht="15" customHeight="1" x14ac:dyDescent="0.25">
      <c r="A20" s="46" t="s">
        <v>899</v>
      </c>
      <c r="B20" s="3" t="s">
        <v>8</v>
      </c>
      <c r="C20" s="3"/>
      <c r="D20" s="5" t="s">
        <v>96</v>
      </c>
      <c r="E20" s="5"/>
      <c r="F20" s="7" t="s">
        <v>137</v>
      </c>
      <c r="G20" s="7"/>
    </row>
    <row r="21" spans="1:8" ht="15" customHeight="1" x14ac:dyDescent="0.25">
      <c r="A21" s="46" t="s">
        <v>900</v>
      </c>
      <c r="B21" s="3" t="s">
        <v>9</v>
      </c>
      <c r="C21" s="3"/>
      <c r="D21" s="5" t="s">
        <v>97</v>
      </c>
      <c r="E21" s="5"/>
      <c r="F21" s="7" t="s">
        <v>138</v>
      </c>
      <c r="G21" s="7"/>
    </row>
    <row r="22" spans="1:8" ht="15" customHeight="1" x14ac:dyDescent="0.25">
      <c r="A22" s="46" t="s">
        <v>901</v>
      </c>
      <c r="B22" s="3" t="s">
        <v>10</v>
      </c>
      <c r="C22" s="3"/>
      <c r="D22" s="5" t="s">
        <v>98</v>
      </c>
      <c r="E22" s="5"/>
      <c r="F22" s="7" t="s">
        <v>139</v>
      </c>
      <c r="G22" s="7"/>
    </row>
    <row r="23" spans="1:8" ht="15" customHeight="1" x14ac:dyDescent="0.25">
      <c r="A23" s="46" t="s">
        <v>1554</v>
      </c>
      <c r="B23" s="3" t="s">
        <v>2468</v>
      </c>
      <c r="C23" s="3"/>
      <c r="D23" s="5" t="s">
        <v>2468</v>
      </c>
      <c r="E23" s="5"/>
      <c r="F23" s="7" t="s">
        <v>2468</v>
      </c>
      <c r="G23" s="7"/>
      <c r="H23" s="48" t="e">
        <f ca="1">AI_SUM(A20,A21,A22)</f>
        <v>#NAME?</v>
      </c>
    </row>
    <row r="24" spans="1:8" ht="15" customHeight="1" x14ac:dyDescent="0.25">
      <c r="A24" s="46" t="s">
        <v>867</v>
      </c>
      <c r="B24" s="3"/>
      <c r="C24" s="3"/>
      <c r="D24" s="5"/>
      <c r="E24" s="5"/>
      <c r="F24" s="7"/>
      <c r="G24" s="7"/>
    </row>
    <row r="25" spans="1:8" ht="15" customHeight="1" x14ac:dyDescent="0.25">
      <c r="A25" s="46" t="s">
        <v>902</v>
      </c>
      <c r="B25" s="3" t="s">
        <v>11</v>
      </c>
      <c r="C25" s="3"/>
      <c r="D25" s="5" t="s">
        <v>99</v>
      </c>
      <c r="E25" s="5"/>
      <c r="F25" s="7" t="s">
        <v>140</v>
      </c>
      <c r="G25" s="7"/>
    </row>
    <row r="26" spans="1:8" ht="15" customHeight="1" x14ac:dyDescent="0.25">
      <c r="A26" s="46" t="s">
        <v>903</v>
      </c>
      <c r="B26" s="3"/>
      <c r="C26" s="3"/>
      <c r="D26" s="5"/>
      <c r="E26" s="5"/>
      <c r="F26" s="7"/>
      <c r="G26" s="7"/>
    </row>
    <row r="27" spans="1:8" ht="15" customHeight="1" x14ac:dyDescent="0.25">
      <c r="A27" s="46" t="s">
        <v>1567</v>
      </c>
      <c r="B27" s="3" t="s">
        <v>12</v>
      </c>
      <c r="C27" s="3"/>
      <c r="D27" s="5" t="s">
        <v>100</v>
      </c>
      <c r="E27" s="5"/>
      <c r="F27" s="7" t="s">
        <v>141</v>
      </c>
      <c r="G27" s="7"/>
    </row>
    <row r="28" spans="1:8" ht="15" customHeight="1" x14ac:dyDescent="0.25">
      <c r="A28" s="46" t="s">
        <v>901</v>
      </c>
      <c r="B28" s="3" t="s">
        <v>13</v>
      </c>
      <c r="C28" s="3"/>
      <c r="D28" s="5" t="s">
        <v>101</v>
      </c>
      <c r="E28" s="5"/>
      <c r="F28" s="7" t="s">
        <v>142</v>
      </c>
      <c r="G28" s="7"/>
    </row>
    <row r="29" spans="1:8" ht="15" customHeight="1" x14ac:dyDescent="0.25">
      <c r="A29" s="46" t="s">
        <v>1555</v>
      </c>
      <c r="B29" s="3" t="s">
        <v>2469</v>
      </c>
      <c r="C29" s="3"/>
      <c r="D29" s="5" t="s">
        <v>2469</v>
      </c>
      <c r="E29" s="5"/>
      <c r="F29" s="7" t="s">
        <v>2469</v>
      </c>
      <c r="G29" s="7"/>
      <c r="H29" s="48" t="e">
        <f ca="1">AI_SUM(A25,A27,A28)</f>
        <v>#NAME?</v>
      </c>
    </row>
    <row r="30" spans="1:8" ht="15" customHeight="1" x14ac:dyDescent="0.25">
      <c r="A30" s="46" t="s">
        <v>1556</v>
      </c>
      <c r="B30" s="3" t="s">
        <v>2491</v>
      </c>
      <c r="C30" s="3"/>
      <c r="D30" s="5" t="s">
        <v>2491</v>
      </c>
      <c r="E30" s="5"/>
      <c r="F30" s="7" t="s">
        <v>2491</v>
      </c>
      <c r="G30" s="7"/>
      <c r="H30" s="48" t="e">
        <f ca="1">AI_SUM(A23,A29)</f>
        <v>#NAME?</v>
      </c>
    </row>
    <row r="31" spans="1:8" ht="15" customHeight="1" x14ac:dyDescent="0.25">
      <c r="A31" s="46" t="s">
        <v>1557</v>
      </c>
      <c r="B31" s="3" t="s">
        <v>2492</v>
      </c>
      <c r="C31" s="3"/>
      <c r="D31" s="5" t="s">
        <v>2492</v>
      </c>
      <c r="E31" s="5"/>
      <c r="F31" s="7" t="s">
        <v>2492</v>
      </c>
      <c r="G31" s="7"/>
      <c r="H31" s="48" t="e">
        <f ca="1">AI_SUM(A5,A9,A10,A17,A30)</f>
        <v>#NAME?</v>
      </c>
    </row>
    <row r="32" spans="1:8" ht="15" customHeight="1" x14ac:dyDescent="0.25">
      <c r="A32" s="46" t="s">
        <v>868</v>
      </c>
      <c r="B32" s="3"/>
      <c r="C32" s="3"/>
      <c r="D32" s="5"/>
      <c r="E32" s="5"/>
      <c r="F32" s="7"/>
      <c r="G32" s="7"/>
    </row>
    <row r="33" spans="1:8" ht="15" customHeight="1" x14ac:dyDescent="0.25">
      <c r="A33" s="46" t="s">
        <v>869</v>
      </c>
      <c r="B33" s="3"/>
      <c r="C33" s="3"/>
      <c r="D33" s="5"/>
      <c r="E33" s="5"/>
      <c r="F33" s="7"/>
      <c r="G33" s="7"/>
    </row>
    <row r="34" spans="1:8" ht="15" customHeight="1" x14ac:dyDescent="0.25">
      <c r="A34" s="46" t="s">
        <v>854</v>
      </c>
      <c r="B34" s="3" t="s">
        <v>14</v>
      </c>
      <c r="C34" s="3"/>
      <c r="D34" s="5" t="s">
        <v>102</v>
      </c>
      <c r="E34" s="5"/>
      <c r="F34" s="7" t="s">
        <v>143</v>
      </c>
      <c r="G34" s="7"/>
    </row>
    <row r="35" spans="1:8" ht="15" customHeight="1" x14ac:dyDescent="0.25">
      <c r="A35" s="46" t="s">
        <v>870</v>
      </c>
      <c r="B35" s="3" t="s">
        <v>15</v>
      </c>
      <c r="C35" s="3"/>
      <c r="D35" s="5" t="s">
        <v>103</v>
      </c>
      <c r="E35" s="5"/>
      <c r="F35" s="7" t="s">
        <v>144</v>
      </c>
      <c r="G35" s="7"/>
    </row>
    <row r="36" spans="1:8" ht="15" customHeight="1" x14ac:dyDescent="0.25">
      <c r="A36" s="46" t="s">
        <v>871</v>
      </c>
      <c r="B36" s="3" t="s">
        <v>16</v>
      </c>
      <c r="C36" s="3"/>
      <c r="D36" s="5" t="s">
        <v>104</v>
      </c>
      <c r="E36" s="5"/>
      <c r="F36" s="7" t="s">
        <v>145</v>
      </c>
      <c r="G36" s="7"/>
    </row>
    <row r="37" spans="1:8" ht="15" customHeight="1" x14ac:dyDescent="0.25">
      <c r="A37" s="46" t="s">
        <v>1558</v>
      </c>
      <c r="B37" s="3" t="s">
        <v>2470</v>
      </c>
      <c r="C37" s="3"/>
      <c r="D37" s="5" t="s">
        <v>2470</v>
      </c>
      <c r="E37" s="5"/>
      <c r="F37" s="7" t="s">
        <v>2470</v>
      </c>
      <c r="G37" s="7"/>
      <c r="H37" s="48" t="e">
        <f ca="1">AI_SUM(A34,A35,A36)</f>
        <v>#NAME?</v>
      </c>
    </row>
    <row r="38" spans="1:8" ht="15" customHeight="1" x14ac:dyDescent="0.25">
      <c r="A38" s="46" t="s">
        <v>872</v>
      </c>
      <c r="B38" s="3"/>
      <c r="C38" s="3"/>
      <c r="D38" s="5"/>
      <c r="E38" s="5"/>
      <c r="F38" s="7"/>
      <c r="G38" s="7"/>
    </row>
    <row r="39" spans="1:8" ht="15" customHeight="1" x14ac:dyDescent="0.25">
      <c r="A39" s="46" t="s">
        <v>873</v>
      </c>
      <c r="B39" s="3" t="s">
        <v>17</v>
      </c>
      <c r="C39" s="3"/>
      <c r="D39" s="5" t="s">
        <v>105</v>
      </c>
      <c r="E39" s="5"/>
      <c r="F39" s="7" t="s">
        <v>146</v>
      </c>
      <c r="G39" s="7"/>
    </row>
    <row r="40" spans="1:8" ht="15" customHeight="1" x14ac:dyDescent="0.25">
      <c r="A40" s="46" t="s">
        <v>874</v>
      </c>
      <c r="B40" s="3"/>
      <c r="C40" s="3"/>
      <c r="D40" s="5"/>
      <c r="E40" s="5"/>
      <c r="F40" s="7"/>
      <c r="G40" s="7"/>
    </row>
    <row r="41" spans="1:8" ht="15" customHeight="1" x14ac:dyDescent="0.25">
      <c r="A41" s="46" t="s">
        <v>875</v>
      </c>
      <c r="B41" s="3" t="s">
        <v>18</v>
      </c>
      <c r="C41" s="3"/>
      <c r="D41" s="5" t="s">
        <v>106</v>
      </c>
      <c r="E41" s="5"/>
      <c r="F41" s="7" t="s">
        <v>147</v>
      </c>
      <c r="G41" s="7"/>
    </row>
    <row r="42" spans="1:8" ht="15" customHeight="1" x14ac:dyDescent="0.25">
      <c r="A42" s="46" t="s">
        <v>876</v>
      </c>
      <c r="B42" s="3" t="s">
        <v>19</v>
      </c>
      <c r="C42" s="3"/>
      <c r="D42" s="5" t="s">
        <v>107</v>
      </c>
      <c r="E42" s="5"/>
      <c r="F42" s="7" t="s">
        <v>148</v>
      </c>
      <c r="G42" s="7"/>
    </row>
    <row r="43" spans="1:8" ht="15" customHeight="1" x14ac:dyDescent="0.25">
      <c r="A43" s="46" t="s">
        <v>1559</v>
      </c>
      <c r="B43" s="3" t="s">
        <v>2471</v>
      </c>
      <c r="C43" s="3"/>
      <c r="D43" s="5" t="s">
        <v>2471</v>
      </c>
      <c r="E43" s="5"/>
      <c r="F43" s="7" t="s">
        <v>2471</v>
      </c>
      <c r="G43" s="7"/>
      <c r="H43" s="48" t="e">
        <f ca="1">AI_SUM(A41,A42)</f>
        <v>#NAME?</v>
      </c>
    </row>
    <row r="44" spans="1:8" ht="15" customHeight="1" x14ac:dyDescent="0.25">
      <c r="A44" s="46" t="s">
        <v>877</v>
      </c>
      <c r="B44" s="3"/>
      <c r="C44" s="3"/>
      <c r="D44" s="5"/>
      <c r="E44" s="5"/>
      <c r="F44" s="7"/>
      <c r="G44" s="7"/>
    </row>
    <row r="45" spans="1:8" ht="15" customHeight="1" x14ac:dyDescent="0.25">
      <c r="A45" s="46" t="s">
        <v>875</v>
      </c>
      <c r="B45" s="3" t="s">
        <v>20</v>
      </c>
      <c r="C45" s="3"/>
      <c r="D45" s="5" t="s">
        <v>108</v>
      </c>
      <c r="E45" s="5"/>
      <c r="F45" s="7" t="s">
        <v>149</v>
      </c>
      <c r="G45" s="7"/>
    </row>
    <row r="46" spans="1:8" ht="15" customHeight="1" x14ac:dyDescent="0.25">
      <c r="A46" s="46" t="s">
        <v>876</v>
      </c>
      <c r="B46" s="3" t="s">
        <v>21</v>
      </c>
      <c r="C46" s="3"/>
      <c r="D46" s="5" t="s">
        <v>109</v>
      </c>
      <c r="E46" s="5"/>
      <c r="F46" s="7" t="s">
        <v>150</v>
      </c>
      <c r="G46" s="7"/>
    </row>
    <row r="47" spans="1:8" ht="15" customHeight="1" x14ac:dyDescent="0.25">
      <c r="A47" s="46" t="s">
        <v>1560</v>
      </c>
      <c r="B47" s="3" t="s">
        <v>2472</v>
      </c>
      <c r="C47" s="3"/>
      <c r="D47" s="5" t="s">
        <v>2472</v>
      </c>
      <c r="E47" s="5"/>
      <c r="F47" s="7" t="s">
        <v>2472</v>
      </c>
      <c r="G47" s="7"/>
      <c r="H47" s="48" t="e">
        <f ca="1">AI_SUM(A45,A46)</f>
        <v>#NAME?</v>
      </c>
    </row>
    <row r="48" spans="1:8" ht="15" customHeight="1" x14ac:dyDescent="0.25">
      <c r="A48" s="46" t="s">
        <v>878</v>
      </c>
      <c r="B48" s="3"/>
      <c r="C48" s="3"/>
      <c r="D48" s="5"/>
      <c r="E48" s="5"/>
      <c r="F48" s="7"/>
      <c r="G48" s="7"/>
    </row>
    <row r="49" spans="1:8" ht="15" customHeight="1" x14ac:dyDescent="0.25">
      <c r="A49" s="46" t="s">
        <v>875</v>
      </c>
      <c r="B49" s="3" t="s">
        <v>22</v>
      </c>
      <c r="C49" s="3"/>
      <c r="D49" s="5" t="s">
        <v>110</v>
      </c>
      <c r="E49" s="5"/>
      <c r="F49" s="7" t="s">
        <v>151</v>
      </c>
      <c r="G49" s="7"/>
    </row>
    <row r="50" spans="1:8" ht="15" customHeight="1" x14ac:dyDescent="0.25">
      <c r="A50" s="46" t="s">
        <v>876</v>
      </c>
      <c r="B50" s="3" t="s">
        <v>23</v>
      </c>
      <c r="C50" s="3"/>
      <c r="D50" s="5" t="s">
        <v>111</v>
      </c>
      <c r="E50" s="5"/>
      <c r="F50" s="7" t="s">
        <v>152</v>
      </c>
      <c r="G50" s="7"/>
    </row>
    <row r="51" spans="1:8" ht="15" customHeight="1" x14ac:dyDescent="0.25">
      <c r="A51" s="46" t="s">
        <v>1562</v>
      </c>
      <c r="B51" s="3" t="s">
        <v>2473</v>
      </c>
      <c r="C51" s="3"/>
      <c r="D51" s="5" t="s">
        <v>2473</v>
      </c>
      <c r="E51" s="5"/>
      <c r="F51" s="7" t="s">
        <v>2473</v>
      </c>
      <c r="G51" s="7"/>
      <c r="H51" s="48" t="e">
        <f ca="1">AI_SUM(A49,A50)</f>
        <v>#NAME?</v>
      </c>
    </row>
    <row r="52" spans="1:8" ht="15" customHeight="1" x14ac:dyDescent="0.25">
      <c r="A52" s="46" t="s">
        <v>879</v>
      </c>
      <c r="B52" s="3"/>
      <c r="C52" s="3"/>
      <c r="D52" s="5"/>
      <c r="E52" s="5"/>
      <c r="F52" s="7"/>
      <c r="G52" s="7"/>
    </row>
    <row r="53" spans="1:8" ht="15" customHeight="1" x14ac:dyDescent="0.25">
      <c r="A53" s="46" t="s">
        <v>875</v>
      </c>
      <c r="B53" s="3" t="s">
        <v>24</v>
      </c>
      <c r="C53" s="3"/>
      <c r="D53" s="5" t="s">
        <v>112</v>
      </c>
      <c r="E53" s="5"/>
      <c r="F53" s="7" t="s">
        <v>153</v>
      </c>
      <c r="G53" s="7"/>
    </row>
    <row r="54" spans="1:8" ht="15" customHeight="1" x14ac:dyDescent="0.25">
      <c r="A54" s="46" t="s">
        <v>876</v>
      </c>
      <c r="B54" s="3" t="s">
        <v>25</v>
      </c>
      <c r="C54" s="3"/>
      <c r="D54" s="5" t="s">
        <v>113</v>
      </c>
      <c r="E54" s="5"/>
      <c r="F54" s="7" t="s">
        <v>154</v>
      </c>
      <c r="G54" s="7"/>
    </row>
    <row r="55" spans="1:8" ht="15" customHeight="1" x14ac:dyDescent="0.25">
      <c r="A55" s="46" t="s">
        <v>1561</v>
      </c>
      <c r="B55" s="3" t="s">
        <v>2474</v>
      </c>
      <c r="C55" s="3"/>
      <c r="D55" s="5" t="s">
        <v>2474</v>
      </c>
      <c r="E55" s="5"/>
      <c r="F55" s="7" t="s">
        <v>2474</v>
      </c>
      <c r="G55" s="7"/>
      <c r="H55" s="48" t="e">
        <f ca="1">AI_SUM(A53,A54)</f>
        <v>#NAME?</v>
      </c>
    </row>
    <row r="56" spans="1:8" ht="15" customHeight="1" x14ac:dyDescent="0.25">
      <c r="A56" s="46" t="s">
        <v>1563</v>
      </c>
      <c r="B56" s="3" t="s">
        <v>2488</v>
      </c>
      <c r="C56" s="3"/>
      <c r="D56" s="5" t="s">
        <v>2488</v>
      </c>
      <c r="E56" s="5"/>
      <c r="F56" s="7" t="s">
        <v>2488</v>
      </c>
      <c r="G56" s="7"/>
      <c r="H56" s="48" t="e">
        <f ca="1">AI_SUM(A39,A43,A47,A51,A55)</f>
        <v>#NAME?</v>
      </c>
    </row>
    <row r="57" spans="1:8" ht="15" customHeight="1" x14ac:dyDescent="0.25">
      <c r="A57" s="46" t="s">
        <v>880</v>
      </c>
      <c r="B57" s="3"/>
      <c r="C57" s="3"/>
      <c r="D57" s="5"/>
      <c r="E57" s="5"/>
      <c r="F57" s="7"/>
      <c r="G57" s="7"/>
    </row>
    <row r="58" spans="1:8" ht="15" customHeight="1" x14ac:dyDescent="0.25">
      <c r="A58" s="46" t="s">
        <v>881</v>
      </c>
      <c r="B58" s="3" t="s">
        <v>26</v>
      </c>
      <c r="C58" s="3"/>
      <c r="D58" s="5" t="s">
        <v>114</v>
      </c>
      <c r="E58" s="5"/>
      <c r="F58" s="7" t="s">
        <v>155</v>
      </c>
      <c r="G58" s="7"/>
    </row>
    <row r="59" spans="1:8" ht="15" customHeight="1" x14ac:dyDescent="0.25">
      <c r="A59" s="46" t="s">
        <v>882</v>
      </c>
      <c r="B59" s="3" t="s">
        <v>27</v>
      </c>
      <c r="C59" s="3"/>
      <c r="D59" s="5" t="s">
        <v>115</v>
      </c>
      <c r="E59" s="5"/>
      <c r="F59" s="7" t="s">
        <v>156</v>
      </c>
      <c r="G59" s="7"/>
    </row>
    <row r="60" spans="1:8" ht="15" customHeight="1" x14ac:dyDescent="0.25">
      <c r="A60" s="46" t="s">
        <v>883</v>
      </c>
      <c r="B60" s="3" t="s">
        <v>28</v>
      </c>
      <c r="C60" s="3"/>
      <c r="D60" s="5" t="s">
        <v>116</v>
      </c>
      <c r="E60" s="5"/>
      <c r="F60" s="7" t="s">
        <v>157</v>
      </c>
      <c r="G60" s="7"/>
    </row>
    <row r="61" spans="1:8" ht="15" customHeight="1" x14ac:dyDescent="0.25">
      <c r="A61" s="46" t="s">
        <v>884</v>
      </c>
      <c r="B61" s="3" t="s">
        <v>29</v>
      </c>
      <c r="C61" s="3"/>
      <c r="D61" s="5" t="s">
        <v>117</v>
      </c>
      <c r="E61" s="5"/>
      <c r="F61" s="7" t="s">
        <v>158</v>
      </c>
      <c r="G61" s="7"/>
    </row>
    <row r="62" spans="1:8" ht="15" customHeight="1" x14ac:dyDescent="0.25">
      <c r="A62" s="46" t="s">
        <v>885</v>
      </c>
      <c r="B62" s="3" t="s">
        <v>30</v>
      </c>
      <c r="C62" s="3"/>
      <c r="D62" s="5" t="s">
        <v>118</v>
      </c>
      <c r="E62" s="5"/>
      <c r="F62" s="7" t="s">
        <v>159</v>
      </c>
      <c r="G62" s="7"/>
    </row>
    <row r="63" spans="1:8" ht="15" customHeight="1" x14ac:dyDescent="0.25">
      <c r="A63" s="46" t="s">
        <v>886</v>
      </c>
      <c r="B63" s="3" t="s">
        <v>31</v>
      </c>
      <c r="C63" s="3"/>
      <c r="D63" s="5" t="s">
        <v>119</v>
      </c>
      <c r="E63" s="5"/>
      <c r="F63" s="7" t="s">
        <v>160</v>
      </c>
      <c r="G63" s="7"/>
    </row>
    <row r="64" spans="1:8" ht="15" customHeight="1" x14ac:dyDescent="0.25">
      <c r="A64" s="46" t="s">
        <v>1564</v>
      </c>
      <c r="B64" s="3" t="s">
        <v>2475</v>
      </c>
      <c r="C64" s="3"/>
      <c r="D64" s="5" t="s">
        <v>2475</v>
      </c>
      <c r="E64" s="5"/>
      <c r="F64" s="7" t="s">
        <v>2475</v>
      </c>
      <c r="G64" s="7"/>
      <c r="H64" s="48" t="e">
        <f ca="1">AI_SUM(A58,A59,A60,A61,A62,A63)</f>
        <v>#NAME?</v>
      </c>
    </row>
    <row r="65" spans="1:12" ht="15" customHeight="1" x14ac:dyDescent="0.25">
      <c r="A65" s="46" t="s">
        <v>887</v>
      </c>
      <c r="B65" s="3"/>
      <c r="C65" s="3"/>
      <c r="D65" s="5"/>
      <c r="E65" s="5"/>
      <c r="F65" s="7"/>
      <c r="G65" s="7"/>
    </row>
    <row r="66" spans="1:12" ht="15" customHeight="1" x14ac:dyDescent="0.25">
      <c r="A66" s="46" t="s">
        <v>888</v>
      </c>
      <c r="B66" s="3" t="s">
        <v>32</v>
      </c>
      <c r="C66" s="3"/>
      <c r="D66" s="5" t="s">
        <v>120</v>
      </c>
      <c r="E66" s="5"/>
      <c r="F66" s="7" t="s">
        <v>161</v>
      </c>
      <c r="G66" s="7"/>
    </row>
    <row r="67" spans="1:12" ht="15" customHeight="1" x14ac:dyDescent="0.25">
      <c r="A67" s="46" t="s">
        <v>889</v>
      </c>
      <c r="B67" s="3"/>
      <c r="C67" s="3"/>
      <c r="D67" s="5"/>
      <c r="E67" s="5"/>
      <c r="F67" s="7"/>
      <c r="G67" s="7"/>
    </row>
    <row r="68" spans="1:12" ht="15" customHeight="1" x14ac:dyDescent="0.25">
      <c r="A68" s="46" t="s">
        <v>890</v>
      </c>
      <c r="B68" s="3" t="s">
        <v>33</v>
      </c>
      <c r="C68" s="3"/>
      <c r="D68" s="5" t="s">
        <v>121</v>
      </c>
      <c r="E68" s="5"/>
      <c r="F68" s="7" t="s">
        <v>162</v>
      </c>
      <c r="G68" s="7"/>
    </row>
    <row r="69" spans="1:12" ht="15" customHeight="1" x14ac:dyDescent="0.25">
      <c r="A69" s="46" t="s">
        <v>891</v>
      </c>
      <c r="B69" s="3"/>
      <c r="C69" s="3"/>
      <c r="D69" s="5"/>
      <c r="E69" s="5"/>
      <c r="F69" s="7"/>
      <c r="G69" s="7"/>
    </row>
    <row r="70" spans="1:12" ht="15" customHeight="1" x14ac:dyDescent="0.25">
      <c r="A70" s="46" t="s">
        <v>855</v>
      </c>
      <c r="B70" s="3" t="s">
        <v>34</v>
      </c>
      <c r="C70" s="3"/>
      <c r="D70" s="5" t="s">
        <v>122</v>
      </c>
      <c r="E70" s="5"/>
      <c r="F70" s="7" t="s">
        <v>163</v>
      </c>
      <c r="G70" s="7"/>
    </row>
    <row r="71" spans="1:12" ht="15" customHeight="1" x14ac:dyDescent="0.25">
      <c r="A71" s="46" t="s">
        <v>1565</v>
      </c>
      <c r="B71" s="3" t="s">
        <v>2476</v>
      </c>
      <c r="C71" s="3"/>
      <c r="D71" s="5" t="s">
        <v>2476</v>
      </c>
      <c r="E71" s="5"/>
      <c r="F71" s="7" t="s">
        <v>2476</v>
      </c>
      <c r="G71" s="7"/>
      <c r="H71" s="48" t="e">
        <f ca="1">AI_SUM(A66,A68,A70)</f>
        <v>#NAME?</v>
      </c>
    </row>
    <row r="72" spans="1:12" ht="15" customHeight="1" x14ac:dyDescent="0.25">
      <c r="A72" s="46" t="s">
        <v>892</v>
      </c>
      <c r="B72" s="3" t="s">
        <v>35</v>
      </c>
      <c r="C72" s="3"/>
      <c r="D72" s="5" t="s">
        <v>123</v>
      </c>
      <c r="E72" s="5"/>
      <c r="F72" s="7" t="s">
        <v>164</v>
      </c>
      <c r="G72" s="7"/>
    </row>
    <row r="73" spans="1:12" ht="15" customHeight="1" x14ac:dyDescent="0.25">
      <c r="A73" s="46" t="s">
        <v>893</v>
      </c>
      <c r="B73" s="3" t="s">
        <v>36</v>
      </c>
      <c r="C73" s="3"/>
      <c r="D73" s="5" t="s">
        <v>124</v>
      </c>
      <c r="E73" s="5"/>
      <c r="F73" s="7" t="s">
        <v>165</v>
      </c>
      <c r="G73" s="7"/>
    </row>
    <row r="74" spans="1:12" ht="15" customHeight="1" x14ac:dyDescent="0.25">
      <c r="A74" s="46" t="s">
        <v>894</v>
      </c>
      <c r="B74" s="3" t="s">
        <v>37</v>
      </c>
      <c r="C74" s="3"/>
      <c r="D74" s="5" t="s">
        <v>125</v>
      </c>
      <c r="E74" s="5"/>
      <c r="F74" s="7" t="s">
        <v>166</v>
      </c>
      <c r="G74" s="7"/>
    </row>
    <row r="75" spans="1:12" ht="15" customHeight="1" x14ac:dyDescent="0.25">
      <c r="A75" s="46" t="s">
        <v>895</v>
      </c>
      <c r="B75" s="4" t="s">
        <v>38</v>
      </c>
      <c r="C75" s="4"/>
      <c r="D75" s="6" t="s">
        <v>38</v>
      </c>
      <c r="E75" s="6"/>
      <c r="F75" s="8" t="s">
        <v>38</v>
      </c>
      <c r="G75" s="8"/>
    </row>
    <row r="76" spans="1:12" ht="15" customHeight="1" x14ac:dyDescent="0.25">
      <c r="A76" s="46" t="s">
        <v>896</v>
      </c>
      <c r="B76" s="3" t="s">
        <v>39</v>
      </c>
      <c r="C76" s="3"/>
      <c r="D76" s="5" t="s">
        <v>126</v>
      </c>
      <c r="E76" s="5"/>
      <c r="F76" s="7" t="s">
        <v>167</v>
      </c>
      <c r="G76" s="7"/>
    </row>
    <row r="77" spans="1:12" ht="15" customHeight="1" x14ac:dyDescent="0.25">
      <c r="A77" s="46" t="s">
        <v>897</v>
      </c>
      <c r="B77" s="3" t="s">
        <v>40</v>
      </c>
      <c r="C77" s="3"/>
      <c r="D77" s="5" t="s">
        <v>127</v>
      </c>
      <c r="E77" s="5"/>
      <c r="F77" s="7" t="s">
        <v>168</v>
      </c>
      <c r="G77" s="7"/>
    </row>
    <row r="78" spans="1:12" ht="15" customHeight="1" x14ac:dyDescent="0.25">
      <c r="A78" s="46" t="s">
        <v>898</v>
      </c>
      <c r="B78" s="3" t="s">
        <v>41</v>
      </c>
      <c r="C78" s="3"/>
      <c r="D78" s="5" t="s">
        <v>128</v>
      </c>
      <c r="E78" s="5"/>
      <c r="F78" s="7" t="s">
        <v>169</v>
      </c>
      <c r="G78" s="7"/>
    </row>
    <row r="79" spans="1:12" ht="15" customHeight="1" x14ac:dyDescent="0.25">
      <c r="A79" s="41" t="s">
        <v>1341</v>
      </c>
      <c r="B79" s="3"/>
      <c r="C79" s="3"/>
      <c r="D79" s="5"/>
      <c r="E79" s="5"/>
      <c r="F79" s="7"/>
      <c r="G79" s="7"/>
    </row>
    <row r="80" spans="1:12" ht="15" customHeight="1" x14ac:dyDescent="0.25">
      <c r="A80" s="46" t="s">
        <v>856</v>
      </c>
      <c r="B80" s="54"/>
      <c r="C80" s="54"/>
      <c r="D80" s="55"/>
      <c r="E80" s="55"/>
      <c r="F80" s="56"/>
      <c r="G80" s="56"/>
      <c r="I80" s="48"/>
      <c r="J80" s="46"/>
      <c r="K80" s="48"/>
      <c r="L80" s="48"/>
    </row>
    <row r="81" spans="1:12" ht="15" customHeight="1" x14ac:dyDescent="0.25">
      <c r="A81" s="46" t="s">
        <v>857</v>
      </c>
      <c r="B81" s="57" t="s">
        <v>1126</v>
      </c>
      <c r="C81" s="57"/>
      <c r="D81" s="58" t="s">
        <v>1167</v>
      </c>
      <c r="E81" s="58"/>
      <c r="F81" s="59" t="s">
        <v>1208</v>
      </c>
      <c r="G81" s="59"/>
      <c r="I81" s="48"/>
      <c r="J81" s="46"/>
      <c r="K81" s="48"/>
      <c r="L81" s="48"/>
    </row>
    <row r="82" spans="1:12" ht="15" customHeight="1" x14ac:dyDescent="0.25">
      <c r="A82" s="46" t="s">
        <v>858</v>
      </c>
      <c r="B82" s="57"/>
      <c r="C82" s="57"/>
      <c r="D82" s="58"/>
      <c r="E82" s="58"/>
      <c r="F82" s="59"/>
      <c r="G82" s="59"/>
      <c r="I82" s="48"/>
      <c r="J82" s="46"/>
      <c r="K82" s="48"/>
      <c r="L82" s="48"/>
    </row>
    <row r="83" spans="1:12" ht="15" customHeight="1" x14ac:dyDescent="0.25">
      <c r="A83" s="46" t="s">
        <v>859</v>
      </c>
      <c r="B83" s="57" t="s">
        <v>1127</v>
      </c>
      <c r="C83" s="57"/>
      <c r="D83" s="58" t="s">
        <v>1168</v>
      </c>
      <c r="E83" s="58"/>
      <c r="F83" s="59" t="s">
        <v>1209</v>
      </c>
      <c r="G83" s="59"/>
      <c r="I83" s="48"/>
      <c r="J83" s="46"/>
      <c r="K83" s="48"/>
      <c r="L83" s="48"/>
    </row>
    <row r="84" spans="1:12" ht="15" customHeight="1" x14ac:dyDescent="0.25">
      <c r="A84" s="46" t="s">
        <v>860</v>
      </c>
      <c r="B84" s="57" t="s">
        <v>1128</v>
      </c>
      <c r="C84" s="57"/>
      <c r="D84" s="58" t="s">
        <v>1169</v>
      </c>
      <c r="E84" s="58"/>
      <c r="F84" s="59" t="s">
        <v>1210</v>
      </c>
      <c r="G84" s="59"/>
      <c r="I84" s="48"/>
      <c r="J84" s="46"/>
      <c r="K84" s="48"/>
      <c r="L84" s="48"/>
    </row>
    <row r="85" spans="1:12" ht="15" customHeight="1" x14ac:dyDescent="0.25">
      <c r="A85" s="46" t="s">
        <v>1552</v>
      </c>
      <c r="B85" s="3" t="s">
        <v>2477</v>
      </c>
      <c r="C85" s="3"/>
      <c r="D85" s="5" t="s">
        <v>2477</v>
      </c>
      <c r="E85" s="5"/>
      <c r="F85" s="7" t="s">
        <v>2477</v>
      </c>
      <c r="G85" s="7"/>
      <c r="H85" s="48" t="e">
        <f ca="1">AI_SUM(A83,A84)</f>
        <v>#NAME?</v>
      </c>
      <c r="I85" s="48"/>
      <c r="J85" s="46"/>
    </row>
    <row r="86" spans="1:12" ht="15" customHeight="1" x14ac:dyDescent="0.25">
      <c r="A86" s="46" t="s">
        <v>1568</v>
      </c>
      <c r="B86" s="57" t="s">
        <v>1129</v>
      </c>
      <c r="C86" s="57"/>
      <c r="D86" s="58" t="s">
        <v>1170</v>
      </c>
      <c r="E86" s="58"/>
      <c r="F86" s="59" t="s">
        <v>1211</v>
      </c>
      <c r="G86" s="59"/>
      <c r="I86" s="48"/>
      <c r="J86" s="46"/>
      <c r="K86" s="48"/>
      <c r="L86" s="48"/>
    </row>
    <row r="87" spans="1:12" ht="15" customHeight="1" x14ac:dyDescent="0.25">
      <c r="A87" s="46" t="s">
        <v>861</v>
      </c>
      <c r="B87" s="57"/>
      <c r="C87" s="57"/>
      <c r="D87" s="58"/>
      <c r="E87" s="58"/>
      <c r="F87" s="59"/>
      <c r="G87" s="59"/>
      <c r="I87" s="48"/>
      <c r="J87" s="46"/>
      <c r="K87" s="48"/>
      <c r="L87" s="48"/>
    </row>
    <row r="88" spans="1:12" ht="15" customHeight="1" x14ac:dyDescent="0.25">
      <c r="A88" s="46" t="s">
        <v>852</v>
      </c>
      <c r="B88" s="57"/>
      <c r="C88" s="57"/>
      <c r="D88" s="58"/>
      <c r="E88" s="58"/>
      <c r="F88" s="59"/>
      <c r="G88" s="59"/>
      <c r="I88" s="48"/>
      <c r="J88" s="46"/>
      <c r="K88" s="48"/>
      <c r="L88" s="48"/>
    </row>
    <row r="89" spans="1:12" ht="15" customHeight="1" x14ac:dyDescent="0.25">
      <c r="A89" s="46" t="s">
        <v>862</v>
      </c>
      <c r="B89" s="57" t="s">
        <v>1130</v>
      </c>
      <c r="C89" s="57"/>
      <c r="D89" s="58" t="s">
        <v>1171</v>
      </c>
      <c r="E89" s="58"/>
      <c r="F89" s="59" t="s">
        <v>1212</v>
      </c>
      <c r="G89" s="59"/>
      <c r="I89" s="48"/>
      <c r="J89" s="46"/>
      <c r="K89" s="48"/>
      <c r="L89" s="48"/>
    </row>
    <row r="90" spans="1:12" ht="15" customHeight="1" x14ac:dyDescent="0.25">
      <c r="A90" s="46" t="s">
        <v>1569</v>
      </c>
      <c r="B90" s="57" t="s">
        <v>1131</v>
      </c>
      <c r="C90" s="57"/>
      <c r="D90" s="58" t="s">
        <v>1172</v>
      </c>
      <c r="E90" s="58"/>
      <c r="F90" s="59" t="s">
        <v>1213</v>
      </c>
      <c r="G90" s="59"/>
      <c r="I90" s="48"/>
      <c r="J90" s="46"/>
      <c r="K90" s="48"/>
      <c r="L90" s="48"/>
    </row>
    <row r="91" spans="1:12" ht="15" customHeight="1" x14ac:dyDescent="0.25">
      <c r="A91" s="46" t="s">
        <v>863</v>
      </c>
      <c r="B91" s="57" t="s">
        <v>1132</v>
      </c>
      <c r="C91" s="57"/>
      <c r="D91" s="58" t="s">
        <v>1173</v>
      </c>
      <c r="E91" s="58"/>
      <c r="F91" s="59" t="s">
        <v>1214</v>
      </c>
      <c r="G91" s="59"/>
      <c r="I91" s="48"/>
      <c r="J91" s="46"/>
      <c r="K91" s="48"/>
      <c r="L91" s="48"/>
    </row>
    <row r="92" spans="1:12" ht="15" customHeight="1" x14ac:dyDescent="0.25">
      <c r="A92" s="46" t="s">
        <v>864</v>
      </c>
      <c r="B92" s="57" t="s">
        <v>1133</v>
      </c>
      <c r="C92" s="57"/>
      <c r="D92" s="58" t="s">
        <v>1174</v>
      </c>
      <c r="E92" s="58"/>
      <c r="F92" s="59" t="s">
        <v>1215</v>
      </c>
      <c r="G92" s="59"/>
      <c r="I92" s="48"/>
      <c r="J92" s="46"/>
      <c r="K92" s="48"/>
      <c r="L92" s="48"/>
    </row>
    <row r="93" spans="1:12" ht="15" customHeight="1" x14ac:dyDescent="0.25">
      <c r="A93" s="46" t="s">
        <v>1553</v>
      </c>
      <c r="B93" s="3" t="s">
        <v>2478</v>
      </c>
      <c r="C93" s="3"/>
      <c r="D93" s="5" t="s">
        <v>2478</v>
      </c>
      <c r="E93" s="5"/>
      <c r="F93" s="7" t="s">
        <v>2478</v>
      </c>
      <c r="G93" s="7"/>
      <c r="H93" s="48" t="e">
        <f ca="1">AI_SUM(A89,A90,A91,A92)</f>
        <v>#NAME?</v>
      </c>
      <c r="I93" s="48"/>
      <c r="J93" s="46"/>
      <c r="K93" s="48"/>
      <c r="L93" s="48"/>
    </row>
    <row r="94" spans="1:12" ht="15" customHeight="1" x14ac:dyDescent="0.25">
      <c r="A94" s="46" t="s">
        <v>865</v>
      </c>
      <c r="B94" s="57"/>
      <c r="C94" s="57"/>
      <c r="D94" s="58"/>
      <c r="E94" s="58"/>
      <c r="F94" s="59"/>
      <c r="G94" s="59"/>
      <c r="I94" s="48"/>
      <c r="J94" s="46"/>
      <c r="K94" s="48"/>
      <c r="L94" s="48"/>
    </row>
    <row r="95" spans="1:12" ht="15" customHeight="1" x14ac:dyDescent="0.25">
      <c r="A95" s="46" t="s">
        <v>866</v>
      </c>
      <c r="B95" s="57"/>
      <c r="C95" s="57"/>
      <c r="D95" s="58"/>
      <c r="E95" s="58"/>
      <c r="F95" s="59"/>
      <c r="G95" s="59"/>
      <c r="I95" s="48"/>
      <c r="J95" s="46"/>
    </row>
    <row r="96" spans="1:12" ht="15" customHeight="1" x14ac:dyDescent="0.25">
      <c r="A96" s="46" t="s">
        <v>899</v>
      </c>
      <c r="B96" s="57" t="s">
        <v>1134</v>
      </c>
      <c r="C96" s="57"/>
      <c r="D96" s="58" t="s">
        <v>1175</v>
      </c>
      <c r="E96" s="58"/>
      <c r="F96" s="59" t="s">
        <v>1216</v>
      </c>
      <c r="G96" s="59"/>
      <c r="I96" s="48"/>
      <c r="J96" s="46"/>
      <c r="K96" s="48"/>
      <c r="L96" s="48"/>
    </row>
    <row r="97" spans="1:12" ht="15" customHeight="1" x14ac:dyDescent="0.25">
      <c r="A97" s="46" t="s">
        <v>900</v>
      </c>
      <c r="B97" s="57" t="s">
        <v>1135</v>
      </c>
      <c r="C97" s="57"/>
      <c r="D97" s="58" t="s">
        <v>1176</v>
      </c>
      <c r="E97" s="58"/>
      <c r="F97" s="59" t="s">
        <v>1217</v>
      </c>
      <c r="G97" s="59"/>
      <c r="I97" s="48"/>
      <c r="J97" s="46"/>
      <c r="K97" s="48"/>
      <c r="L97" s="48"/>
    </row>
    <row r="98" spans="1:12" ht="15" customHeight="1" x14ac:dyDescent="0.25">
      <c r="A98" s="46" t="s">
        <v>901</v>
      </c>
      <c r="B98" s="57" t="s">
        <v>1136</v>
      </c>
      <c r="C98" s="57"/>
      <c r="D98" s="58" t="s">
        <v>1177</v>
      </c>
      <c r="E98" s="58"/>
      <c r="F98" s="59" t="s">
        <v>1218</v>
      </c>
      <c r="G98" s="59"/>
      <c r="I98" s="48"/>
      <c r="J98" s="46"/>
      <c r="K98" s="48"/>
      <c r="L98" s="48"/>
    </row>
    <row r="99" spans="1:12" ht="15" customHeight="1" x14ac:dyDescent="0.25">
      <c r="A99" s="46" t="s">
        <v>1554</v>
      </c>
      <c r="B99" s="3" t="s">
        <v>2479</v>
      </c>
      <c r="C99" s="3"/>
      <c r="D99" s="5" t="s">
        <v>2479</v>
      </c>
      <c r="E99" s="5"/>
      <c r="F99" s="7" t="s">
        <v>2479</v>
      </c>
      <c r="G99" s="7"/>
      <c r="H99" s="48" t="e">
        <f ca="1">AI_SUM(A96,A97,A98)</f>
        <v>#NAME?</v>
      </c>
      <c r="I99" s="48"/>
      <c r="J99" s="46"/>
    </row>
    <row r="100" spans="1:12" ht="15" customHeight="1" x14ac:dyDescent="0.25">
      <c r="A100" s="46" t="s">
        <v>867</v>
      </c>
      <c r="B100" s="57"/>
      <c r="C100" s="57"/>
      <c r="D100" s="58"/>
      <c r="E100" s="58"/>
      <c r="F100" s="59"/>
      <c r="G100" s="59"/>
      <c r="I100" s="48"/>
      <c r="J100" s="46"/>
      <c r="K100" s="48"/>
      <c r="L100" s="48"/>
    </row>
    <row r="101" spans="1:12" ht="15" customHeight="1" x14ac:dyDescent="0.25">
      <c r="A101" s="46" t="s">
        <v>902</v>
      </c>
      <c r="B101" s="57" t="s">
        <v>1137</v>
      </c>
      <c r="C101" s="57"/>
      <c r="D101" s="58" t="s">
        <v>1178</v>
      </c>
      <c r="E101" s="58"/>
      <c r="F101" s="59" t="s">
        <v>1219</v>
      </c>
      <c r="G101" s="59"/>
      <c r="I101" s="48"/>
      <c r="J101" s="46"/>
      <c r="K101" s="48"/>
      <c r="L101" s="48"/>
    </row>
    <row r="102" spans="1:12" ht="15" customHeight="1" x14ac:dyDescent="0.25">
      <c r="A102" s="46" t="s">
        <v>903</v>
      </c>
      <c r="B102" s="57"/>
      <c r="C102" s="57"/>
      <c r="D102" s="58"/>
      <c r="E102" s="58"/>
      <c r="F102" s="59"/>
      <c r="G102" s="59"/>
      <c r="I102" s="48"/>
      <c r="J102" s="46"/>
      <c r="K102" s="48"/>
      <c r="L102" s="48"/>
    </row>
    <row r="103" spans="1:12" ht="15" customHeight="1" x14ac:dyDescent="0.25">
      <c r="A103" s="46" t="s">
        <v>853</v>
      </c>
      <c r="B103" s="57" t="s">
        <v>1138</v>
      </c>
      <c r="C103" s="57"/>
      <c r="D103" s="58" t="s">
        <v>1179</v>
      </c>
      <c r="E103" s="58"/>
      <c r="F103" s="59" t="s">
        <v>1220</v>
      </c>
      <c r="G103" s="59"/>
      <c r="I103" s="48"/>
      <c r="J103" s="46"/>
      <c r="K103" s="48"/>
      <c r="L103" s="48"/>
    </row>
    <row r="104" spans="1:12" ht="15" customHeight="1" x14ac:dyDescent="0.25">
      <c r="A104" s="46" t="s">
        <v>901</v>
      </c>
      <c r="B104" s="57" t="s">
        <v>1139</v>
      </c>
      <c r="C104" s="57"/>
      <c r="D104" s="58" t="s">
        <v>1180</v>
      </c>
      <c r="E104" s="58"/>
      <c r="F104" s="59" t="s">
        <v>1221</v>
      </c>
      <c r="G104" s="59"/>
      <c r="I104" s="48"/>
      <c r="J104" s="46"/>
      <c r="K104" s="48"/>
      <c r="L104" s="48"/>
    </row>
    <row r="105" spans="1:12" ht="15" customHeight="1" x14ac:dyDescent="0.25">
      <c r="A105" s="46" t="s">
        <v>1555</v>
      </c>
      <c r="B105" s="3" t="s">
        <v>2480</v>
      </c>
      <c r="C105" s="3"/>
      <c r="D105" s="5" t="s">
        <v>2480</v>
      </c>
      <c r="E105" s="5"/>
      <c r="F105" s="7" t="s">
        <v>2480</v>
      </c>
      <c r="G105" s="7"/>
      <c r="H105" s="48" t="e">
        <f ca="1">AI_SUM(A101,A103,A104)</f>
        <v>#NAME?</v>
      </c>
      <c r="I105" s="48"/>
      <c r="J105" s="46"/>
    </row>
    <row r="106" spans="1:12" ht="15" customHeight="1" x14ac:dyDescent="0.25">
      <c r="A106" s="46" t="s">
        <v>1556</v>
      </c>
      <c r="B106" s="3" t="s">
        <v>2490</v>
      </c>
      <c r="C106" s="3"/>
      <c r="D106" s="5" t="s">
        <v>2490</v>
      </c>
      <c r="E106" s="5"/>
      <c r="F106" s="7" t="s">
        <v>2490</v>
      </c>
      <c r="G106" s="7"/>
      <c r="H106" s="48" t="e">
        <f ca="1">AI_SUM(A99,A105)</f>
        <v>#NAME?</v>
      </c>
      <c r="I106" s="48"/>
      <c r="J106" s="46"/>
    </row>
    <row r="107" spans="1:12" ht="15" customHeight="1" x14ac:dyDescent="0.25">
      <c r="A107" s="46" t="s">
        <v>1557</v>
      </c>
      <c r="B107" s="3" t="s">
        <v>2489</v>
      </c>
      <c r="C107" s="3"/>
      <c r="D107" s="5" t="s">
        <v>2489</v>
      </c>
      <c r="E107" s="5"/>
      <c r="F107" s="7" t="s">
        <v>2489</v>
      </c>
      <c r="G107" s="7"/>
      <c r="H107" s="48" t="e">
        <f ca="1">AI_SUM(A81,A85,A86,A93,A106)</f>
        <v>#NAME?</v>
      </c>
      <c r="I107" s="48"/>
      <c r="J107" s="46"/>
    </row>
    <row r="108" spans="1:12" ht="15" customHeight="1" x14ac:dyDescent="0.25">
      <c r="A108" s="46" t="s">
        <v>868</v>
      </c>
      <c r="B108" s="57"/>
      <c r="C108" s="57"/>
      <c r="D108" s="58"/>
      <c r="E108" s="58"/>
      <c r="F108" s="59"/>
      <c r="G108" s="59"/>
      <c r="I108" s="48"/>
      <c r="J108" s="46"/>
      <c r="K108" s="48"/>
      <c r="L108" s="48"/>
    </row>
    <row r="109" spans="1:12" ht="15" customHeight="1" x14ac:dyDescent="0.25">
      <c r="A109" s="46" t="s">
        <v>869</v>
      </c>
      <c r="B109" s="57"/>
      <c r="C109" s="57"/>
      <c r="D109" s="58"/>
      <c r="E109" s="58"/>
      <c r="F109" s="59"/>
      <c r="G109" s="59"/>
      <c r="I109" s="48"/>
      <c r="J109" s="46"/>
      <c r="K109" s="48"/>
      <c r="L109" s="48"/>
    </row>
    <row r="110" spans="1:12" ht="15" customHeight="1" x14ac:dyDescent="0.25">
      <c r="A110" s="46" t="s">
        <v>854</v>
      </c>
      <c r="B110" s="57" t="s">
        <v>1140</v>
      </c>
      <c r="C110" s="57"/>
      <c r="D110" s="58" t="s">
        <v>1181</v>
      </c>
      <c r="E110" s="58"/>
      <c r="F110" s="59" t="s">
        <v>1222</v>
      </c>
      <c r="G110" s="59"/>
      <c r="I110" s="48"/>
      <c r="J110" s="46"/>
      <c r="K110" s="48"/>
      <c r="L110" s="48"/>
    </row>
    <row r="111" spans="1:12" ht="15" customHeight="1" x14ac:dyDescent="0.25">
      <c r="A111" s="46" t="s">
        <v>870</v>
      </c>
      <c r="B111" s="57" t="s">
        <v>1141</v>
      </c>
      <c r="C111" s="57"/>
      <c r="D111" s="58" t="s">
        <v>1182</v>
      </c>
      <c r="E111" s="58"/>
      <c r="F111" s="59" t="s">
        <v>1223</v>
      </c>
      <c r="G111" s="59"/>
      <c r="I111" s="48"/>
      <c r="J111" s="46"/>
      <c r="K111" s="48"/>
      <c r="L111" s="48"/>
    </row>
    <row r="112" spans="1:12" ht="15" customHeight="1" x14ac:dyDescent="0.25">
      <c r="A112" s="46" t="s">
        <v>871</v>
      </c>
      <c r="B112" s="57" t="s">
        <v>1142</v>
      </c>
      <c r="C112" s="57"/>
      <c r="D112" s="58" t="s">
        <v>1183</v>
      </c>
      <c r="E112" s="58"/>
      <c r="F112" s="59" t="s">
        <v>1224</v>
      </c>
      <c r="G112" s="59"/>
      <c r="I112" s="48"/>
      <c r="J112" s="46"/>
      <c r="K112" s="48"/>
      <c r="L112" s="48"/>
    </row>
    <row r="113" spans="1:12" ht="15" customHeight="1" x14ac:dyDescent="0.25">
      <c r="A113" s="46" t="s">
        <v>1558</v>
      </c>
      <c r="B113" s="3" t="s">
        <v>2481</v>
      </c>
      <c r="C113" s="3"/>
      <c r="D113" s="5" t="s">
        <v>2481</v>
      </c>
      <c r="E113" s="5"/>
      <c r="F113" s="7" t="s">
        <v>2481</v>
      </c>
      <c r="G113" s="7"/>
      <c r="H113" s="48" t="e">
        <f ca="1">AI_SUM(A110,A111,A112)</f>
        <v>#NAME?</v>
      </c>
      <c r="I113" s="48"/>
      <c r="J113" s="46"/>
    </row>
    <row r="114" spans="1:12" ht="15" customHeight="1" x14ac:dyDescent="0.25">
      <c r="A114" s="46" t="s">
        <v>872</v>
      </c>
      <c r="B114" s="57"/>
      <c r="C114" s="57"/>
      <c r="D114" s="58"/>
      <c r="E114" s="58"/>
      <c r="F114" s="59"/>
      <c r="G114" s="59"/>
      <c r="I114" s="48"/>
      <c r="J114" s="46"/>
      <c r="K114" s="48"/>
      <c r="L114" s="48"/>
    </row>
    <row r="115" spans="1:12" ht="15" customHeight="1" x14ac:dyDescent="0.25">
      <c r="A115" s="46" t="s">
        <v>873</v>
      </c>
      <c r="B115" s="57" t="s">
        <v>1143</v>
      </c>
      <c r="C115" s="57"/>
      <c r="D115" s="58" t="s">
        <v>1184</v>
      </c>
      <c r="E115" s="58"/>
      <c r="F115" s="59" t="s">
        <v>1225</v>
      </c>
      <c r="G115" s="59"/>
      <c r="I115" s="48"/>
      <c r="J115" s="46"/>
      <c r="K115" s="48"/>
      <c r="L115" s="48"/>
    </row>
    <row r="116" spans="1:12" ht="15" customHeight="1" x14ac:dyDescent="0.25">
      <c r="A116" s="46" t="s">
        <v>874</v>
      </c>
      <c r="B116" s="57"/>
      <c r="C116" s="57"/>
      <c r="D116" s="58"/>
      <c r="E116" s="58"/>
      <c r="F116" s="59"/>
      <c r="G116" s="59"/>
      <c r="I116" s="48"/>
      <c r="J116" s="46"/>
      <c r="K116" s="48"/>
      <c r="L116" s="48"/>
    </row>
    <row r="117" spans="1:12" ht="15" customHeight="1" x14ac:dyDescent="0.25">
      <c r="A117" s="46" t="s">
        <v>875</v>
      </c>
      <c r="B117" s="57" t="s">
        <v>1144</v>
      </c>
      <c r="C117" s="57"/>
      <c r="D117" s="58" t="s">
        <v>1185</v>
      </c>
      <c r="E117" s="58"/>
      <c r="F117" s="59" t="s">
        <v>1226</v>
      </c>
      <c r="G117" s="59"/>
      <c r="I117" s="48"/>
      <c r="J117" s="46"/>
      <c r="K117" s="48"/>
      <c r="L117" s="48"/>
    </row>
    <row r="118" spans="1:12" ht="15" customHeight="1" x14ac:dyDescent="0.25">
      <c r="A118" s="46" t="s">
        <v>876</v>
      </c>
      <c r="B118" s="57" t="s">
        <v>1145</v>
      </c>
      <c r="C118" s="57"/>
      <c r="D118" s="58" t="s">
        <v>1186</v>
      </c>
      <c r="E118" s="58"/>
      <c r="F118" s="59" t="s">
        <v>1227</v>
      </c>
      <c r="G118" s="59"/>
      <c r="I118" s="48"/>
      <c r="J118" s="46"/>
      <c r="K118" s="48"/>
      <c r="L118" s="48"/>
    </row>
    <row r="119" spans="1:12" ht="15" customHeight="1" x14ac:dyDescent="0.25">
      <c r="A119" s="46" t="s">
        <v>1581</v>
      </c>
      <c r="B119" s="3" t="s">
        <v>2482</v>
      </c>
      <c r="C119" s="3"/>
      <c r="D119" s="5" t="s">
        <v>2482</v>
      </c>
      <c r="E119" s="5"/>
      <c r="F119" s="7" t="s">
        <v>2482</v>
      </c>
      <c r="G119" s="7"/>
      <c r="H119" s="48" t="e">
        <f ca="1">AI_SUM(A117,A118)</f>
        <v>#NAME?</v>
      </c>
      <c r="I119" s="48"/>
      <c r="J119" s="46"/>
    </row>
    <row r="120" spans="1:12" ht="15" customHeight="1" x14ac:dyDescent="0.25">
      <c r="A120" s="46" t="s">
        <v>877</v>
      </c>
      <c r="B120" s="57"/>
      <c r="C120" s="57"/>
      <c r="D120" s="58"/>
      <c r="E120" s="58"/>
      <c r="F120" s="59"/>
      <c r="G120" s="59"/>
      <c r="I120" s="48"/>
      <c r="J120" s="46"/>
      <c r="K120" s="48"/>
      <c r="L120" s="48"/>
    </row>
    <row r="121" spans="1:12" ht="15" customHeight="1" x14ac:dyDescent="0.25">
      <c r="A121" s="46" t="s">
        <v>875</v>
      </c>
      <c r="B121" s="57" t="s">
        <v>1146</v>
      </c>
      <c r="C121" s="57"/>
      <c r="D121" s="58" t="s">
        <v>1187</v>
      </c>
      <c r="E121" s="58"/>
      <c r="F121" s="59" t="s">
        <v>1228</v>
      </c>
      <c r="G121" s="59"/>
      <c r="I121" s="48"/>
      <c r="J121" s="46"/>
      <c r="K121" s="48"/>
      <c r="L121" s="48"/>
    </row>
    <row r="122" spans="1:12" ht="15" customHeight="1" x14ac:dyDescent="0.25">
      <c r="A122" s="46" t="s">
        <v>876</v>
      </c>
      <c r="B122" s="57" t="s">
        <v>1147</v>
      </c>
      <c r="C122" s="57"/>
      <c r="D122" s="58" t="s">
        <v>1188</v>
      </c>
      <c r="E122" s="58"/>
      <c r="F122" s="59" t="s">
        <v>1229</v>
      </c>
      <c r="G122" s="59"/>
      <c r="I122" s="48"/>
      <c r="J122" s="46"/>
      <c r="K122" s="48"/>
      <c r="L122" s="48"/>
    </row>
    <row r="123" spans="1:12" ht="15" customHeight="1" x14ac:dyDescent="0.25">
      <c r="A123" s="46" t="s">
        <v>1582</v>
      </c>
      <c r="B123" s="3" t="s">
        <v>2483</v>
      </c>
      <c r="C123" s="3"/>
      <c r="D123" s="5" t="s">
        <v>2483</v>
      </c>
      <c r="E123" s="5"/>
      <c r="F123" s="7" t="s">
        <v>2483</v>
      </c>
      <c r="G123" s="7"/>
      <c r="H123" s="48" t="e">
        <f ca="1">AI_SUM(A121,A122)</f>
        <v>#NAME?</v>
      </c>
      <c r="I123" s="48"/>
      <c r="J123" s="46"/>
    </row>
    <row r="124" spans="1:12" ht="15" customHeight="1" x14ac:dyDescent="0.25">
      <c r="A124" s="46" t="s">
        <v>878</v>
      </c>
      <c r="B124" s="57"/>
      <c r="C124" s="57"/>
      <c r="D124" s="58"/>
      <c r="E124" s="58"/>
      <c r="F124" s="59"/>
      <c r="G124" s="59"/>
      <c r="I124" s="48"/>
      <c r="J124" s="46"/>
      <c r="K124" s="48"/>
      <c r="L124" s="48"/>
    </row>
    <row r="125" spans="1:12" ht="15" customHeight="1" x14ac:dyDescent="0.25">
      <c r="A125" s="46" t="s">
        <v>875</v>
      </c>
      <c r="B125" s="57" t="s">
        <v>1148</v>
      </c>
      <c r="C125" s="57"/>
      <c r="D125" s="58" t="s">
        <v>1189</v>
      </c>
      <c r="E125" s="58"/>
      <c r="F125" s="59" t="s">
        <v>1230</v>
      </c>
      <c r="G125" s="59"/>
      <c r="I125" s="48"/>
      <c r="J125" s="46"/>
      <c r="K125" s="48"/>
      <c r="L125" s="48"/>
    </row>
    <row r="126" spans="1:12" ht="15" customHeight="1" x14ac:dyDescent="0.25">
      <c r="A126" s="46" t="s">
        <v>876</v>
      </c>
      <c r="B126" s="57" t="s">
        <v>1149</v>
      </c>
      <c r="C126" s="57"/>
      <c r="D126" s="58" t="s">
        <v>1190</v>
      </c>
      <c r="E126" s="58"/>
      <c r="F126" s="59" t="s">
        <v>1231</v>
      </c>
      <c r="G126" s="59"/>
      <c r="I126" s="48"/>
      <c r="J126" s="46"/>
      <c r="K126" s="48"/>
      <c r="L126" s="48"/>
    </row>
    <row r="127" spans="1:12" ht="15" customHeight="1" x14ac:dyDescent="0.25">
      <c r="A127" s="46" t="s">
        <v>1583</v>
      </c>
      <c r="B127" s="3" t="s">
        <v>2484</v>
      </c>
      <c r="C127" s="3"/>
      <c r="D127" s="5" t="s">
        <v>2484</v>
      </c>
      <c r="E127" s="5"/>
      <c r="F127" s="7" t="s">
        <v>2484</v>
      </c>
      <c r="G127" s="7"/>
      <c r="H127" s="48" t="e">
        <f ca="1">AI_SUM(A125,A126)</f>
        <v>#NAME?</v>
      </c>
      <c r="I127" s="48"/>
      <c r="J127" s="46"/>
    </row>
    <row r="128" spans="1:12" ht="15" customHeight="1" x14ac:dyDescent="0.25">
      <c r="A128" s="46" t="s">
        <v>879</v>
      </c>
      <c r="B128" s="57"/>
      <c r="C128" s="57"/>
      <c r="D128" s="58"/>
      <c r="E128" s="58"/>
      <c r="F128" s="59"/>
      <c r="G128" s="59"/>
      <c r="I128" s="48"/>
      <c r="J128" s="46"/>
      <c r="K128" s="48"/>
      <c r="L128" s="48"/>
    </row>
    <row r="129" spans="1:12" ht="15" customHeight="1" x14ac:dyDescent="0.25">
      <c r="A129" s="46" t="s">
        <v>875</v>
      </c>
      <c r="B129" s="57" t="s">
        <v>1150</v>
      </c>
      <c r="C129" s="57"/>
      <c r="D129" s="58" t="s">
        <v>1191</v>
      </c>
      <c r="E129" s="58"/>
      <c r="F129" s="59" t="s">
        <v>1232</v>
      </c>
      <c r="G129" s="59"/>
      <c r="I129" s="48"/>
      <c r="J129" s="46"/>
      <c r="K129" s="48"/>
      <c r="L129" s="48"/>
    </row>
    <row r="130" spans="1:12" ht="15" customHeight="1" x14ac:dyDescent="0.25">
      <c r="A130" s="46" t="s">
        <v>876</v>
      </c>
      <c r="B130" s="57" t="s">
        <v>1151</v>
      </c>
      <c r="C130" s="57"/>
      <c r="D130" s="58" t="s">
        <v>1192</v>
      </c>
      <c r="E130" s="58"/>
      <c r="F130" s="59" t="s">
        <v>1233</v>
      </c>
      <c r="G130" s="59"/>
      <c r="I130" s="48"/>
      <c r="J130" s="46"/>
      <c r="K130" s="48"/>
      <c r="L130" s="48"/>
    </row>
    <row r="131" spans="1:12" ht="15" customHeight="1" x14ac:dyDescent="0.25">
      <c r="A131" s="46" t="s">
        <v>1584</v>
      </c>
      <c r="B131" s="3" t="s">
        <v>2485</v>
      </c>
      <c r="C131" s="3"/>
      <c r="D131" s="5" t="s">
        <v>2485</v>
      </c>
      <c r="E131" s="5"/>
      <c r="F131" s="7" t="s">
        <v>2485</v>
      </c>
      <c r="G131" s="7"/>
      <c r="H131" s="48" t="e">
        <f ca="1">AI_SUM(A129,A130)</f>
        <v>#NAME?</v>
      </c>
      <c r="I131" s="48"/>
      <c r="J131" s="46"/>
    </row>
    <row r="132" spans="1:12" ht="15" customHeight="1" x14ac:dyDescent="0.25">
      <c r="A132" s="46" t="s">
        <v>1563</v>
      </c>
      <c r="B132" s="3" t="s">
        <v>2493</v>
      </c>
      <c r="C132" s="3"/>
      <c r="D132" s="5" t="s">
        <v>2493</v>
      </c>
      <c r="E132" s="5"/>
      <c r="F132" s="7" t="s">
        <v>2493</v>
      </c>
      <c r="G132" s="7"/>
      <c r="H132" s="48" t="e">
        <f ca="1">AI_SUM(A115,A119,A123,A127,A131)</f>
        <v>#NAME?</v>
      </c>
      <c r="I132" s="48"/>
      <c r="J132" s="46"/>
    </row>
    <row r="133" spans="1:12" ht="15" customHeight="1" x14ac:dyDescent="0.25">
      <c r="A133" s="46" t="s">
        <v>880</v>
      </c>
      <c r="B133" s="57"/>
      <c r="C133" s="57"/>
      <c r="D133" s="58"/>
      <c r="E133" s="58"/>
      <c r="F133" s="59"/>
      <c r="G133" s="59"/>
      <c r="I133" s="48"/>
      <c r="J133" s="46"/>
      <c r="K133" s="48"/>
      <c r="L133" s="48"/>
    </row>
    <row r="134" spans="1:12" ht="15" customHeight="1" x14ac:dyDescent="0.25">
      <c r="A134" s="46" t="s">
        <v>881</v>
      </c>
      <c r="B134" s="57" t="s">
        <v>1152</v>
      </c>
      <c r="C134" s="57"/>
      <c r="D134" s="58" t="s">
        <v>1193</v>
      </c>
      <c r="E134" s="58"/>
      <c r="F134" s="59" t="s">
        <v>1234</v>
      </c>
      <c r="G134" s="59"/>
      <c r="I134" s="48"/>
      <c r="J134" s="46"/>
      <c r="K134" s="48"/>
      <c r="L134" s="48"/>
    </row>
    <row r="135" spans="1:12" ht="15" customHeight="1" x14ac:dyDescent="0.25">
      <c r="A135" s="46" t="s">
        <v>882</v>
      </c>
      <c r="B135" s="57" t="s">
        <v>1153</v>
      </c>
      <c r="C135" s="57"/>
      <c r="D135" s="58" t="s">
        <v>1194</v>
      </c>
      <c r="E135" s="58"/>
      <c r="F135" s="59" t="s">
        <v>1235</v>
      </c>
      <c r="G135" s="59"/>
      <c r="I135" s="48"/>
      <c r="J135" s="46"/>
      <c r="K135" s="48"/>
      <c r="L135" s="48"/>
    </row>
    <row r="136" spans="1:12" ht="15" customHeight="1" x14ac:dyDescent="0.25">
      <c r="A136" s="46" t="s">
        <v>883</v>
      </c>
      <c r="B136" s="57" t="s">
        <v>1154</v>
      </c>
      <c r="C136" s="57"/>
      <c r="D136" s="58" t="s">
        <v>1195</v>
      </c>
      <c r="E136" s="58"/>
      <c r="F136" s="59" t="s">
        <v>1236</v>
      </c>
      <c r="G136" s="59"/>
      <c r="I136" s="48"/>
      <c r="J136" s="46"/>
      <c r="K136" s="48"/>
      <c r="L136" s="48"/>
    </row>
    <row r="137" spans="1:12" ht="15" customHeight="1" x14ac:dyDescent="0.25">
      <c r="A137" s="46" t="s">
        <v>884</v>
      </c>
      <c r="B137" s="57" t="s">
        <v>1155</v>
      </c>
      <c r="C137" s="57"/>
      <c r="D137" s="58" t="s">
        <v>1196</v>
      </c>
      <c r="E137" s="58"/>
      <c r="F137" s="59" t="s">
        <v>1237</v>
      </c>
      <c r="G137" s="59"/>
      <c r="I137" s="48"/>
      <c r="J137" s="46"/>
      <c r="K137" s="48"/>
      <c r="L137" s="48"/>
    </row>
    <row r="138" spans="1:12" ht="15" customHeight="1" x14ac:dyDescent="0.25">
      <c r="A138" s="46" t="s">
        <v>885</v>
      </c>
      <c r="B138" s="57" t="s">
        <v>1156</v>
      </c>
      <c r="C138" s="57"/>
      <c r="D138" s="58" t="s">
        <v>1197</v>
      </c>
      <c r="E138" s="58"/>
      <c r="F138" s="59" t="s">
        <v>1238</v>
      </c>
      <c r="G138" s="59"/>
      <c r="I138" s="48"/>
      <c r="J138" s="46"/>
      <c r="K138" s="48"/>
      <c r="L138" s="48"/>
    </row>
    <row r="139" spans="1:12" ht="15" customHeight="1" x14ac:dyDescent="0.25">
      <c r="A139" s="46" t="s">
        <v>886</v>
      </c>
      <c r="B139" s="57" t="s">
        <v>1157</v>
      </c>
      <c r="C139" s="57"/>
      <c r="D139" s="58" t="s">
        <v>1198</v>
      </c>
      <c r="E139" s="58"/>
      <c r="F139" s="59" t="s">
        <v>1239</v>
      </c>
      <c r="G139" s="59"/>
      <c r="I139" s="48"/>
      <c r="J139" s="46"/>
      <c r="K139" s="48"/>
      <c r="L139" s="48"/>
    </row>
    <row r="140" spans="1:12" ht="15" customHeight="1" x14ac:dyDescent="0.25">
      <c r="A140" s="46" t="s">
        <v>1564</v>
      </c>
      <c r="B140" s="3" t="s">
        <v>2486</v>
      </c>
      <c r="C140" s="3"/>
      <c r="D140" s="5" t="s">
        <v>2486</v>
      </c>
      <c r="E140" s="5"/>
      <c r="F140" s="7" t="s">
        <v>2486</v>
      </c>
      <c r="G140" s="7"/>
      <c r="H140" s="48" t="e">
        <f ca="1">AI_SUM(A134,A135,A136,A137,A138,A139)</f>
        <v>#NAME?</v>
      </c>
      <c r="I140" s="48"/>
      <c r="J140" s="46"/>
    </row>
    <row r="141" spans="1:12" ht="15" customHeight="1" x14ac:dyDescent="0.25">
      <c r="A141" s="46" t="s">
        <v>887</v>
      </c>
      <c r="B141" s="57"/>
      <c r="C141" s="57"/>
      <c r="D141" s="58"/>
      <c r="E141" s="58"/>
      <c r="F141" s="59"/>
      <c r="G141" s="59"/>
      <c r="I141" s="48"/>
      <c r="J141" s="46"/>
      <c r="K141" s="48"/>
      <c r="L141" s="48"/>
    </row>
    <row r="142" spans="1:12" ht="15" customHeight="1" x14ac:dyDescent="0.25">
      <c r="A142" s="46" t="s">
        <v>888</v>
      </c>
      <c r="B142" s="57" t="s">
        <v>1158</v>
      </c>
      <c r="C142" s="57"/>
      <c r="D142" s="58" t="s">
        <v>1199</v>
      </c>
      <c r="E142" s="58"/>
      <c r="F142" s="59" t="s">
        <v>1240</v>
      </c>
      <c r="G142" s="59"/>
      <c r="I142" s="48"/>
      <c r="J142" s="46"/>
      <c r="K142" s="48"/>
      <c r="L142" s="48"/>
    </row>
    <row r="143" spans="1:12" ht="15" customHeight="1" x14ac:dyDescent="0.25">
      <c r="A143" s="46" t="s">
        <v>889</v>
      </c>
      <c r="B143" s="57"/>
      <c r="C143" s="57"/>
      <c r="D143" s="58"/>
      <c r="E143" s="58"/>
      <c r="F143" s="59"/>
      <c r="G143" s="59"/>
      <c r="I143" s="48"/>
      <c r="J143" s="46"/>
      <c r="K143" s="48"/>
      <c r="L143" s="48"/>
    </row>
    <row r="144" spans="1:12" ht="15" customHeight="1" x14ac:dyDescent="0.25">
      <c r="A144" s="46" t="s">
        <v>890</v>
      </c>
      <c r="B144" s="57" t="s">
        <v>1159</v>
      </c>
      <c r="C144" s="57"/>
      <c r="D144" s="58" t="s">
        <v>1200</v>
      </c>
      <c r="E144" s="58"/>
      <c r="F144" s="59" t="s">
        <v>1241</v>
      </c>
      <c r="G144" s="59"/>
      <c r="I144" s="48"/>
      <c r="J144" s="46"/>
      <c r="K144" s="48"/>
      <c r="L144" s="48"/>
    </row>
    <row r="145" spans="1:12" ht="15" customHeight="1" x14ac:dyDescent="0.25">
      <c r="A145" s="46" t="s">
        <v>891</v>
      </c>
      <c r="B145" s="57"/>
      <c r="C145" s="57"/>
      <c r="D145" s="58"/>
      <c r="E145" s="58"/>
      <c r="F145" s="59"/>
      <c r="G145" s="59"/>
      <c r="I145" s="48"/>
      <c r="J145" s="46"/>
      <c r="K145" s="48"/>
      <c r="L145" s="48"/>
    </row>
    <row r="146" spans="1:12" ht="15" customHeight="1" x14ac:dyDescent="0.25">
      <c r="A146" s="46" t="s">
        <v>855</v>
      </c>
      <c r="B146" s="57" t="s">
        <v>1160</v>
      </c>
      <c r="C146" s="57"/>
      <c r="D146" s="58" t="s">
        <v>1201</v>
      </c>
      <c r="E146" s="58"/>
      <c r="F146" s="59" t="s">
        <v>1242</v>
      </c>
      <c r="G146" s="59"/>
      <c r="I146" s="48"/>
      <c r="J146" s="46"/>
      <c r="K146" s="48"/>
      <c r="L146" s="48"/>
    </row>
    <row r="147" spans="1:12" ht="15" customHeight="1" x14ac:dyDescent="0.25">
      <c r="A147" s="46" t="s">
        <v>1565</v>
      </c>
      <c r="B147" s="3" t="s">
        <v>2487</v>
      </c>
      <c r="C147" s="3"/>
      <c r="D147" s="5" t="s">
        <v>2487</v>
      </c>
      <c r="E147" s="5"/>
      <c r="F147" s="7" t="s">
        <v>2487</v>
      </c>
      <c r="G147" s="7"/>
      <c r="H147" s="48" t="e">
        <f ca="1">AI_SUM(A142,A144,A146)</f>
        <v>#NAME?</v>
      </c>
      <c r="I147" s="48"/>
      <c r="J147" s="46"/>
    </row>
    <row r="148" spans="1:12" ht="15" customHeight="1" x14ac:dyDescent="0.25">
      <c r="A148" s="46" t="s">
        <v>892</v>
      </c>
      <c r="B148" s="57" t="s">
        <v>1161</v>
      </c>
      <c r="C148" s="57"/>
      <c r="D148" s="58" t="s">
        <v>1202</v>
      </c>
      <c r="E148" s="58"/>
      <c r="F148" s="59" t="s">
        <v>1243</v>
      </c>
      <c r="G148" s="59"/>
      <c r="I148" s="48"/>
      <c r="J148" s="46"/>
      <c r="K148" s="48"/>
      <c r="L148" s="48"/>
    </row>
    <row r="149" spans="1:12" ht="15" customHeight="1" x14ac:dyDescent="0.25">
      <c r="A149" s="46" t="s">
        <v>893</v>
      </c>
      <c r="B149" s="57" t="s">
        <v>1162</v>
      </c>
      <c r="C149" s="57"/>
      <c r="D149" s="58" t="s">
        <v>1203</v>
      </c>
      <c r="E149" s="58"/>
      <c r="F149" s="59" t="s">
        <v>1244</v>
      </c>
      <c r="G149" s="59"/>
      <c r="I149" s="48"/>
      <c r="J149" s="46"/>
      <c r="K149" s="48"/>
      <c r="L149" s="48"/>
    </row>
    <row r="150" spans="1:12" ht="15" customHeight="1" x14ac:dyDescent="0.25">
      <c r="A150" s="46" t="s">
        <v>894</v>
      </c>
      <c r="B150" s="57" t="s">
        <v>1163</v>
      </c>
      <c r="C150" s="57"/>
      <c r="D150" s="58" t="s">
        <v>1204</v>
      </c>
      <c r="E150" s="58"/>
      <c r="F150" s="59" t="s">
        <v>1245</v>
      </c>
      <c r="G150" s="59"/>
      <c r="I150" s="48"/>
      <c r="J150" s="46"/>
      <c r="K150" s="48"/>
      <c r="L150" s="48"/>
    </row>
    <row r="151" spans="1:12" ht="15" customHeight="1" x14ac:dyDescent="0.25">
      <c r="A151" s="46" t="s">
        <v>895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48"/>
      <c r="J151" s="46"/>
      <c r="K151" s="48"/>
      <c r="L151" s="48"/>
    </row>
    <row r="152" spans="1:12" ht="15" customHeight="1" x14ac:dyDescent="0.25">
      <c r="A152" s="46" t="s">
        <v>896</v>
      </c>
      <c r="B152" s="57" t="s">
        <v>1164</v>
      </c>
      <c r="C152" s="57"/>
      <c r="D152" s="58" t="s">
        <v>1205</v>
      </c>
      <c r="E152" s="58"/>
      <c r="F152" s="59" t="s">
        <v>1246</v>
      </c>
      <c r="G152" s="59"/>
      <c r="I152" s="48"/>
      <c r="J152" s="46"/>
      <c r="K152" s="48"/>
      <c r="L152" s="48"/>
    </row>
    <row r="153" spans="1:12" ht="15" customHeight="1" x14ac:dyDescent="0.25">
      <c r="A153" s="46" t="s">
        <v>897</v>
      </c>
      <c r="B153" s="57" t="s">
        <v>1165</v>
      </c>
      <c r="C153" s="57"/>
      <c r="D153" s="58" t="s">
        <v>1206</v>
      </c>
      <c r="E153" s="58"/>
      <c r="F153" s="59" t="s">
        <v>1247</v>
      </c>
      <c r="G153" s="59"/>
      <c r="I153" s="48"/>
      <c r="J153" s="46"/>
      <c r="K153" s="48"/>
      <c r="L153" s="48"/>
    </row>
    <row r="154" spans="1:12" ht="15" customHeight="1" x14ac:dyDescent="0.25">
      <c r="A154" s="46" t="s">
        <v>898</v>
      </c>
      <c r="B154" s="57" t="s">
        <v>1166</v>
      </c>
      <c r="C154" s="57"/>
      <c r="D154" s="58" t="s">
        <v>1207</v>
      </c>
      <c r="E154" s="58"/>
      <c r="F154" s="59" t="s">
        <v>1248</v>
      </c>
      <c r="G154" s="59"/>
      <c r="I154" s="48"/>
      <c r="J154" s="46"/>
      <c r="K154" s="48"/>
      <c r="L154" s="48"/>
    </row>
    <row r="155" spans="1:12" ht="15" customHeight="1" x14ac:dyDescent="0.25">
      <c r="K155" s="48"/>
      <c r="L155" s="48"/>
    </row>
    <row r="156" spans="1:12" ht="15" customHeight="1" x14ac:dyDescent="0.25">
      <c r="K156" s="48"/>
      <c r="L156" s="48"/>
    </row>
    <row r="157" spans="1:12" ht="15" customHeight="1" x14ac:dyDescent="0.25">
      <c r="K157" s="48"/>
      <c r="L157" s="48"/>
    </row>
  </sheetData>
  <autoFilter ref="A1:S1" xr:uid="{00000000-0009-0000-0000-000008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2:O106"/>
  <sheetViews>
    <sheetView topLeftCell="A28" zoomScale="80" zoomScaleNormal="80" workbookViewId="0">
      <selection activeCell="I13" sqref="I1:I1048576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2" width="10.7109375" style="48" customWidth="1"/>
    <col min="13" max="13" width="10.7109375" style="50" customWidth="1"/>
    <col min="14" max="14" width="10.7109375" style="70" customWidth="1"/>
    <col min="15" max="15" width="10.7109375" style="49" customWidth="1"/>
    <col min="16" max="17" width="10.7109375" style="48" customWidth="1"/>
    <col min="18" max="16384" width="9.140625" style="48"/>
  </cols>
  <sheetData>
    <row r="2" spans="1:12" ht="15" customHeight="1" x14ac:dyDescent="0.25">
      <c r="A2" s="48" t="s">
        <v>1771</v>
      </c>
      <c r="B2" s="50" t="s">
        <v>1622</v>
      </c>
      <c r="C2" s="50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2" ht="15" customHeight="1" x14ac:dyDescent="0.25">
      <c r="A3" s="92" t="s">
        <v>1868</v>
      </c>
      <c r="J3" s="48" t="s">
        <v>1882</v>
      </c>
      <c r="K3" s="48" t="s">
        <v>1883</v>
      </c>
    </row>
    <row r="4" spans="1:12" ht="15" customHeight="1" x14ac:dyDescent="0.25">
      <c r="A4" s="30" t="s">
        <v>1027</v>
      </c>
      <c r="B4" s="37"/>
      <c r="C4" s="37"/>
      <c r="D4" s="38"/>
      <c r="E4" s="38"/>
      <c r="F4" s="39"/>
      <c r="G4" s="39"/>
    </row>
    <row r="5" spans="1:12" ht="15" customHeight="1" x14ac:dyDescent="0.25">
      <c r="A5" s="30" t="s">
        <v>1028</v>
      </c>
      <c r="B5" s="37" t="s">
        <v>449</v>
      </c>
      <c r="C5" s="37"/>
      <c r="D5" s="38" t="s">
        <v>505</v>
      </c>
      <c r="E5" s="38"/>
      <c r="F5" s="39" t="s">
        <v>561</v>
      </c>
      <c r="G5" s="39"/>
    </row>
    <row r="6" spans="1:12" ht="15" customHeight="1" x14ac:dyDescent="0.25">
      <c r="A6" s="30" t="s">
        <v>1029</v>
      </c>
      <c r="B6" s="37" t="s">
        <v>450</v>
      </c>
      <c r="C6" s="37"/>
      <c r="D6" s="38" t="s">
        <v>506</v>
      </c>
      <c r="E6" s="38"/>
      <c r="F6" s="39" t="s">
        <v>562</v>
      </c>
      <c r="G6" s="39"/>
    </row>
    <row r="7" spans="1:12" ht="15" customHeight="1" x14ac:dyDescent="0.25">
      <c r="A7" s="30" t="s">
        <v>1030</v>
      </c>
      <c r="B7" s="37" t="s">
        <v>451</v>
      </c>
      <c r="C7" s="37"/>
      <c r="D7" s="38" t="s">
        <v>507</v>
      </c>
      <c r="E7" s="38"/>
      <c r="F7" s="39" t="s">
        <v>563</v>
      </c>
      <c r="G7" s="39"/>
    </row>
    <row r="8" spans="1:12" ht="15" customHeight="1" x14ac:dyDescent="0.25">
      <c r="A8" s="30" t="s">
        <v>1031</v>
      </c>
      <c r="B8" s="37" t="s">
        <v>452</v>
      </c>
      <c r="C8" s="37"/>
      <c r="D8" s="38" t="s">
        <v>508</v>
      </c>
      <c r="E8" s="38"/>
      <c r="F8" s="39" t="s">
        <v>564</v>
      </c>
      <c r="G8" s="39"/>
    </row>
    <row r="9" spans="1:12" ht="15" customHeight="1" x14ac:dyDescent="0.25">
      <c r="A9" s="30" t="s">
        <v>1032</v>
      </c>
      <c r="B9" s="37" t="s">
        <v>453</v>
      </c>
      <c r="C9" s="37"/>
      <c r="D9" s="38" t="s">
        <v>509</v>
      </c>
      <c r="E9" s="38"/>
      <c r="F9" s="39" t="s">
        <v>565</v>
      </c>
      <c r="G9" s="39"/>
    </row>
    <row r="10" spans="1:12" ht="15" customHeight="1" x14ac:dyDescent="0.25">
      <c r="A10" s="30" t="s">
        <v>1033</v>
      </c>
      <c r="B10" s="37" t="s">
        <v>454</v>
      </c>
      <c r="C10" s="37"/>
      <c r="D10" s="38" t="s">
        <v>510</v>
      </c>
      <c r="E10" s="38"/>
      <c r="F10" s="39" t="s">
        <v>566</v>
      </c>
      <c r="G10" s="39"/>
    </row>
    <row r="11" spans="1:12" ht="15" customHeight="1" x14ac:dyDescent="0.25">
      <c r="A11" s="30" t="s">
        <v>1035</v>
      </c>
      <c r="B11" s="37" t="s">
        <v>2525</v>
      </c>
      <c r="C11" s="37"/>
      <c r="D11" s="38" t="s">
        <v>2525</v>
      </c>
      <c r="E11" s="38"/>
      <c r="F11" s="39" t="s">
        <v>2525</v>
      </c>
      <c r="G11" s="39"/>
      <c r="H11" s="48" t="e">
        <f ca="1">AI_SUM(A5,A6)</f>
        <v>#NAME?</v>
      </c>
    </row>
    <row r="12" spans="1:12" ht="15" customHeight="1" x14ac:dyDescent="0.25">
      <c r="A12" s="30" t="s">
        <v>1036</v>
      </c>
      <c r="B12" s="37" t="s">
        <v>2526</v>
      </c>
      <c r="C12" s="37"/>
      <c r="D12" s="38" t="s">
        <v>2526</v>
      </c>
      <c r="E12" s="38"/>
      <c r="F12" s="39" t="s">
        <v>2526</v>
      </c>
      <c r="G12" s="39"/>
      <c r="H12" s="48" t="e">
        <f ca="1">AI_SUM(A7,A8,A9,A10)</f>
        <v>#NAME?</v>
      </c>
    </row>
    <row r="13" spans="1:12" ht="15" customHeight="1" x14ac:dyDescent="0.25">
      <c r="A13" s="30" t="s">
        <v>1034</v>
      </c>
      <c r="B13" s="37" t="s">
        <v>455</v>
      </c>
      <c r="C13" s="37"/>
      <c r="D13" s="38" t="s">
        <v>511</v>
      </c>
      <c r="E13" s="38"/>
      <c r="F13" s="39" t="s">
        <v>567</v>
      </c>
      <c r="G13" s="39"/>
    </row>
    <row r="14" spans="1:12" ht="15" customHeight="1" x14ac:dyDescent="0.25">
      <c r="A14" s="30" t="s">
        <v>1037</v>
      </c>
      <c r="B14" s="37"/>
      <c r="C14" s="37"/>
      <c r="D14" s="38"/>
      <c r="E14" s="38"/>
      <c r="F14" s="39"/>
      <c r="G14" s="39"/>
    </row>
    <row r="15" spans="1:12" ht="15" customHeight="1" x14ac:dyDescent="0.25">
      <c r="A15" s="30" t="s">
        <v>1028</v>
      </c>
      <c r="B15" s="37" t="s">
        <v>456</v>
      </c>
      <c r="C15" s="37"/>
      <c r="D15" s="38" t="s">
        <v>512</v>
      </c>
      <c r="E15" s="38"/>
      <c r="F15" s="39" t="s">
        <v>568</v>
      </c>
      <c r="G15" s="39"/>
    </row>
    <row r="16" spans="1:12" ht="15" customHeight="1" x14ac:dyDescent="0.25">
      <c r="A16" s="30" t="s">
        <v>1029</v>
      </c>
      <c r="B16" s="37" t="s">
        <v>457</v>
      </c>
      <c r="C16" s="37"/>
      <c r="D16" s="38" t="s">
        <v>513</v>
      </c>
      <c r="E16" s="38"/>
      <c r="F16" s="39" t="s">
        <v>569</v>
      </c>
      <c r="G16" s="39"/>
    </row>
    <row r="17" spans="1:8" ht="15" customHeight="1" x14ac:dyDescent="0.25">
      <c r="A17" s="30" t="s">
        <v>1030</v>
      </c>
      <c r="B17" s="37" t="s">
        <v>458</v>
      </c>
      <c r="C17" s="37"/>
      <c r="D17" s="38" t="s">
        <v>514</v>
      </c>
      <c r="E17" s="38"/>
      <c r="F17" s="39" t="s">
        <v>570</v>
      </c>
      <c r="G17" s="39"/>
    </row>
    <row r="18" spans="1:8" ht="15" customHeight="1" x14ac:dyDescent="0.25">
      <c r="A18" s="30" t="s">
        <v>1031</v>
      </c>
      <c r="B18" s="37" t="s">
        <v>459</v>
      </c>
      <c r="C18" s="37"/>
      <c r="D18" s="38" t="s">
        <v>515</v>
      </c>
      <c r="E18" s="38"/>
      <c r="F18" s="39" t="s">
        <v>571</v>
      </c>
      <c r="G18" s="39"/>
    </row>
    <row r="19" spans="1:8" ht="15" customHeight="1" x14ac:dyDescent="0.25">
      <c r="A19" s="30" t="s">
        <v>1032</v>
      </c>
      <c r="B19" s="37" t="s">
        <v>460</v>
      </c>
      <c r="C19" s="37"/>
      <c r="D19" s="38" t="s">
        <v>516</v>
      </c>
      <c r="E19" s="38"/>
      <c r="F19" s="39" t="s">
        <v>572</v>
      </c>
      <c r="G19" s="39"/>
    </row>
    <row r="20" spans="1:8" ht="15" customHeight="1" x14ac:dyDescent="0.25">
      <c r="A20" s="30" t="s">
        <v>1033</v>
      </c>
      <c r="B20" s="37" t="s">
        <v>461</v>
      </c>
      <c r="C20" s="37"/>
      <c r="D20" s="38" t="s">
        <v>517</v>
      </c>
      <c r="E20" s="38"/>
      <c r="F20" s="39" t="s">
        <v>573</v>
      </c>
      <c r="G20" s="39"/>
    </row>
    <row r="21" spans="1:8" ht="15" customHeight="1" x14ac:dyDescent="0.25">
      <c r="A21" s="30" t="s">
        <v>1035</v>
      </c>
      <c r="B21" s="37" t="s">
        <v>2527</v>
      </c>
      <c r="C21" s="37"/>
      <c r="D21" s="38" t="s">
        <v>2527</v>
      </c>
      <c r="E21" s="38"/>
      <c r="F21" s="39" t="s">
        <v>2527</v>
      </c>
      <c r="G21" s="39"/>
      <c r="H21" s="48" t="e">
        <f ca="1">AI_SUM(A15,A16)</f>
        <v>#NAME?</v>
      </c>
    </row>
    <row r="22" spans="1:8" ht="15" customHeight="1" x14ac:dyDescent="0.25">
      <c r="A22" s="30" t="s">
        <v>1036</v>
      </c>
      <c r="B22" s="37" t="s">
        <v>2528</v>
      </c>
      <c r="C22" s="37"/>
      <c r="D22" s="38" t="s">
        <v>2528</v>
      </c>
      <c r="E22" s="38"/>
      <c r="F22" s="39" t="s">
        <v>2528</v>
      </c>
      <c r="G22" s="39"/>
      <c r="H22" s="48" t="e">
        <f ca="1">AI_SUM(A17,A18,A19,A20)</f>
        <v>#NAME?</v>
      </c>
    </row>
    <row r="23" spans="1:8" ht="15" customHeight="1" x14ac:dyDescent="0.25">
      <c r="A23" s="30" t="s">
        <v>1034</v>
      </c>
      <c r="B23" s="37" t="s">
        <v>462</v>
      </c>
      <c r="C23" s="37"/>
      <c r="D23" s="38" t="s">
        <v>518</v>
      </c>
      <c r="E23" s="38"/>
      <c r="F23" s="39" t="s">
        <v>574</v>
      </c>
      <c r="G23" s="39"/>
    </row>
    <row r="24" spans="1:8" ht="15" customHeight="1" x14ac:dyDescent="0.25">
      <c r="A24" s="30" t="s">
        <v>1038</v>
      </c>
      <c r="B24" s="37"/>
      <c r="C24" s="37"/>
      <c r="D24" s="38"/>
      <c r="E24" s="38"/>
      <c r="F24" s="39"/>
      <c r="G24" s="39"/>
    </row>
    <row r="25" spans="1:8" ht="15" customHeight="1" x14ac:dyDescent="0.25">
      <c r="A25" s="30" t="s">
        <v>1028</v>
      </c>
      <c r="B25" s="37" t="s">
        <v>463</v>
      </c>
      <c r="C25" s="37"/>
      <c r="D25" s="38" t="s">
        <v>519</v>
      </c>
      <c r="E25" s="38"/>
      <c r="F25" s="39" t="s">
        <v>575</v>
      </c>
      <c r="G25" s="39"/>
    </row>
    <row r="26" spans="1:8" ht="15" customHeight="1" x14ac:dyDescent="0.25">
      <c r="A26" s="30" t="s">
        <v>1029</v>
      </c>
      <c r="B26" s="37" t="s">
        <v>464</v>
      </c>
      <c r="C26" s="37"/>
      <c r="D26" s="38" t="s">
        <v>520</v>
      </c>
      <c r="E26" s="38"/>
      <c r="F26" s="39" t="s">
        <v>576</v>
      </c>
      <c r="G26" s="39"/>
    </row>
    <row r="27" spans="1:8" ht="15" customHeight="1" x14ac:dyDescent="0.25">
      <c r="A27" s="30" t="s">
        <v>1030</v>
      </c>
      <c r="B27" s="37" t="s">
        <v>465</v>
      </c>
      <c r="C27" s="37"/>
      <c r="D27" s="38" t="s">
        <v>521</v>
      </c>
      <c r="E27" s="38"/>
      <c r="F27" s="39" t="s">
        <v>577</v>
      </c>
      <c r="G27" s="39"/>
    </row>
    <row r="28" spans="1:8" ht="15" customHeight="1" x14ac:dyDescent="0.25">
      <c r="A28" s="30" t="s">
        <v>1031</v>
      </c>
      <c r="B28" s="37" t="s">
        <v>466</v>
      </c>
      <c r="C28" s="37"/>
      <c r="D28" s="38" t="s">
        <v>522</v>
      </c>
      <c r="E28" s="38"/>
      <c r="F28" s="39" t="s">
        <v>578</v>
      </c>
      <c r="G28" s="39"/>
    </row>
    <row r="29" spans="1:8" ht="15" customHeight="1" x14ac:dyDescent="0.25">
      <c r="A29" s="30" t="s">
        <v>1032</v>
      </c>
      <c r="B29" s="37" t="s">
        <v>467</v>
      </c>
      <c r="C29" s="37"/>
      <c r="D29" s="38" t="s">
        <v>523</v>
      </c>
      <c r="E29" s="38"/>
      <c r="F29" s="39" t="s">
        <v>579</v>
      </c>
      <c r="G29" s="39"/>
    </row>
    <row r="30" spans="1:8" ht="15" customHeight="1" x14ac:dyDescent="0.25">
      <c r="A30" s="30" t="s">
        <v>1033</v>
      </c>
      <c r="B30" s="37" t="s">
        <v>468</v>
      </c>
      <c r="C30" s="37"/>
      <c r="D30" s="38" t="s">
        <v>524</v>
      </c>
      <c r="E30" s="38"/>
      <c r="F30" s="39" t="s">
        <v>580</v>
      </c>
      <c r="G30" s="39"/>
    </row>
    <row r="31" spans="1:8" ht="15" customHeight="1" x14ac:dyDescent="0.25">
      <c r="A31" s="30" t="s">
        <v>1035</v>
      </c>
      <c r="B31" s="37" t="s">
        <v>2529</v>
      </c>
      <c r="C31" s="37"/>
      <c r="D31" s="38" t="s">
        <v>2529</v>
      </c>
      <c r="E31" s="38"/>
      <c r="F31" s="39" t="s">
        <v>2529</v>
      </c>
      <c r="G31" s="39"/>
      <c r="H31" s="48" t="e">
        <f ca="1">AI_SUM(A25,A26)</f>
        <v>#NAME?</v>
      </c>
    </row>
    <row r="32" spans="1:8" ht="15" customHeight="1" x14ac:dyDescent="0.25">
      <c r="A32" s="30" t="s">
        <v>1036</v>
      </c>
      <c r="B32" s="37" t="s">
        <v>2530</v>
      </c>
      <c r="C32" s="37"/>
      <c r="D32" s="38" t="s">
        <v>2530</v>
      </c>
      <c r="E32" s="38"/>
      <c r="F32" s="39" t="s">
        <v>2530</v>
      </c>
      <c r="G32" s="39"/>
      <c r="H32" s="48" t="e">
        <f ca="1">AI_SUM(A27,A28,A29,A30)</f>
        <v>#NAME?</v>
      </c>
    </row>
    <row r="33" spans="1:8" ht="15" customHeight="1" x14ac:dyDescent="0.25">
      <c r="A33" s="30" t="s">
        <v>1034</v>
      </c>
      <c r="B33" s="37" t="s">
        <v>469</v>
      </c>
      <c r="C33" s="37"/>
      <c r="D33" s="38" t="s">
        <v>525</v>
      </c>
      <c r="E33" s="38"/>
      <c r="F33" s="39" t="s">
        <v>581</v>
      </c>
      <c r="G33" s="39"/>
    </row>
    <row r="34" spans="1:8" ht="15" customHeight="1" x14ac:dyDescent="0.25">
      <c r="A34" s="30" t="s">
        <v>1039</v>
      </c>
      <c r="B34" s="37"/>
      <c r="C34" s="37"/>
      <c r="D34" s="38"/>
      <c r="E34" s="38"/>
      <c r="F34" s="39"/>
      <c r="G34" s="39"/>
    </row>
    <row r="35" spans="1:8" ht="15" customHeight="1" x14ac:dyDescent="0.25">
      <c r="A35" s="30" t="s">
        <v>1028</v>
      </c>
      <c r="B35" s="37" t="s">
        <v>470</v>
      </c>
      <c r="C35" s="37"/>
      <c r="D35" s="38" t="s">
        <v>526</v>
      </c>
      <c r="E35" s="38"/>
      <c r="F35" s="39" t="s">
        <v>582</v>
      </c>
      <c r="G35" s="39"/>
    </row>
    <row r="36" spans="1:8" ht="15" customHeight="1" x14ac:dyDescent="0.25">
      <c r="A36" s="30" t="s">
        <v>1029</v>
      </c>
      <c r="B36" s="37" t="s">
        <v>471</v>
      </c>
      <c r="C36" s="37"/>
      <c r="D36" s="38" t="s">
        <v>527</v>
      </c>
      <c r="E36" s="38"/>
      <c r="F36" s="39" t="s">
        <v>583</v>
      </c>
      <c r="G36" s="39"/>
    </row>
    <row r="37" spans="1:8" ht="15" customHeight="1" x14ac:dyDescent="0.25">
      <c r="A37" s="30" t="s">
        <v>1030</v>
      </c>
      <c r="B37" s="37" t="s">
        <v>472</v>
      </c>
      <c r="C37" s="37"/>
      <c r="D37" s="38" t="s">
        <v>528</v>
      </c>
      <c r="E37" s="38"/>
      <c r="F37" s="39" t="s">
        <v>584</v>
      </c>
      <c r="G37" s="39"/>
    </row>
    <row r="38" spans="1:8" ht="15" customHeight="1" x14ac:dyDescent="0.25">
      <c r="A38" s="30" t="s">
        <v>1031</v>
      </c>
      <c r="B38" s="37" t="s">
        <v>473</v>
      </c>
      <c r="C38" s="37"/>
      <c r="D38" s="38" t="s">
        <v>529</v>
      </c>
      <c r="E38" s="38"/>
      <c r="F38" s="39" t="s">
        <v>585</v>
      </c>
      <c r="G38" s="39"/>
    </row>
    <row r="39" spans="1:8" ht="15" customHeight="1" x14ac:dyDescent="0.25">
      <c r="A39" s="30" t="s">
        <v>1032</v>
      </c>
      <c r="B39" s="37" t="s">
        <v>474</v>
      </c>
      <c r="C39" s="37"/>
      <c r="D39" s="38" t="s">
        <v>530</v>
      </c>
      <c r="E39" s="38"/>
      <c r="F39" s="39" t="s">
        <v>586</v>
      </c>
      <c r="G39" s="39"/>
    </row>
    <row r="40" spans="1:8" ht="15" customHeight="1" x14ac:dyDescent="0.25">
      <c r="A40" s="30" t="s">
        <v>1033</v>
      </c>
      <c r="B40" s="37" t="s">
        <v>475</v>
      </c>
      <c r="C40" s="37"/>
      <c r="D40" s="38" t="s">
        <v>531</v>
      </c>
      <c r="E40" s="38"/>
      <c r="F40" s="39" t="s">
        <v>587</v>
      </c>
      <c r="G40" s="39"/>
    </row>
    <row r="41" spans="1:8" ht="15" customHeight="1" x14ac:dyDescent="0.25">
      <c r="A41" s="30" t="s">
        <v>1035</v>
      </c>
      <c r="B41" s="37" t="s">
        <v>2531</v>
      </c>
      <c r="C41" s="37"/>
      <c r="D41" s="38" t="s">
        <v>2531</v>
      </c>
      <c r="E41" s="38"/>
      <c r="F41" s="39" t="s">
        <v>2531</v>
      </c>
      <c r="G41" s="39"/>
      <c r="H41" s="48" t="e">
        <f ca="1">AI_SUM(A35,A36)</f>
        <v>#NAME?</v>
      </c>
    </row>
    <row r="42" spans="1:8" ht="15" customHeight="1" x14ac:dyDescent="0.25">
      <c r="A42" s="30" t="s">
        <v>1036</v>
      </c>
      <c r="B42" s="37" t="s">
        <v>2532</v>
      </c>
      <c r="C42" s="37"/>
      <c r="D42" s="38" t="s">
        <v>2532</v>
      </c>
      <c r="E42" s="38"/>
      <c r="F42" s="39" t="s">
        <v>2532</v>
      </c>
      <c r="G42" s="39"/>
      <c r="H42" s="48" t="e">
        <f ca="1">AI_SUM(A37,A38,A39,A40)</f>
        <v>#NAME?</v>
      </c>
    </row>
    <row r="43" spans="1:8" ht="15" customHeight="1" x14ac:dyDescent="0.25">
      <c r="A43" s="30" t="s">
        <v>1034</v>
      </c>
      <c r="B43" s="37" t="s">
        <v>476</v>
      </c>
      <c r="C43" s="37"/>
      <c r="D43" s="38" t="s">
        <v>532</v>
      </c>
      <c r="E43" s="38"/>
      <c r="F43" s="39" t="s">
        <v>588</v>
      </c>
      <c r="G43" s="39"/>
    </row>
    <row r="44" spans="1:8" ht="15" customHeight="1" x14ac:dyDescent="0.25">
      <c r="A44" s="30" t="s">
        <v>1040</v>
      </c>
      <c r="B44" s="37"/>
      <c r="C44" s="37"/>
      <c r="D44" s="38"/>
      <c r="E44" s="38"/>
      <c r="F44" s="39"/>
      <c r="G44" s="39"/>
    </row>
    <row r="45" spans="1:8" ht="15" customHeight="1" x14ac:dyDescent="0.25">
      <c r="A45" s="30" t="s">
        <v>1028</v>
      </c>
      <c r="B45" s="37" t="s">
        <v>477</v>
      </c>
      <c r="C45" s="37"/>
      <c r="D45" s="38" t="s">
        <v>533</v>
      </c>
      <c r="E45" s="38"/>
      <c r="F45" s="39" t="s">
        <v>589</v>
      </c>
      <c r="G45" s="39"/>
    </row>
    <row r="46" spans="1:8" ht="15" customHeight="1" x14ac:dyDescent="0.25">
      <c r="A46" s="30" t="s">
        <v>1029</v>
      </c>
      <c r="B46" s="37" t="s">
        <v>478</v>
      </c>
      <c r="C46" s="37"/>
      <c r="D46" s="38" t="s">
        <v>534</v>
      </c>
      <c r="E46" s="38"/>
      <c r="F46" s="39" t="s">
        <v>590</v>
      </c>
      <c r="G46" s="39"/>
    </row>
    <row r="47" spans="1:8" ht="15" customHeight="1" x14ac:dyDescent="0.25">
      <c r="A47" s="30" t="s">
        <v>1030</v>
      </c>
      <c r="B47" s="37" t="s">
        <v>479</v>
      </c>
      <c r="C47" s="37"/>
      <c r="D47" s="38" t="s">
        <v>535</v>
      </c>
      <c r="E47" s="38"/>
      <c r="F47" s="39" t="s">
        <v>591</v>
      </c>
      <c r="G47" s="39"/>
    </row>
    <row r="48" spans="1:8" ht="15" customHeight="1" x14ac:dyDescent="0.25">
      <c r="A48" s="30" t="s">
        <v>1031</v>
      </c>
      <c r="B48" s="37" t="s">
        <v>480</v>
      </c>
      <c r="C48" s="37"/>
      <c r="D48" s="38" t="s">
        <v>536</v>
      </c>
      <c r="E48" s="38"/>
      <c r="F48" s="39" t="s">
        <v>592</v>
      </c>
      <c r="G48" s="39"/>
    </row>
    <row r="49" spans="1:8" ht="15" customHeight="1" x14ac:dyDescent="0.25">
      <c r="A49" s="30" t="s">
        <v>1032</v>
      </c>
      <c r="B49" s="37" t="s">
        <v>481</v>
      </c>
      <c r="C49" s="37"/>
      <c r="D49" s="38" t="s">
        <v>537</v>
      </c>
      <c r="E49" s="38"/>
      <c r="F49" s="39" t="s">
        <v>593</v>
      </c>
      <c r="G49" s="39"/>
    </row>
    <row r="50" spans="1:8" ht="15" customHeight="1" x14ac:dyDescent="0.25">
      <c r="A50" s="30" t="s">
        <v>1033</v>
      </c>
      <c r="B50" s="37" t="s">
        <v>482</v>
      </c>
      <c r="C50" s="37"/>
      <c r="D50" s="38" t="s">
        <v>538</v>
      </c>
      <c r="E50" s="38"/>
      <c r="F50" s="39" t="s">
        <v>594</v>
      </c>
      <c r="G50" s="39"/>
    </row>
    <row r="51" spans="1:8" ht="15" customHeight="1" x14ac:dyDescent="0.25">
      <c r="A51" s="30" t="s">
        <v>1035</v>
      </c>
      <c r="B51" s="37" t="s">
        <v>2533</v>
      </c>
      <c r="C51" s="37"/>
      <c r="D51" s="38" t="s">
        <v>2533</v>
      </c>
      <c r="E51" s="38"/>
      <c r="F51" s="39" t="s">
        <v>2533</v>
      </c>
      <c r="G51" s="39"/>
      <c r="H51" s="48" t="e">
        <f ca="1">AI_SUM(A45,A46)</f>
        <v>#NAME?</v>
      </c>
    </row>
    <row r="52" spans="1:8" ht="15" customHeight="1" x14ac:dyDescent="0.25">
      <c r="A52" s="30" t="s">
        <v>1036</v>
      </c>
      <c r="B52" s="37" t="s">
        <v>2534</v>
      </c>
      <c r="C52" s="37"/>
      <c r="D52" s="38" t="s">
        <v>2534</v>
      </c>
      <c r="E52" s="38"/>
      <c r="F52" s="39" t="s">
        <v>2534</v>
      </c>
      <c r="G52" s="39"/>
      <c r="H52" s="48" t="e">
        <f ca="1">AI_SUM(A47,A48,A49,A50)</f>
        <v>#NAME?</v>
      </c>
    </row>
    <row r="53" spans="1:8" ht="15" customHeight="1" x14ac:dyDescent="0.25">
      <c r="A53" s="30" t="s">
        <v>1034</v>
      </c>
      <c r="B53" s="37" t="s">
        <v>483</v>
      </c>
      <c r="C53" s="37"/>
      <c r="D53" s="38" t="s">
        <v>539</v>
      </c>
      <c r="E53" s="38"/>
      <c r="F53" s="39" t="s">
        <v>595</v>
      </c>
      <c r="G53" s="39"/>
    </row>
    <row r="54" spans="1:8" ht="15" customHeight="1" x14ac:dyDescent="0.25">
      <c r="A54" s="30" t="s">
        <v>1041</v>
      </c>
      <c r="B54" s="37"/>
      <c r="C54" s="37"/>
      <c r="D54" s="38"/>
      <c r="E54" s="38"/>
      <c r="F54" s="39"/>
      <c r="G54" s="39"/>
    </row>
    <row r="55" spans="1:8" ht="15" customHeight="1" x14ac:dyDescent="0.25">
      <c r="A55" s="30" t="s">
        <v>1028</v>
      </c>
      <c r="B55" s="37" t="s">
        <v>484</v>
      </c>
      <c r="C55" s="37"/>
      <c r="D55" s="38" t="s">
        <v>540</v>
      </c>
      <c r="E55" s="38"/>
      <c r="F55" s="39" t="s">
        <v>596</v>
      </c>
      <c r="G55" s="39"/>
    </row>
    <row r="56" spans="1:8" ht="15" customHeight="1" x14ac:dyDescent="0.25">
      <c r="A56" s="30" t="s">
        <v>1029</v>
      </c>
      <c r="B56" s="37" t="s">
        <v>485</v>
      </c>
      <c r="C56" s="37"/>
      <c r="D56" s="38" t="s">
        <v>541</v>
      </c>
      <c r="E56" s="38"/>
      <c r="F56" s="39" t="s">
        <v>597</v>
      </c>
      <c r="G56" s="39"/>
    </row>
    <row r="57" spans="1:8" ht="15" customHeight="1" x14ac:dyDescent="0.25">
      <c r="A57" s="30" t="s">
        <v>1030</v>
      </c>
      <c r="B57" s="37" t="s">
        <v>486</v>
      </c>
      <c r="C57" s="37"/>
      <c r="D57" s="38" t="s">
        <v>542</v>
      </c>
      <c r="E57" s="38"/>
      <c r="F57" s="39" t="s">
        <v>598</v>
      </c>
      <c r="G57" s="39"/>
    </row>
    <row r="58" spans="1:8" ht="15" customHeight="1" x14ac:dyDescent="0.25">
      <c r="A58" s="30" t="s">
        <v>1031</v>
      </c>
      <c r="B58" s="37" t="s">
        <v>487</v>
      </c>
      <c r="C58" s="37"/>
      <c r="D58" s="38" t="s">
        <v>543</v>
      </c>
      <c r="E58" s="38"/>
      <c r="F58" s="39" t="s">
        <v>599</v>
      </c>
      <c r="G58" s="39"/>
    </row>
    <row r="59" spans="1:8" ht="15" customHeight="1" x14ac:dyDescent="0.25">
      <c r="A59" s="30" t="s">
        <v>1032</v>
      </c>
      <c r="B59" s="37" t="s">
        <v>488</v>
      </c>
      <c r="C59" s="37"/>
      <c r="D59" s="38" t="s">
        <v>544</v>
      </c>
      <c r="E59" s="38"/>
      <c r="F59" s="39" t="s">
        <v>600</v>
      </c>
      <c r="G59" s="39"/>
    </row>
    <row r="60" spans="1:8" ht="15" customHeight="1" x14ac:dyDescent="0.25">
      <c r="A60" s="30" t="s">
        <v>1033</v>
      </c>
      <c r="B60" s="37" t="s">
        <v>489</v>
      </c>
      <c r="C60" s="37"/>
      <c r="D60" s="38" t="s">
        <v>545</v>
      </c>
      <c r="E60" s="38"/>
      <c r="F60" s="39" t="s">
        <v>601</v>
      </c>
      <c r="G60" s="39"/>
    </row>
    <row r="61" spans="1:8" ht="15" customHeight="1" x14ac:dyDescent="0.25">
      <c r="A61" s="30" t="s">
        <v>1035</v>
      </c>
      <c r="B61" s="37" t="s">
        <v>2535</v>
      </c>
      <c r="C61" s="37"/>
      <c r="D61" s="38" t="s">
        <v>2535</v>
      </c>
      <c r="E61" s="38"/>
      <c r="F61" s="39" t="s">
        <v>2535</v>
      </c>
      <c r="G61" s="39"/>
      <c r="H61" s="48" t="e">
        <f ca="1">AI_SUM(A55,A56)</f>
        <v>#NAME?</v>
      </c>
    </row>
    <row r="62" spans="1:8" ht="15" customHeight="1" x14ac:dyDescent="0.25">
      <c r="A62" s="30" t="s">
        <v>1036</v>
      </c>
      <c r="B62" s="37" t="s">
        <v>2536</v>
      </c>
      <c r="C62" s="37"/>
      <c r="D62" s="38" t="s">
        <v>2536</v>
      </c>
      <c r="E62" s="38"/>
      <c r="F62" s="39" t="s">
        <v>2536</v>
      </c>
      <c r="G62" s="39"/>
      <c r="H62" s="48" t="e">
        <f ca="1">AI_SUM(A57,A58,A59,A60)</f>
        <v>#NAME?</v>
      </c>
    </row>
    <row r="63" spans="1:8" ht="15" customHeight="1" x14ac:dyDescent="0.25">
      <c r="A63" s="30" t="s">
        <v>1034</v>
      </c>
      <c r="B63" s="37" t="s">
        <v>490</v>
      </c>
      <c r="C63" s="37"/>
      <c r="D63" s="38" t="s">
        <v>546</v>
      </c>
      <c r="E63" s="38"/>
      <c r="F63" s="39" t="s">
        <v>602</v>
      </c>
      <c r="G63" s="39"/>
    </row>
    <row r="64" spans="1:8" ht="15" customHeight="1" x14ac:dyDescent="0.25">
      <c r="A64" s="30" t="s">
        <v>1042</v>
      </c>
      <c r="B64" s="37"/>
      <c r="C64" s="37"/>
      <c r="D64" s="38"/>
      <c r="E64" s="38"/>
      <c r="F64" s="39"/>
      <c r="G64" s="39"/>
    </row>
    <row r="65" spans="1:8" ht="15" customHeight="1" x14ac:dyDescent="0.25">
      <c r="A65" s="30" t="s">
        <v>1028</v>
      </c>
      <c r="B65" s="37" t="s">
        <v>491</v>
      </c>
      <c r="C65" s="37"/>
      <c r="D65" s="38" t="s">
        <v>547</v>
      </c>
      <c r="E65" s="38"/>
      <c r="F65" s="39" t="s">
        <v>603</v>
      </c>
      <c r="G65" s="39"/>
    </row>
    <row r="66" spans="1:8" ht="15" customHeight="1" x14ac:dyDescent="0.25">
      <c r="A66" s="30" t="s">
        <v>1029</v>
      </c>
      <c r="B66" s="37" t="s">
        <v>492</v>
      </c>
      <c r="C66" s="37"/>
      <c r="D66" s="38" t="s">
        <v>548</v>
      </c>
      <c r="E66" s="38"/>
      <c r="F66" s="39" t="s">
        <v>604</v>
      </c>
      <c r="G66" s="39"/>
    </row>
    <row r="67" spans="1:8" ht="15" customHeight="1" x14ac:dyDescent="0.25">
      <c r="A67" s="30" t="s">
        <v>1030</v>
      </c>
      <c r="B67" s="37" t="s">
        <v>493</v>
      </c>
      <c r="C67" s="37"/>
      <c r="D67" s="38" t="s">
        <v>549</v>
      </c>
      <c r="E67" s="38"/>
      <c r="F67" s="39" t="s">
        <v>605</v>
      </c>
      <c r="G67" s="39"/>
    </row>
    <row r="68" spans="1:8" ht="15" customHeight="1" x14ac:dyDescent="0.25">
      <c r="A68" s="30" t="s">
        <v>1031</v>
      </c>
      <c r="B68" s="37" t="s">
        <v>494</v>
      </c>
      <c r="C68" s="37"/>
      <c r="D68" s="38" t="s">
        <v>550</v>
      </c>
      <c r="E68" s="38"/>
      <c r="F68" s="39" t="s">
        <v>606</v>
      </c>
      <c r="G68" s="39"/>
    </row>
    <row r="69" spans="1:8" ht="15" customHeight="1" x14ac:dyDescent="0.25">
      <c r="A69" s="30" t="s">
        <v>1032</v>
      </c>
      <c r="B69" s="37" t="s">
        <v>495</v>
      </c>
      <c r="C69" s="37"/>
      <c r="D69" s="38" t="s">
        <v>551</v>
      </c>
      <c r="E69" s="38"/>
      <c r="F69" s="39" t="s">
        <v>607</v>
      </c>
      <c r="G69" s="39"/>
    </row>
    <row r="70" spans="1:8" ht="15" customHeight="1" x14ac:dyDescent="0.25">
      <c r="A70" s="30" t="s">
        <v>1033</v>
      </c>
      <c r="B70" s="37" t="s">
        <v>496</v>
      </c>
      <c r="C70" s="37"/>
      <c r="D70" s="38" t="s">
        <v>552</v>
      </c>
      <c r="E70" s="38"/>
      <c r="F70" s="39" t="s">
        <v>608</v>
      </c>
      <c r="G70" s="39"/>
    </row>
    <row r="71" spans="1:8" ht="15" customHeight="1" x14ac:dyDescent="0.25">
      <c r="A71" s="30" t="s">
        <v>1035</v>
      </c>
      <c r="B71" s="37" t="s">
        <v>2537</v>
      </c>
      <c r="C71" s="37"/>
      <c r="D71" s="38" t="s">
        <v>2537</v>
      </c>
      <c r="E71" s="38"/>
      <c r="F71" s="39" t="s">
        <v>2537</v>
      </c>
      <c r="G71" s="39"/>
      <c r="H71" s="48" t="e">
        <f ca="1">AI_SUM(A65,A66)</f>
        <v>#NAME?</v>
      </c>
    </row>
    <row r="72" spans="1:8" ht="15" customHeight="1" x14ac:dyDescent="0.25">
      <c r="A72" s="30" t="s">
        <v>1036</v>
      </c>
      <c r="B72" s="37" t="s">
        <v>2538</v>
      </c>
      <c r="C72" s="37"/>
      <c r="D72" s="38" t="s">
        <v>2538</v>
      </c>
      <c r="E72" s="38"/>
      <c r="F72" s="39" t="s">
        <v>2538</v>
      </c>
      <c r="G72" s="39"/>
      <c r="H72" s="48" t="e">
        <f ca="1">AI_SUM(A67,A68,A69,A70)</f>
        <v>#NAME?</v>
      </c>
    </row>
    <row r="73" spans="1:8" ht="15" customHeight="1" x14ac:dyDescent="0.25">
      <c r="A73" s="30" t="s">
        <v>1034</v>
      </c>
      <c r="B73" s="37" t="s">
        <v>497</v>
      </c>
      <c r="C73" s="37"/>
      <c r="D73" s="38" t="s">
        <v>553</v>
      </c>
      <c r="E73" s="38"/>
      <c r="F73" s="39" t="s">
        <v>609</v>
      </c>
      <c r="G73" s="39"/>
    </row>
    <row r="74" spans="1:8" ht="15" customHeight="1" x14ac:dyDescent="0.25">
      <c r="A74" s="30" t="s">
        <v>1043</v>
      </c>
      <c r="B74" s="37"/>
      <c r="C74" s="37"/>
      <c r="D74" s="38"/>
      <c r="E74" s="38"/>
      <c r="F74" s="39"/>
      <c r="G74" s="39"/>
    </row>
    <row r="75" spans="1:8" ht="15" customHeight="1" x14ac:dyDescent="0.25">
      <c r="A75" s="30" t="s">
        <v>1028</v>
      </c>
      <c r="B75" s="37" t="s">
        <v>498</v>
      </c>
      <c r="C75" s="37"/>
      <c r="D75" s="38" t="s">
        <v>554</v>
      </c>
      <c r="E75" s="38"/>
      <c r="F75" s="39" t="s">
        <v>610</v>
      </c>
      <c r="G75" s="39"/>
    </row>
    <row r="76" spans="1:8" ht="15" customHeight="1" x14ac:dyDescent="0.25">
      <c r="A76" s="30" t="s">
        <v>1029</v>
      </c>
      <c r="B76" s="37" t="s">
        <v>499</v>
      </c>
      <c r="C76" s="37"/>
      <c r="D76" s="38" t="s">
        <v>555</v>
      </c>
      <c r="E76" s="38"/>
      <c r="F76" s="39" t="s">
        <v>611</v>
      </c>
      <c r="G76" s="39"/>
    </row>
    <row r="77" spans="1:8" ht="15" customHeight="1" x14ac:dyDescent="0.25">
      <c r="A77" s="30" t="s">
        <v>1030</v>
      </c>
      <c r="B77" s="37" t="s">
        <v>500</v>
      </c>
      <c r="C77" s="37"/>
      <c r="D77" s="38" t="s">
        <v>556</v>
      </c>
      <c r="E77" s="38"/>
      <c r="F77" s="39" t="s">
        <v>612</v>
      </c>
      <c r="G77" s="39"/>
    </row>
    <row r="78" spans="1:8" ht="15" customHeight="1" x14ac:dyDescent="0.25">
      <c r="A78" s="30" t="s">
        <v>1031</v>
      </c>
      <c r="B78" s="37" t="s">
        <v>501</v>
      </c>
      <c r="C78" s="37"/>
      <c r="D78" s="38" t="s">
        <v>557</v>
      </c>
      <c r="E78" s="38"/>
      <c r="F78" s="39" t="s">
        <v>613</v>
      </c>
      <c r="G78" s="39"/>
    </row>
    <row r="79" spans="1:8" ht="15" customHeight="1" x14ac:dyDescent="0.25">
      <c r="A79" s="30" t="s">
        <v>1032</v>
      </c>
      <c r="B79" s="37" t="s">
        <v>502</v>
      </c>
      <c r="C79" s="37"/>
      <c r="D79" s="38" t="s">
        <v>558</v>
      </c>
      <c r="E79" s="38"/>
      <c r="F79" s="39" t="s">
        <v>614</v>
      </c>
      <c r="G79" s="39"/>
    </row>
    <row r="80" spans="1:8" ht="15" customHeight="1" x14ac:dyDescent="0.25">
      <c r="A80" s="30" t="s">
        <v>1033</v>
      </c>
      <c r="B80" s="37" t="s">
        <v>503</v>
      </c>
      <c r="C80" s="37"/>
      <c r="D80" s="38" t="s">
        <v>559</v>
      </c>
      <c r="E80" s="38"/>
      <c r="F80" s="39" t="s">
        <v>615</v>
      </c>
      <c r="G80" s="39"/>
    </row>
    <row r="81" spans="1:8" ht="15" customHeight="1" x14ac:dyDescent="0.25">
      <c r="A81" s="30" t="s">
        <v>1035</v>
      </c>
      <c r="B81" s="37" t="s">
        <v>2539</v>
      </c>
      <c r="C81" s="37"/>
      <c r="D81" s="38" t="s">
        <v>2539</v>
      </c>
      <c r="E81" s="38"/>
      <c r="F81" s="39" t="s">
        <v>2539</v>
      </c>
      <c r="G81" s="39"/>
      <c r="H81" s="48" t="e">
        <f ca="1">AI_SUM(A75,A76)</f>
        <v>#NAME?</v>
      </c>
    </row>
    <row r="82" spans="1:8" ht="15" customHeight="1" x14ac:dyDescent="0.25">
      <c r="A82" s="30" t="s">
        <v>1036</v>
      </c>
      <c r="B82" s="37" t="s">
        <v>2540</v>
      </c>
      <c r="C82" s="37"/>
      <c r="D82" s="38" t="s">
        <v>2540</v>
      </c>
      <c r="E82" s="38"/>
      <c r="F82" s="39" t="s">
        <v>2540</v>
      </c>
      <c r="G82" s="39"/>
      <c r="H82" s="48" t="e">
        <f ca="1">AI_SUM(A77,A78,A79,A80)</f>
        <v>#NAME?</v>
      </c>
    </row>
    <row r="83" spans="1:8" ht="15" customHeight="1" x14ac:dyDescent="0.25">
      <c r="A83" s="30" t="s">
        <v>1034</v>
      </c>
      <c r="B83" s="37" t="s">
        <v>504</v>
      </c>
      <c r="C83" s="37"/>
      <c r="D83" s="38" t="s">
        <v>560</v>
      </c>
      <c r="E83" s="38"/>
      <c r="F83" s="39" t="s">
        <v>616</v>
      </c>
      <c r="G83" s="39"/>
    </row>
    <row r="84" spans="1:8" ht="15" customHeight="1" x14ac:dyDescent="0.25">
      <c r="A84" s="48" t="s">
        <v>2754</v>
      </c>
      <c r="B84" s="51" t="s">
        <v>2464</v>
      </c>
      <c r="C84" s="51"/>
      <c r="D84" s="52" t="s">
        <v>2464</v>
      </c>
      <c r="E84" s="52"/>
      <c r="F84" s="53" t="s">
        <v>2464</v>
      </c>
      <c r="G84" s="53"/>
      <c r="H84" s="48" t="e">
        <f ca="1">AI_SUM(A11,A21,A31,A41,A51,A61,A71,A81)</f>
        <v>#NAME?</v>
      </c>
    </row>
    <row r="85" spans="1:8" ht="15" customHeight="1" x14ac:dyDescent="0.25">
      <c r="A85" s="48" t="s">
        <v>2755</v>
      </c>
      <c r="B85" s="51" t="s">
        <v>2465</v>
      </c>
      <c r="C85" s="51"/>
      <c r="D85" s="52" t="s">
        <v>2465</v>
      </c>
      <c r="E85" s="52"/>
      <c r="F85" s="53" t="s">
        <v>2465</v>
      </c>
      <c r="G85" s="53"/>
      <c r="H85" s="48" t="e">
        <f ca="1">AI_SUM(A12,A22,A32,A42,A52,A62,A72,A82)</f>
        <v>#NAME?</v>
      </c>
    </row>
    <row r="86" spans="1:8" ht="15" customHeight="1" x14ac:dyDescent="0.25">
      <c r="A86" s="48" t="s">
        <v>2756</v>
      </c>
      <c r="B86" s="51" t="s">
        <v>2831</v>
      </c>
      <c r="C86" s="51"/>
      <c r="D86" s="52" t="s">
        <v>2831</v>
      </c>
      <c r="E86" s="52"/>
      <c r="F86" s="53" t="s">
        <v>2831</v>
      </c>
      <c r="G86" s="53"/>
      <c r="H86" s="48" t="e">
        <f ca="1">AI_SUM(A84,A85)</f>
        <v>#NAME?</v>
      </c>
    </row>
    <row r="87" spans="1:8" ht="15" customHeight="1" x14ac:dyDescent="0.25">
      <c r="A87" s="48" t="s">
        <v>2746</v>
      </c>
    </row>
    <row r="88" spans="1:8" ht="15" customHeight="1" x14ac:dyDescent="0.25">
      <c r="A88" s="30" t="s">
        <v>1028</v>
      </c>
      <c r="B88" s="51" t="s">
        <v>2747</v>
      </c>
      <c r="D88" s="70" t="s">
        <v>3144</v>
      </c>
      <c r="F88" s="49" t="s">
        <v>3151</v>
      </c>
    </row>
    <row r="89" spans="1:8" ht="15" customHeight="1" x14ac:dyDescent="0.25">
      <c r="A89" s="30" t="s">
        <v>1029</v>
      </c>
      <c r="B89" s="51" t="s">
        <v>2748</v>
      </c>
      <c r="D89" s="70" t="s">
        <v>3145</v>
      </c>
      <c r="F89" s="49" t="s">
        <v>3152</v>
      </c>
    </row>
    <row r="90" spans="1:8" ht="15" customHeight="1" x14ac:dyDescent="0.25">
      <c r="A90" s="30" t="s">
        <v>1030</v>
      </c>
      <c r="B90" s="51" t="s">
        <v>2749</v>
      </c>
      <c r="D90" s="70" t="s">
        <v>3146</v>
      </c>
      <c r="F90" s="49" t="s">
        <v>3153</v>
      </c>
    </row>
    <row r="91" spans="1:8" ht="15" customHeight="1" x14ac:dyDescent="0.25">
      <c r="A91" s="30" t="s">
        <v>1031</v>
      </c>
      <c r="B91" s="51" t="s">
        <v>2750</v>
      </c>
      <c r="D91" s="70" t="s">
        <v>3147</v>
      </c>
      <c r="F91" s="49" t="s">
        <v>3154</v>
      </c>
    </row>
    <row r="92" spans="1:8" ht="15" customHeight="1" x14ac:dyDescent="0.25">
      <c r="A92" s="30" t="s">
        <v>1032</v>
      </c>
      <c r="B92" s="51" t="s">
        <v>2751</v>
      </c>
      <c r="D92" s="70" t="s">
        <v>3148</v>
      </c>
      <c r="F92" s="49" t="s">
        <v>3155</v>
      </c>
    </row>
    <row r="93" spans="1:8" ht="15" customHeight="1" x14ac:dyDescent="0.25">
      <c r="A93" s="30" t="s">
        <v>1033</v>
      </c>
      <c r="B93" s="51" t="s">
        <v>2752</v>
      </c>
      <c r="D93" s="70" t="s">
        <v>3149</v>
      </c>
      <c r="F93" s="49" t="s">
        <v>3156</v>
      </c>
    </row>
    <row r="94" spans="1:8" ht="15" customHeight="1" x14ac:dyDescent="0.25">
      <c r="A94" s="30" t="s">
        <v>1035</v>
      </c>
      <c r="B94" s="51" t="s">
        <v>2757</v>
      </c>
      <c r="D94" s="70" t="s">
        <v>2757</v>
      </c>
      <c r="F94" s="49" t="s">
        <v>2757</v>
      </c>
      <c r="H94" s="48" t="e">
        <f ca="1">AI_SUM(A88,A89)</f>
        <v>#NAME?</v>
      </c>
    </row>
    <row r="95" spans="1:8" ht="15" customHeight="1" x14ac:dyDescent="0.25">
      <c r="A95" s="30" t="s">
        <v>1036</v>
      </c>
      <c r="B95" s="51" t="s">
        <v>2758</v>
      </c>
      <c r="D95" s="70" t="s">
        <v>2758</v>
      </c>
      <c r="F95" s="49" t="s">
        <v>2758</v>
      </c>
      <c r="H95" s="48" t="e">
        <f ca="1">AI_SUM(A90,A91,A92,A93)</f>
        <v>#NAME?</v>
      </c>
    </row>
    <row r="96" spans="1:8" ht="15" customHeight="1" x14ac:dyDescent="0.25">
      <c r="A96" s="30" t="s">
        <v>1034</v>
      </c>
      <c r="B96" s="51" t="s">
        <v>2753</v>
      </c>
      <c r="D96" s="70" t="s">
        <v>3150</v>
      </c>
      <c r="F96" s="49" t="s">
        <v>3157</v>
      </c>
    </row>
    <row r="97" spans="1:8" ht="15" customHeight="1" x14ac:dyDescent="0.25">
      <c r="A97" s="48" t="s">
        <v>2832</v>
      </c>
    </row>
    <row r="98" spans="1:8" ht="15" customHeight="1" x14ac:dyDescent="0.25">
      <c r="A98" s="30" t="s">
        <v>1028</v>
      </c>
      <c r="B98" s="51" t="s">
        <v>3120</v>
      </c>
      <c r="D98" s="70" t="s">
        <v>3137</v>
      </c>
      <c r="F98" s="49" t="s">
        <v>3158</v>
      </c>
    </row>
    <row r="99" spans="1:8" ht="15" customHeight="1" x14ac:dyDescent="0.25">
      <c r="A99" s="30" t="s">
        <v>1029</v>
      </c>
      <c r="B99" s="51" t="s">
        <v>3121</v>
      </c>
      <c r="D99" s="70" t="s">
        <v>3138</v>
      </c>
      <c r="F99" s="49" t="s">
        <v>3159</v>
      </c>
    </row>
    <row r="100" spans="1:8" ht="15" customHeight="1" x14ac:dyDescent="0.25">
      <c r="A100" s="30" t="s">
        <v>1030</v>
      </c>
      <c r="B100" s="51" t="s">
        <v>3122</v>
      </c>
      <c r="D100" s="70" t="s">
        <v>3139</v>
      </c>
      <c r="F100" s="49" t="s">
        <v>3160</v>
      </c>
    </row>
    <row r="101" spans="1:8" ht="15" customHeight="1" x14ac:dyDescent="0.25">
      <c r="A101" s="30" t="s">
        <v>1031</v>
      </c>
      <c r="B101" s="51" t="s">
        <v>3123</v>
      </c>
      <c r="D101" s="70" t="s">
        <v>3140</v>
      </c>
      <c r="F101" s="49" t="s">
        <v>3161</v>
      </c>
    </row>
    <row r="102" spans="1:8" ht="15" customHeight="1" x14ac:dyDescent="0.25">
      <c r="A102" s="30" t="s">
        <v>1032</v>
      </c>
      <c r="B102" s="51" t="s">
        <v>3124</v>
      </c>
      <c r="D102" s="70" t="s">
        <v>3141</v>
      </c>
      <c r="F102" s="49" t="s">
        <v>3162</v>
      </c>
    </row>
    <row r="103" spans="1:8" ht="15" customHeight="1" x14ac:dyDescent="0.25">
      <c r="A103" s="30" t="s">
        <v>1033</v>
      </c>
      <c r="B103" s="51" t="s">
        <v>3125</v>
      </c>
      <c r="D103" s="70" t="s">
        <v>3142</v>
      </c>
      <c r="F103" s="49" t="s">
        <v>3163</v>
      </c>
    </row>
    <row r="104" spans="1:8" ht="15" customHeight="1" x14ac:dyDescent="0.25">
      <c r="A104" s="30" t="s">
        <v>1035</v>
      </c>
      <c r="B104" s="51" t="s">
        <v>2833</v>
      </c>
      <c r="D104" s="70" t="s">
        <v>2833</v>
      </c>
      <c r="F104" s="49" t="s">
        <v>2833</v>
      </c>
      <c r="H104" s="48" t="e">
        <f ca="1">AI_SUM(A98,A99)</f>
        <v>#NAME?</v>
      </c>
    </row>
    <row r="105" spans="1:8" ht="15" customHeight="1" x14ac:dyDescent="0.25">
      <c r="A105" s="30" t="s">
        <v>1036</v>
      </c>
      <c r="B105" s="51" t="s">
        <v>2834</v>
      </c>
      <c r="D105" s="70" t="s">
        <v>2834</v>
      </c>
      <c r="F105" s="49" t="s">
        <v>2834</v>
      </c>
      <c r="H105" s="48" t="e">
        <f ca="1">AI_SUM(A100,A101,A102,A103)</f>
        <v>#NAME?</v>
      </c>
    </row>
    <row r="106" spans="1:8" ht="15" customHeight="1" x14ac:dyDescent="0.25">
      <c r="A106" s="30" t="s">
        <v>1034</v>
      </c>
      <c r="B106" s="51" t="s">
        <v>3126</v>
      </c>
      <c r="D106" s="70" t="s">
        <v>3143</v>
      </c>
      <c r="F106" s="49" t="s">
        <v>3164</v>
      </c>
    </row>
  </sheetData>
  <autoFilter ref="A2:S2" xr:uid="{00000000-0009-0000-0000-00000900000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Y60"/>
  <sheetViews>
    <sheetView topLeftCell="A31" zoomScale="80" zoomScaleNormal="80" workbookViewId="0">
      <pane xSplit="1" topLeftCell="B1" activePane="topRight" state="frozen"/>
      <selection activeCell="A16" sqref="A16"/>
      <selection pane="topRight" activeCell="H24" sqref="H24"/>
    </sheetView>
  </sheetViews>
  <sheetFormatPr defaultRowHeight="15" customHeight="1" x14ac:dyDescent="0.25"/>
  <cols>
    <col min="1" max="1" width="50.7109375" style="20" customWidth="1"/>
    <col min="2" max="2" width="10.7109375" style="97" customWidth="1"/>
    <col min="3" max="3" width="10.7109375" style="98" customWidth="1"/>
    <col min="4" max="4" width="10.7109375" style="70" customWidth="1"/>
    <col min="5" max="5" width="10.7109375" style="99" customWidth="1"/>
    <col min="6" max="6" width="10.7109375" style="49" customWidth="1"/>
    <col min="7" max="7" width="10.7109375" style="100" customWidth="1"/>
    <col min="8" max="9" width="10.7109375" style="101" customWidth="1"/>
    <col min="10" max="10" width="10.7109375" style="96" customWidth="1"/>
    <col min="11" max="12" width="10.7109375" style="101" customWidth="1"/>
    <col min="13" max="13" width="10.7109375" style="98" customWidth="1"/>
    <col min="14" max="14" width="10.7109375" style="99" customWidth="1"/>
    <col min="15" max="15" width="10.7109375" style="100" customWidth="1"/>
    <col min="16" max="16" width="10.42578125" style="162" customWidth="1"/>
    <col min="17" max="17" width="25.140625" style="101" customWidth="1"/>
    <col min="18" max="19" width="10.7109375" style="101" customWidth="1"/>
    <col min="20" max="16384" width="9.140625" style="101"/>
  </cols>
  <sheetData>
    <row r="1" spans="1:25" ht="15" customHeight="1" x14ac:dyDescent="0.25">
      <c r="A1" s="96"/>
    </row>
    <row r="2" spans="1:25" ht="15" customHeight="1" x14ac:dyDescent="0.25">
      <c r="A2" s="96" t="s">
        <v>1773</v>
      </c>
      <c r="B2" s="97" t="s">
        <v>1622</v>
      </c>
      <c r="C2" s="98" t="s">
        <v>1623</v>
      </c>
      <c r="H2" s="101" t="s">
        <v>1887</v>
      </c>
      <c r="J2" s="96" t="s">
        <v>1884</v>
      </c>
      <c r="K2" s="101" t="s">
        <v>1885</v>
      </c>
      <c r="L2" s="101" t="s">
        <v>1886</v>
      </c>
      <c r="P2" s="163" t="s">
        <v>1904</v>
      </c>
    </row>
    <row r="3" spans="1:25" ht="15" customHeight="1" x14ac:dyDescent="0.25">
      <c r="A3" s="46" t="s">
        <v>2457</v>
      </c>
      <c r="B3" s="200"/>
      <c r="J3" s="198" t="s">
        <v>1882</v>
      </c>
      <c r="K3" s="101" t="s">
        <v>1883</v>
      </c>
      <c r="R3" s="101" t="s">
        <v>2593</v>
      </c>
      <c r="S3" s="101" t="s">
        <v>2594</v>
      </c>
      <c r="T3" s="101" t="s">
        <v>2699</v>
      </c>
      <c r="U3" s="101" t="s">
        <v>2593</v>
      </c>
      <c r="V3" s="101" t="s">
        <v>2594</v>
      </c>
      <c r="W3" s="101" t="s">
        <v>2699</v>
      </c>
      <c r="X3" s="101" t="s">
        <v>3010</v>
      </c>
      <c r="Y3" s="101" t="s">
        <v>3011</v>
      </c>
    </row>
    <row r="4" spans="1:25" ht="15" customHeight="1" x14ac:dyDescent="0.25">
      <c r="A4" s="46" t="s">
        <v>1723</v>
      </c>
      <c r="B4" s="200" t="s">
        <v>2647</v>
      </c>
      <c r="D4" s="70" t="s">
        <v>2914</v>
      </c>
      <c r="F4" s="49" t="s">
        <v>2216</v>
      </c>
      <c r="J4" s="198">
        <v>199999</v>
      </c>
      <c r="R4" s="200" t="s">
        <v>1804</v>
      </c>
      <c r="S4" s="200" t="s">
        <v>2541</v>
      </c>
      <c r="T4" s="67" t="s">
        <v>2647</v>
      </c>
      <c r="U4" s="99" t="s">
        <v>2174</v>
      </c>
      <c r="V4" s="99" t="s">
        <v>2595</v>
      </c>
      <c r="W4" s="99" t="s">
        <v>2914</v>
      </c>
      <c r="X4" s="49" t="s">
        <v>2216</v>
      </c>
      <c r="Y4" s="100" t="s">
        <v>2970</v>
      </c>
    </row>
    <row r="5" spans="1:25" ht="15" customHeight="1" x14ac:dyDescent="0.25">
      <c r="A5" s="46" t="s">
        <v>1724</v>
      </c>
      <c r="B5" s="200" t="s">
        <v>2648</v>
      </c>
      <c r="D5" s="70" t="s">
        <v>2915</v>
      </c>
      <c r="F5" s="49" t="s">
        <v>2217</v>
      </c>
      <c r="J5" s="198">
        <v>299999</v>
      </c>
      <c r="R5" s="200" t="s">
        <v>1805</v>
      </c>
      <c r="S5" s="200" t="s">
        <v>2542</v>
      </c>
      <c r="T5" s="67" t="s">
        <v>2648</v>
      </c>
      <c r="U5" s="99" t="s">
        <v>2175</v>
      </c>
      <c r="V5" s="99" t="s">
        <v>2596</v>
      </c>
      <c r="W5" s="99" t="s">
        <v>2915</v>
      </c>
      <c r="X5" s="49" t="s">
        <v>2217</v>
      </c>
      <c r="Y5" s="100" t="s">
        <v>2971</v>
      </c>
    </row>
    <row r="6" spans="1:25" ht="15" customHeight="1" x14ac:dyDescent="0.25">
      <c r="A6" s="46" t="s">
        <v>1725</v>
      </c>
      <c r="B6" s="200" t="s">
        <v>2649</v>
      </c>
      <c r="D6" s="70" t="s">
        <v>2916</v>
      </c>
      <c r="F6" s="49" t="s">
        <v>2218</v>
      </c>
      <c r="J6" s="198">
        <v>399999</v>
      </c>
      <c r="R6" s="200" t="s">
        <v>1806</v>
      </c>
      <c r="S6" s="200" t="s">
        <v>2543</v>
      </c>
      <c r="T6" s="67" t="s">
        <v>2649</v>
      </c>
      <c r="U6" s="99" t="s">
        <v>2176</v>
      </c>
      <c r="V6" s="99" t="s">
        <v>2597</v>
      </c>
      <c r="W6" s="99" t="s">
        <v>2916</v>
      </c>
      <c r="X6" s="49" t="s">
        <v>2218</v>
      </c>
      <c r="Y6" s="100" t="s">
        <v>2972</v>
      </c>
    </row>
    <row r="7" spans="1:25" ht="15" customHeight="1" x14ac:dyDescent="0.25">
      <c r="A7" s="46" t="s">
        <v>1726</v>
      </c>
      <c r="B7" s="200" t="s">
        <v>2650</v>
      </c>
      <c r="D7" s="70" t="s">
        <v>2917</v>
      </c>
      <c r="F7" s="49" t="s">
        <v>2219</v>
      </c>
      <c r="J7" s="198">
        <v>499999</v>
      </c>
      <c r="R7" s="200" t="s">
        <v>1807</v>
      </c>
      <c r="S7" s="200" t="s">
        <v>2544</v>
      </c>
      <c r="T7" s="67" t="s">
        <v>2650</v>
      </c>
      <c r="U7" s="99" t="s">
        <v>2177</v>
      </c>
      <c r="V7" s="99" t="s">
        <v>2598</v>
      </c>
      <c r="W7" s="99" t="s">
        <v>2917</v>
      </c>
      <c r="X7" s="49" t="s">
        <v>2219</v>
      </c>
      <c r="Y7" s="100" t="s">
        <v>2973</v>
      </c>
    </row>
    <row r="8" spans="1:25" ht="15" customHeight="1" x14ac:dyDescent="0.25">
      <c r="A8" s="46" t="s">
        <v>1727</v>
      </c>
      <c r="B8" s="200" t="s">
        <v>2651</v>
      </c>
      <c r="D8" s="70" t="s">
        <v>2918</v>
      </c>
      <c r="F8" s="49" t="s">
        <v>2220</v>
      </c>
      <c r="J8" s="198">
        <v>599999</v>
      </c>
      <c r="R8" s="200" t="s">
        <v>1808</v>
      </c>
      <c r="S8" s="200" t="s">
        <v>2545</v>
      </c>
      <c r="T8" s="67" t="s">
        <v>2651</v>
      </c>
      <c r="U8" s="99" t="s">
        <v>2178</v>
      </c>
      <c r="V8" s="99" t="s">
        <v>2599</v>
      </c>
      <c r="W8" s="99" t="s">
        <v>2918</v>
      </c>
      <c r="X8" s="49" t="s">
        <v>2220</v>
      </c>
      <c r="Y8" s="100" t="s">
        <v>2974</v>
      </c>
    </row>
    <row r="9" spans="1:25" ht="15" customHeight="1" x14ac:dyDescent="0.25">
      <c r="A9" s="46" t="s">
        <v>1728</v>
      </c>
      <c r="B9" s="200" t="s">
        <v>2652</v>
      </c>
      <c r="D9" s="70" t="s">
        <v>2919</v>
      </c>
      <c r="F9" s="49" t="s">
        <v>2221</v>
      </c>
      <c r="J9" s="198">
        <v>699999</v>
      </c>
      <c r="R9" s="200" t="s">
        <v>1809</v>
      </c>
      <c r="S9" s="200" t="s">
        <v>2546</v>
      </c>
      <c r="T9" s="67" t="s">
        <v>2652</v>
      </c>
      <c r="U9" s="99" t="s">
        <v>2179</v>
      </c>
      <c r="V9" s="99" t="s">
        <v>2600</v>
      </c>
      <c r="W9" s="99" t="s">
        <v>2919</v>
      </c>
      <c r="X9" s="49" t="s">
        <v>2221</v>
      </c>
      <c r="Y9" s="100" t="s">
        <v>2975</v>
      </c>
    </row>
    <row r="10" spans="1:25" ht="15" customHeight="1" x14ac:dyDescent="0.25">
      <c r="A10" s="46" t="s">
        <v>1729</v>
      </c>
      <c r="B10" s="200" t="s">
        <v>2653</v>
      </c>
      <c r="D10" s="70" t="s">
        <v>2920</v>
      </c>
      <c r="F10" s="49" t="s">
        <v>2222</v>
      </c>
      <c r="J10" s="198">
        <v>799999</v>
      </c>
      <c r="R10" s="200" t="s">
        <v>1810</v>
      </c>
      <c r="S10" s="200" t="s">
        <v>2547</v>
      </c>
      <c r="T10" s="67" t="s">
        <v>2653</v>
      </c>
      <c r="U10" s="99" t="s">
        <v>2180</v>
      </c>
      <c r="V10" s="99" t="s">
        <v>2601</v>
      </c>
      <c r="W10" s="99" t="s">
        <v>2920</v>
      </c>
      <c r="X10" s="49" t="s">
        <v>2222</v>
      </c>
      <c r="Y10" s="100" t="s">
        <v>2976</v>
      </c>
    </row>
    <row r="11" spans="1:25" ht="15" customHeight="1" x14ac:dyDescent="0.25">
      <c r="A11" s="46" t="s">
        <v>1730</v>
      </c>
      <c r="B11" s="200" t="s">
        <v>2654</v>
      </c>
      <c r="D11" s="70" t="s">
        <v>2921</v>
      </c>
      <c r="F11" s="49" t="s">
        <v>2223</v>
      </c>
      <c r="J11" s="198">
        <v>899999</v>
      </c>
      <c r="R11" s="200" t="s">
        <v>1811</v>
      </c>
      <c r="S11" s="200" t="s">
        <v>2548</v>
      </c>
      <c r="T11" s="67" t="s">
        <v>2654</v>
      </c>
      <c r="U11" s="99" t="s">
        <v>2181</v>
      </c>
      <c r="V11" s="99" t="s">
        <v>2602</v>
      </c>
      <c r="W11" s="99" t="s">
        <v>2921</v>
      </c>
      <c r="X11" s="49" t="s">
        <v>2223</v>
      </c>
      <c r="Y11" s="100" t="s">
        <v>2977</v>
      </c>
    </row>
    <row r="12" spans="1:25" ht="15" customHeight="1" x14ac:dyDescent="0.25">
      <c r="A12" s="46" t="s">
        <v>1731</v>
      </c>
      <c r="B12" s="200" t="s">
        <v>2655</v>
      </c>
      <c r="D12" s="70" t="s">
        <v>2922</v>
      </c>
      <c r="F12" s="49" t="s">
        <v>2224</v>
      </c>
      <c r="J12" s="198">
        <v>999999</v>
      </c>
      <c r="R12" s="200" t="s">
        <v>1812</v>
      </c>
      <c r="S12" s="200" t="s">
        <v>2549</v>
      </c>
      <c r="T12" s="67" t="s">
        <v>2655</v>
      </c>
      <c r="U12" s="99" t="s">
        <v>2182</v>
      </c>
      <c r="V12" s="99" t="s">
        <v>2603</v>
      </c>
      <c r="W12" s="99" t="s">
        <v>2922</v>
      </c>
      <c r="X12" s="49" t="s">
        <v>2224</v>
      </c>
      <c r="Y12" s="100" t="s">
        <v>2978</v>
      </c>
    </row>
    <row r="13" spans="1:25" ht="15" customHeight="1" x14ac:dyDescent="0.25">
      <c r="A13" s="46" t="s">
        <v>1732</v>
      </c>
      <c r="B13" s="200" t="s">
        <v>2656</v>
      </c>
      <c r="D13" s="70" t="s">
        <v>2923</v>
      </c>
      <c r="F13" s="49" t="s">
        <v>2225</v>
      </c>
      <c r="J13" s="198">
        <v>1099999</v>
      </c>
      <c r="R13" s="200" t="s">
        <v>1813</v>
      </c>
      <c r="S13" s="200" t="s">
        <v>2550</v>
      </c>
      <c r="T13" s="67" t="s">
        <v>2656</v>
      </c>
      <c r="U13" s="99" t="s">
        <v>2183</v>
      </c>
      <c r="V13" s="99" t="s">
        <v>2604</v>
      </c>
      <c r="W13" s="99" t="s">
        <v>2923</v>
      </c>
      <c r="X13" s="49" t="s">
        <v>2225</v>
      </c>
      <c r="Y13" s="100" t="s">
        <v>2979</v>
      </c>
    </row>
    <row r="14" spans="1:25" ht="15" customHeight="1" x14ac:dyDescent="0.25">
      <c r="A14" s="46" t="s">
        <v>1733</v>
      </c>
      <c r="B14" s="200" t="s">
        <v>2657</v>
      </c>
      <c r="D14" s="70" t="s">
        <v>2924</v>
      </c>
      <c r="F14" s="49" t="s">
        <v>2226</v>
      </c>
      <c r="J14" s="198">
        <v>1199999</v>
      </c>
      <c r="R14" s="200" t="s">
        <v>1814</v>
      </c>
      <c r="S14" s="200" t="s">
        <v>2551</v>
      </c>
      <c r="T14" s="67" t="s">
        <v>2657</v>
      </c>
      <c r="U14" s="99" t="s">
        <v>2184</v>
      </c>
      <c r="V14" s="99" t="s">
        <v>2605</v>
      </c>
      <c r="W14" s="99" t="s">
        <v>2924</v>
      </c>
      <c r="X14" s="49" t="s">
        <v>2226</v>
      </c>
      <c r="Y14" s="100" t="s">
        <v>2980</v>
      </c>
    </row>
    <row r="15" spans="1:25" ht="15" customHeight="1" x14ac:dyDescent="0.25">
      <c r="A15" s="46" t="s">
        <v>1734</v>
      </c>
      <c r="B15" s="200" t="s">
        <v>2658</v>
      </c>
      <c r="D15" s="70" t="s">
        <v>2925</v>
      </c>
      <c r="F15" s="49" t="s">
        <v>2227</v>
      </c>
      <c r="J15" s="198">
        <v>1299999</v>
      </c>
      <c r="R15" s="200" t="s">
        <v>1815</v>
      </c>
      <c r="S15" s="200" t="s">
        <v>2552</v>
      </c>
      <c r="T15" s="67" t="s">
        <v>2658</v>
      </c>
      <c r="U15" s="99" t="s">
        <v>2185</v>
      </c>
      <c r="V15" s="99" t="s">
        <v>2606</v>
      </c>
      <c r="W15" s="99" t="s">
        <v>2925</v>
      </c>
      <c r="X15" s="49" t="s">
        <v>2227</v>
      </c>
      <c r="Y15" s="100" t="s">
        <v>2981</v>
      </c>
    </row>
    <row r="16" spans="1:25" ht="15" customHeight="1" x14ac:dyDescent="0.25">
      <c r="A16" s="46" t="s">
        <v>1735</v>
      </c>
      <c r="B16" s="200" t="s">
        <v>2659</v>
      </c>
      <c r="D16" s="70" t="s">
        <v>2926</v>
      </c>
      <c r="F16" s="49" t="s">
        <v>2228</v>
      </c>
      <c r="J16" s="198">
        <v>1399999</v>
      </c>
      <c r="R16" s="200" t="s">
        <v>1816</v>
      </c>
      <c r="S16" s="200" t="s">
        <v>2553</v>
      </c>
      <c r="T16" s="67" t="s">
        <v>2659</v>
      </c>
      <c r="U16" s="99" t="s">
        <v>2186</v>
      </c>
      <c r="V16" s="99" t="s">
        <v>2607</v>
      </c>
      <c r="W16" s="99" t="s">
        <v>2926</v>
      </c>
      <c r="X16" s="49" t="s">
        <v>2228</v>
      </c>
      <c r="Y16" s="100" t="s">
        <v>2982</v>
      </c>
    </row>
    <row r="17" spans="1:25" ht="15" customHeight="1" x14ac:dyDescent="0.25">
      <c r="A17" s="46" t="s">
        <v>1736</v>
      </c>
      <c r="B17" s="200" t="s">
        <v>2660</v>
      </c>
      <c r="D17" s="70" t="s">
        <v>2927</v>
      </c>
      <c r="F17" s="49" t="s">
        <v>2229</v>
      </c>
      <c r="J17" s="198">
        <v>1499999</v>
      </c>
      <c r="R17" s="200" t="s">
        <v>1817</v>
      </c>
      <c r="S17" s="200" t="s">
        <v>2554</v>
      </c>
      <c r="T17" s="67" t="s">
        <v>2660</v>
      </c>
      <c r="U17" s="99" t="s">
        <v>2187</v>
      </c>
      <c r="V17" s="99" t="s">
        <v>2608</v>
      </c>
      <c r="W17" s="99" t="s">
        <v>2927</v>
      </c>
      <c r="X17" s="49" t="s">
        <v>2229</v>
      </c>
      <c r="Y17" s="100" t="s">
        <v>2983</v>
      </c>
    </row>
    <row r="18" spans="1:25" ht="15" customHeight="1" x14ac:dyDescent="0.25">
      <c r="A18" s="46" t="s">
        <v>1737</v>
      </c>
      <c r="B18" s="200" t="s">
        <v>2661</v>
      </c>
      <c r="D18" s="70" t="s">
        <v>2928</v>
      </c>
      <c r="F18" s="49" t="s">
        <v>2230</v>
      </c>
      <c r="J18" s="198">
        <v>1799999</v>
      </c>
      <c r="R18" s="200" t="s">
        <v>1818</v>
      </c>
      <c r="S18" s="200" t="s">
        <v>2555</v>
      </c>
      <c r="T18" s="67" t="s">
        <v>2661</v>
      </c>
      <c r="U18" s="99" t="s">
        <v>2188</v>
      </c>
      <c r="V18" s="99" t="s">
        <v>2609</v>
      </c>
      <c r="W18" s="99" t="s">
        <v>2928</v>
      </c>
      <c r="X18" s="49" t="s">
        <v>2230</v>
      </c>
      <c r="Y18" s="100" t="s">
        <v>2984</v>
      </c>
    </row>
    <row r="19" spans="1:25" ht="15" customHeight="1" x14ac:dyDescent="0.25">
      <c r="A19" s="46" t="s">
        <v>1738</v>
      </c>
      <c r="B19" s="200" t="s">
        <v>2662</v>
      </c>
      <c r="D19" s="70" t="s">
        <v>2929</v>
      </c>
      <c r="F19" s="49" t="s">
        <v>2231</v>
      </c>
      <c r="J19" s="198">
        <v>1899999</v>
      </c>
      <c r="R19" s="200" t="s">
        <v>1819</v>
      </c>
      <c r="S19" s="200" t="s">
        <v>2556</v>
      </c>
      <c r="T19" s="67" t="s">
        <v>2662</v>
      </c>
      <c r="U19" s="99" t="s">
        <v>2189</v>
      </c>
      <c r="V19" s="99" t="s">
        <v>2610</v>
      </c>
      <c r="W19" s="99" t="s">
        <v>2929</v>
      </c>
      <c r="X19" s="49" t="s">
        <v>2231</v>
      </c>
      <c r="Y19" s="100" t="s">
        <v>2985</v>
      </c>
    </row>
    <row r="20" spans="1:25" ht="15" customHeight="1" x14ac:dyDescent="0.25">
      <c r="A20" s="46" t="s">
        <v>1739</v>
      </c>
      <c r="B20" s="200" t="s">
        <v>2663</v>
      </c>
      <c r="D20" s="70" t="s">
        <v>2930</v>
      </c>
      <c r="F20" s="49" t="s">
        <v>2232</v>
      </c>
      <c r="J20" s="198">
        <v>1999999</v>
      </c>
      <c r="R20" s="200" t="s">
        <v>1820</v>
      </c>
      <c r="S20" s="200" t="s">
        <v>2557</v>
      </c>
      <c r="T20" s="67" t="s">
        <v>2663</v>
      </c>
      <c r="U20" s="99" t="s">
        <v>2190</v>
      </c>
      <c r="V20" s="99" t="s">
        <v>2611</v>
      </c>
      <c r="W20" s="99" t="s">
        <v>2930</v>
      </c>
      <c r="X20" s="49" t="s">
        <v>2232</v>
      </c>
      <c r="Y20" s="100" t="s">
        <v>2986</v>
      </c>
    </row>
    <row r="21" spans="1:25" ht="15" customHeight="1" x14ac:dyDescent="0.25">
      <c r="A21" s="46" t="s">
        <v>1740</v>
      </c>
      <c r="B21" s="200" t="s">
        <v>2664</v>
      </c>
      <c r="D21" s="70" t="s">
        <v>2931</v>
      </c>
      <c r="F21" s="49" t="s">
        <v>2233</v>
      </c>
      <c r="J21" s="198">
        <v>2099999</v>
      </c>
      <c r="R21" s="200" t="s">
        <v>1821</v>
      </c>
      <c r="S21" s="200" t="s">
        <v>2558</v>
      </c>
      <c r="T21" s="67" t="s">
        <v>2664</v>
      </c>
      <c r="U21" s="99" t="s">
        <v>2191</v>
      </c>
      <c r="V21" s="99" t="s">
        <v>2612</v>
      </c>
      <c r="W21" s="99" t="s">
        <v>2931</v>
      </c>
      <c r="X21" s="49" t="s">
        <v>2233</v>
      </c>
      <c r="Y21" s="100" t="s">
        <v>2987</v>
      </c>
    </row>
    <row r="22" spans="1:25" ht="15" customHeight="1" x14ac:dyDescent="0.25">
      <c r="A22" s="46" t="s">
        <v>1741</v>
      </c>
      <c r="B22" s="200" t="s">
        <v>2665</v>
      </c>
      <c r="D22" s="70" t="s">
        <v>2932</v>
      </c>
      <c r="F22" s="49" t="s">
        <v>2234</v>
      </c>
      <c r="J22" s="198">
        <v>2199999</v>
      </c>
      <c r="R22" s="200" t="s">
        <v>1822</v>
      </c>
      <c r="S22" s="200" t="s">
        <v>2559</v>
      </c>
      <c r="T22" s="67" t="s">
        <v>2665</v>
      </c>
      <c r="U22" s="99" t="s">
        <v>2192</v>
      </c>
      <c r="V22" s="99" t="s">
        <v>2613</v>
      </c>
      <c r="W22" s="99" t="s">
        <v>2932</v>
      </c>
      <c r="X22" s="49" t="s">
        <v>2234</v>
      </c>
      <c r="Y22" s="100" t="s">
        <v>2988</v>
      </c>
    </row>
    <row r="23" spans="1:25" ht="15" customHeight="1" x14ac:dyDescent="0.25">
      <c r="A23" s="46" t="s">
        <v>1742</v>
      </c>
      <c r="B23" s="200" t="s">
        <v>2666</v>
      </c>
      <c r="D23" s="70" t="s">
        <v>2933</v>
      </c>
      <c r="F23" s="49" t="s">
        <v>2235</v>
      </c>
      <c r="J23" s="198">
        <v>2499999</v>
      </c>
      <c r="R23" s="200" t="s">
        <v>1823</v>
      </c>
      <c r="S23" s="200" t="s">
        <v>2560</v>
      </c>
      <c r="T23" s="67" t="s">
        <v>2666</v>
      </c>
      <c r="U23" s="99" t="s">
        <v>2193</v>
      </c>
      <c r="V23" s="99" t="s">
        <v>2614</v>
      </c>
      <c r="W23" s="99" t="s">
        <v>2933</v>
      </c>
      <c r="X23" s="49" t="s">
        <v>2235</v>
      </c>
      <c r="Y23" s="100" t="s">
        <v>2989</v>
      </c>
    </row>
    <row r="24" spans="1:25" ht="15" customHeight="1" x14ac:dyDescent="0.25">
      <c r="A24" s="46" t="s">
        <v>1743</v>
      </c>
      <c r="B24" s="200" t="s">
        <v>2667</v>
      </c>
      <c r="D24" s="70" t="s">
        <v>2934</v>
      </c>
      <c r="F24" s="49" t="s">
        <v>2236</v>
      </c>
      <c r="J24" s="198">
        <v>2599999</v>
      </c>
      <c r="R24" s="200" t="s">
        <v>1824</v>
      </c>
      <c r="S24" s="200" t="s">
        <v>2561</v>
      </c>
      <c r="T24" s="67" t="s">
        <v>2667</v>
      </c>
      <c r="U24" s="99" t="s">
        <v>2194</v>
      </c>
      <c r="V24" s="99" t="s">
        <v>2615</v>
      </c>
      <c r="W24" s="99" t="s">
        <v>2934</v>
      </c>
      <c r="X24" s="49" t="s">
        <v>2236</v>
      </c>
      <c r="Y24" s="100" t="s">
        <v>2990</v>
      </c>
    </row>
    <row r="25" spans="1:25" ht="15" customHeight="1" x14ac:dyDescent="0.25">
      <c r="A25" s="46" t="s">
        <v>1744</v>
      </c>
      <c r="B25" s="200" t="s">
        <v>2668</v>
      </c>
      <c r="D25" s="70" t="s">
        <v>2935</v>
      </c>
      <c r="F25" s="49" t="s">
        <v>2237</v>
      </c>
      <c r="J25" s="198">
        <v>2699999</v>
      </c>
      <c r="R25" s="200" t="s">
        <v>1825</v>
      </c>
      <c r="S25" s="200" t="s">
        <v>2562</v>
      </c>
      <c r="T25" s="67" t="s">
        <v>2668</v>
      </c>
      <c r="U25" s="99" t="s">
        <v>2195</v>
      </c>
      <c r="V25" s="99" t="s">
        <v>2616</v>
      </c>
      <c r="W25" s="99" t="s">
        <v>2935</v>
      </c>
      <c r="X25" s="49" t="s">
        <v>2237</v>
      </c>
      <c r="Y25" s="100" t="s">
        <v>2991</v>
      </c>
    </row>
    <row r="26" spans="1:25" ht="15" customHeight="1" x14ac:dyDescent="0.25">
      <c r="A26" s="46" t="s">
        <v>1745</v>
      </c>
      <c r="B26" s="200" t="s">
        <v>2669</v>
      </c>
      <c r="D26" s="70" t="s">
        <v>2936</v>
      </c>
      <c r="F26" s="49" t="s">
        <v>2238</v>
      </c>
      <c r="J26" s="198">
        <v>2799999</v>
      </c>
      <c r="R26" s="200" t="s">
        <v>1826</v>
      </c>
      <c r="S26" s="200" t="s">
        <v>2563</v>
      </c>
      <c r="T26" s="67" t="s">
        <v>2669</v>
      </c>
      <c r="U26" s="99" t="s">
        <v>2196</v>
      </c>
      <c r="V26" s="99" t="s">
        <v>2617</v>
      </c>
      <c r="W26" s="99" t="s">
        <v>2936</v>
      </c>
      <c r="X26" s="49" t="s">
        <v>2238</v>
      </c>
      <c r="Y26" s="100" t="s">
        <v>2992</v>
      </c>
    </row>
    <row r="27" spans="1:25" ht="15" customHeight="1" x14ac:dyDescent="0.25">
      <c r="A27" s="46" t="s">
        <v>1746</v>
      </c>
      <c r="B27" s="200" t="s">
        <v>2670</v>
      </c>
      <c r="D27" s="70" t="s">
        <v>2937</v>
      </c>
      <c r="F27" s="49" t="s">
        <v>2239</v>
      </c>
      <c r="J27" s="198">
        <v>2899999</v>
      </c>
      <c r="R27" s="200" t="s">
        <v>1827</v>
      </c>
      <c r="S27" s="200" t="s">
        <v>2564</v>
      </c>
      <c r="T27" s="67" t="s">
        <v>2670</v>
      </c>
      <c r="U27" s="99" t="s">
        <v>2197</v>
      </c>
      <c r="V27" s="99" t="s">
        <v>2618</v>
      </c>
      <c r="W27" s="99" t="s">
        <v>2937</v>
      </c>
      <c r="X27" s="49" t="s">
        <v>2239</v>
      </c>
      <c r="Y27" s="100" t="s">
        <v>2993</v>
      </c>
    </row>
    <row r="28" spans="1:25" ht="15" customHeight="1" x14ac:dyDescent="0.25">
      <c r="A28" s="46" t="s">
        <v>1747</v>
      </c>
      <c r="B28" s="200" t="s">
        <v>2671</v>
      </c>
      <c r="D28" s="70" t="s">
        <v>2938</v>
      </c>
      <c r="F28" s="49" t="s">
        <v>2240</v>
      </c>
      <c r="J28" s="198">
        <v>3199999</v>
      </c>
      <c r="R28" s="200" t="s">
        <v>1828</v>
      </c>
      <c r="S28" s="200" t="s">
        <v>2565</v>
      </c>
      <c r="T28" s="67" t="s">
        <v>2671</v>
      </c>
      <c r="U28" s="99" t="s">
        <v>2198</v>
      </c>
      <c r="V28" s="99" t="s">
        <v>2619</v>
      </c>
      <c r="W28" s="99" t="s">
        <v>2938</v>
      </c>
      <c r="X28" s="49" t="s">
        <v>2240</v>
      </c>
      <c r="Y28" s="100" t="s">
        <v>2994</v>
      </c>
    </row>
    <row r="29" spans="1:25" ht="15" customHeight="1" x14ac:dyDescent="0.25">
      <c r="A29" s="46" t="s">
        <v>1748</v>
      </c>
      <c r="B29" s="200" t="s">
        <v>2672</v>
      </c>
      <c r="D29" s="70" t="s">
        <v>2939</v>
      </c>
      <c r="F29" s="49" t="s">
        <v>2241</v>
      </c>
      <c r="J29" s="198">
        <v>3299999</v>
      </c>
      <c r="R29" s="200" t="s">
        <v>1829</v>
      </c>
      <c r="S29" s="200" t="s">
        <v>2566</v>
      </c>
      <c r="T29" s="67" t="s">
        <v>2672</v>
      </c>
      <c r="U29" s="99" t="s">
        <v>2199</v>
      </c>
      <c r="V29" s="99" t="s">
        <v>2620</v>
      </c>
      <c r="W29" s="99" t="s">
        <v>2939</v>
      </c>
      <c r="X29" s="49" t="s">
        <v>2241</v>
      </c>
      <c r="Y29" s="100" t="s">
        <v>2995</v>
      </c>
    </row>
    <row r="30" spans="1:25" ht="15" customHeight="1" x14ac:dyDescent="0.25">
      <c r="A30" s="46" t="s">
        <v>1749</v>
      </c>
      <c r="B30" s="200" t="s">
        <v>2673</v>
      </c>
      <c r="D30" s="70" t="s">
        <v>2940</v>
      </c>
      <c r="F30" s="49" t="s">
        <v>2242</v>
      </c>
      <c r="J30" s="198">
        <v>3399999</v>
      </c>
      <c r="R30" s="200" t="s">
        <v>1830</v>
      </c>
      <c r="S30" s="200" t="s">
        <v>2567</v>
      </c>
      <c r="T30" s="67" t="s">
        <v>2673</v>
      </c>
      <c r="U30" s="99" t="s">
        <v>2200</v>
      </c>
      <c r="V30" s="99" t="s">
        <v>2621</v>
      </c>
      <c r="W30" s="99" t="s">
        <v>2940</v>
      </c>
      <c r="X30" s="49" t="s">
        <v>2242</v>
      </c>
      <c r="Y30" s="100" t="s">
        <v>2996</v>
      </c>
    </row>
    <row r="31" spans="1:25" ht="15" customHeight="1" x14ac:dyDescent="0.25">
      <c r="A31" s="46" t="s">
        <v>1750</v>
      </c>
      <c r="B31" s="200" t="s">
        <v>2674</v>
      </c>
      <c r="D31" s="70" t="s">
        <v>2941</v>
      </c>
      <c r="F31" s="49" t="s">
        <v>2243</v>
      </c>
      <c r="J31" s="198">
        <v>3499999</v>
      </c>
      <c r="R31" s="200" t="s">
        <v>1831</v>
      </c>
      <c r="S31" s="200" t="s">
        <v>2568</v>
      </c>
      <c r="T31" s="67" t="s">
        <v>2674</v>
      </c>
      <c r="U31" s="99" t="s">
        <v>2201</v>
      </c>
      <c r="V31" s="99" t="s">
        <v>2622</v>
      </c>
      <c r="W31" s="99" t="s">
        <v>2941</v>
      </c>
      <c r="X31" s="49" t="s">
        <v>2243</v>
      </c>
      <c r="Y31" s="100" t="s">
        <v>2997</v>
      </c>
    </row>
    <row r="32" spans="1:25" ht="15" customHeight="1" x14ac:dyDescent="0.25">
      <c r="A32" s="46" t="s">
        <v>1751</v>
      </c>
      <c r="B32" s="200" t="s">
        <v>2675</v>
      </c>
      <c r="D32" s="70" t="s">
        <v>2942</v>
      </c>
      <c r="F32" s="49" t="s">
        <v>2244</v>
      </c>
      <c r="J32" s="198">
        <v>3599999</v>
      </c>
      <c r="R32" s="200" t="s">
        <v>1832</v>
      </c>
      <c r="S32" s="200" t="s">
        <v>2569</v>
      </c>
      <c r="T32" s="67" t="s">
        <v>2675</v>
      </c>
      <c r="U32" s="99" t="s">
        <v>2202</v>
      </c>
      <c r="V32" s="99" t="s">
        <v>2623</v>
      </c>
      <c r="W32" s="99" t="s">
        <v>2942</v>
      </c>
      <c r="X32" s="49" t="s">
        <v>2244</v>
      </c>
      <c r="Y32" s="100" t="s">
        <v>2998</v>
      </c>
    </row>
    <row r="33" spans="1:25" ht="15" customHeight="1" x14ac:dyDescent="0.25">
      <c r="A33" s="46" t="s">
        <v>1752</v>
      </c>
      <c r="B33" s="200" t="s">
        <v>2676</v>
      </c>
      <c r="D33" s="70" t="s">
        <v>2943</v>
      </c>
      <c r="F33" s="49" t="s">
        <v>2245</v>
      </c>
      <c r="J33" s="198">
        <v>3899999</v>
      </c>
      <c r="R33" s="200" t="s">
        <v>1833</v>
      </c>
      <c r="S33" s="200" t="s">
        <v>2570</v>
      </c>
      <c r="T33" s="67" t="s">
        <v>2676</v>
      </c>
      <c r="U33" s="99" t="s">
        <v>2203</v>
      </c>
      <c r="V33" s="99" t="s">
        <v>2624</v>
      </c>
      <c r="W33" s="99" t="s">
        <v>2943</v>
      </c>
      <c r="X33" s="49" t="s">
        <v>2245</v>
      </c>
      <c r="Y33" s="100" t="s">
        <v>2999</v>
      </c>
    </row>
    <row r="34" spans="1:25" ht="15" customHeight="1" x14ac:dyDescent="0.25">
      <c r="A34" s="46" t="s">
        <v>1753</v>
      </c>
      <c r="B34" s="200" t="s">
        <v>2677</v>
      </c>
      <c r="D34" s="70" t="s">
        <v>2944</v>
      </c>
      <c r="F34" s="49" t="s">
        <v>2246</v>
      </c>
      <c r="J34" s="198">
        <v>4299999</v>
      </c>
      <c r="R34" s="200" t="s">
        <v>1834</v>
      </c>
      <c r="S34" s="200" t="s">
        <v>2571</v>
      </c>
      <c r="T34" s="67" t="s">
        <v>2677</v>
      </c>
      <c r="U34" s="99" t="s">
        <v>2204</v>
      </c>
      <c r="V34" s="99" t="s">
        <v>2625</v>
      </c>
      <c r="W34" s="99" t="s">
        <v>2944</v>
      </c>
      <c r="X34" s="49" t="s">
        <v>2246</v>
      </c>
      <c r="Y34" s="100" t="s">
        <v>3000</v>
      </c>
    </row>
    <row r="35" spans="1:25" ht="15" customHeight="1" x14ac:dyDescent="0.25">
      <c r="A35" s="46" t="s">
        <v>1761</v>
      </c>
      <c r="B35" s="200" t="s">
        <v>2678</v>
      </c>
      <c r="D35" s="70" t="s">
        <v>2945</v>
      </c>
      <c r="F35" s="49" t="s">
        <v>2247</v>
      </c>
      <c r="J35" s="198">
        <v>4399999</v>
      </c>
      <c r="R35" s="200" t="s">
        <v>1835</v>
      </c>
      <c r="S35" s="200" t="s">
        <v>2572</v>
      </c>
      <c r="T35" s="67" t="s">
        <v>2678</v>
      </c>
      <c r="U35" s="99" t="s">
        <v>2205</v>
      </c>
      <c r="V35" s="99" t="s">
        <v>2626</v>
      </c>
      <c r="W35" s="99" t="s">
        <v>2945</v>
      </c>
      <c r="X35" s="49" t="s">
        <v>2247</v>
      </c>
      <c r="Y35" s="100" t="s">
        <v>3001</v>
      </c>
    </row>
    <row r="36" spans="1:25" ht="15" customHeight="1" x14ac:dyDescent="0.25">
      <c r="A36" s="46" t="s">
        <v>1754</v>
      </c>
      <c r="B36" s="200" t="s">
        <v>2679</v>
      </c>
      <c r="D36" s="70" t="s">
        <v>2946</v>
      </c>
      <c r="F36" s="49" t="s">
        <v>2248</v>
      </c>
      <c r="J36" s="198">
        <v>4499999</v>
      </c>
      <c r="R36" s="200" t="s">
        <v>1836</v>
      </c>
      <c r="S36" s="200" t="s">
        <v>2573</v>
      </c>
      <c r="T36" s="67" t="s">
        <v>2679</v>
      </c>
      <c r="U36" s="99" t="s">
        <v>2206</v>
      </c>
      <c r="V36" s="99" t="s">
        <v>2627</v>
      </c>
      <c r="W36" s="99" t="s">
        <v>2946</v>
      </c>
      <c r="X36" s="49" t="s">
        <v>2248</v>
      </c>
      <c r="Y36" s="100" t="s">
        <v>3002</v>
      </c>
    </row>
    <row r="37" spans="1:25" ht="15" customHeight="1" x14ac:dyDescent="0.25">
      <c r="A37" s="46" t="s">
        <v>1755</v>
      </c>
      <c r="B37" s="200" t="s">
        <v>2680</v>
      </c>
      <c r="D37" s="70" t="s">
        <v>2947</v>
      </c>
      <c r="F37" s="49" t="s">
        <v>2249</v>
      </c>
      <c r="J37" s="198">
        <v>4599999</v>
      </c>
      <c r="R37" s="200" t="s">
        <v>1837</v>
      </c>
      <c r="S37" s="200" t="s">
        <v>2574</v>
      </c>
      <c r="T37" s="67" t="s">
        <v>2680</v>
      </c>
      <c r="U37" s="99" t="s">
        <v>2207</v>
      </c>
      <c r="V37" s="99" t="s">
        <v>2628</v>
      </c>
      <c r="W37" s="99" t="s">
        <v>2947</v>
      </c>
      <c r="X37" s="49" t="s">
        <v>2249</v>
      </c>
      <c r="Y37" s="100" t="s">
        <v>3003</v>
      </c>
    </row>
    <row r="38" spans="1:25" ht="15" customHeight="1" x14ac:dyDescent="0.25">
      <c r="A38" s="46" t="s">
        <v>1756</v>
      </c>
      <c r="B38" s="200" t="s">
        <v>2681</v>
      </c>
      <c r="D38" s="70" t="s">
        <v>2948</v>
      </c>
      <c r="F38" s="49" t="s">
        <v>2250</v>
      </c>
      <c r="J38" s="198">
        <v>4899999</v>
      </c>
      <c r="R38" s="200" t="s">
        <v>1838</v>
      </c>
      <c r="S38" s="200" t="s">
        <v>2575</v>
      </c>
      <c r="T38" s="67" t="s">
        <v>2681</v>
      </c>
      <c r="U38" s="99" t="s">
        <v>2208</v>
      </c>
      <c r="V38" s="99" t="s">
        <v>2629</v>
      </c>
      <c r="W38" s="99" t="s">
        <v>2948</v>
      </c>
      <c r="X38" s="49" t="s">
        <v>2250</v>
      </c>
      <c r="Y38" s="100" t="s">
        <v>3004</v>
      </c>
    </row>
    <row r="39" spans="1:25" ht="15" customHeight="1" x14ac:dyDescent="0.25">
      <c r="A39" s="46" t="s">
        <v>1757</v>
      </c>
      <c r="B39" s="200" t="s">
        <v>2682</v>
      </c>
      <c r="D39" s="70" t="s">
        <v>2949</v>
      </c>
      <c r="F39" s="49" t="s">
        <v>2251</v>
      </c>
      <c r="J39" s="198">
        <v>4999999</v>
      </c>
      <c r="R39" s="200" t="s">
        <v>1839</v>
      </c>
      <c r="S39" s="200" t="s">
        <v>2576</v>
      </c>
      <c r="T39" s="67" t="s">
        <v>2682</v>
      </c>
      <c r="U39" s="99" t="s">
        <v>2209</v>
      </c>
      <c r="V39" s="99" t="s">
        <v>2630</v>
      </c>
      <c r="W39" s="99" t="s">
        <v>2949</v>
      </c>
      <c r="X39" s="49" t="s">
        <v>2251</v>
      </c>
      <c r="Y39" s="100" t="s">
        <v>3005</v>
      </c>
    </row>
    <row r="40" spans="1:25" ht="15" customHeight="1" x14ac:dyDescent="0.25">
      <c r="A40" s="46" t="s">
        <v>1758</v>
      </c>
      <c r="B40" s="200" t="s">
        <v>2683</v>
      </c>
      <c r="D40" s="70" t="s">
        <v>2950</v>
      </c>
      <c r="F40" s="49" t="s">
        <v>2252</v>
      </c>
      <c r="J40" s="198">
        <v>5099999</v>
      </c>
      <c r="R40" s="200" t="s">
        <v>1840</v>
      </c>
      <c r="S40" s="200" t="s">
        <v>2577</v>
      </c>
      <c r="T40" s="67" t="s">
        <v>2683</v>
      </c>
      <c r="U40" s="99" t="s">
        <v>2210</v>
      </c>
      <c r="V40" s="99" t="s">
        <v>2631</v>
      </c>
      <c r="W40" s="99" t="s">
        <v>2950</v>
      </c>
      <c r="X40" s="49" t="s">
        <v>2252</v>
      </c>
      <c r="Y40" s="100" t="s">
        <v>3006</v>
      </c>
    </row>
    <row r="41" spans="1:25" ht="15" customHeight="1" x14ac:dyDescent="0.25">
      <c r="A41" s="46" t="s">
        <v>1759</v>
      </c>
      <c r="B41" s="200" t="s">
        <v>2684</v>
      </c>
      <c r="D41" s="70" t="s">
        <v>2951</v>
      </c>
      <c r="F41" s="49" t="s">
        <v>2253</v>
      </c>
      <c r="J41" s="198">
        <v>5199999</v>
      </c>
      <c r="R41" s="200" t="s">
        <v>1841</v>
      </c>
      <c r="S41" s="200" t="s">
        <v>2578</v>
      </c>
      <c r="T41" s="67" t="s">
        <v>2684</v>
      </c>
      <c r="U41" s="99" t="s">
        <v>2211</v>
      </c>
      <c r="V41" s="99" t="s">
        <v>2632</v>
      </c>
      <c r="W41" s="99" t="s">
        <v>2951</v>
      </c>
      <c r="X41" s="49" t="s">
        <v>2253</v>
      </c>
      <c r="Y41" s="100" t="s">
        <v>3007</v>
      </c>
    </row>
    <row r="42" spans="1:25" ht="15" customHeight="1" x14ac:dyDescent="0.25">
      <c r="A42" s="46" t="s">
        <v>1762</v>
      </c>
      <c r="B42" s="200" t="s">
        <v>2685</v>
      </c>
      <c r="D42" s="70" t="s">
        <v>2952</v>
      </c>
      <c r="F42" s="49" t="s">
        <v>2254</v>
      </c>
      <c r="J42" s="198">
        <v>5299999</v>
      </c>
      <c r="R42" s="200" t="s">
        <v>1842</v>
      </c>
      <c r="S42" s="200" t="s">
        <v>2579</v>
      </c>
      <c r="T42" s="67" t="s">
        <v>2685</v>
      </c>
      <c r="U42" s="99" t="s">
        <v>2212</v>
      </c>
      <c r="V42" s="99" t="s">
        <v>2633</v>
      </c>
      <c r="W42" s="99" t="s">
        <v>2952</v>
      </c>
      <c r="X42" s="49" t="s">
        <v>2254</v>
      </c>
      <c r="Y42" s="100" t="s">
        <v>3008</v>
      </c>
    </row>
    <row r="43" spans="1:25" ht="15" customHeight="1" x14ac:dyDescent="0.25">
      <c r="A43" s="46" t="s">
        <v>1760</v>
      </c>
      <c r="B43" s="200" t="s">
        <v>2686</v>
      </c>
      <c r="D43" s="70" t="s">
        <v>2953</v>
      </c>
      <c r="F43" s="49" t="s">
        <v>2255</v>
      </c>
      <c r="J43" s="198">
        <v>5599999</v>
      </c>
      <c r="R43" s="200" t="s">
        <v>1843</v>
      </c>
      <c r="S43" s="200" t="s">
        <v>2580</v>
      </c>
      <c r="T43" s="67" t="s">
        <v>2686</v>
      </c>
      <c r="U43" s="99" t="s">
        <v>2213</v>
      </c>
      <c r="V43" s="99" t="s">
        <v>2634</v>
      </c>
      <c r="W43" s="99" t="s">
        <v>2953</v>
      </c>
      <c r="X43" s="49" t="s">
        <v>2255</v>
      </c>
      <c r="Y43" s="100" t="s">
        <v>3009</v>
      </c>
    </row>
    <row r="44" spans="1:25" ht="15" customHeight="1" x14ac:dyDescent="0.25">
      <c r="A44" s="46" t="s">
        <v>1763</v>
      </c>
      <c r="B44" s="200" t="s">
        <v>2687</v>
      </c>
      <c r="D44" s="70" t="s">
        <v>2954</v>
      </c>
      <c r="F44" s="49" t="s">
        <v>2256</v>
      </c>
      <c r="J44" s="198">
        <v>7799999</v>
      </c>
      <c r="R44" s="200" t="s">
        <v>1844</v>
      </c>
      <c r="S44" s="200" t="s">
        <v>2581</v>
      </c>
      <c r="T44" s="67" t="s">
        <v>2687</v>
      </c>
      <c r="U44" s="99" t="s">
        <v>2214</v>
      </c>
      <c r="V44" s="99" t="s">
        <v>2635</v>
      </c>
      <c r="W44" s="99" t="s">
        <v>2954</v>
      </c>
      <c r="X44" s="49" t="s">
        <v>2256</v>
      </c>
      <c r="Y44" s="100" t="s">
        <v>3012</v>
      </c>
    </row>
    <row r="45" spans="1:25" ht="15" customHeight="1" x14ac:dyDescent="0.25">
      <c r="A45" s="46" t="s">
        <v>1764</v>
      </c>
      <c r="B45" s="200" t="s">
        <v>2688</v>
      </c>
      <c r="D45" s="70" t="s">
        <v>2955</v>
      </c>
      <c r="F45" s="49" t="s">
        <v>2257</v>
      </c>
      <c r="J45" s="198">
        <v>7899999</v>
      </c>
      <c r="R45" s="200" t="s">
        <v>1845</v>
      </c>
      <c r="S45" s="200" t="s">
        <v>2582</v>
      </c>
      <c r="T45" s="67" t="s">
        <v>2688</v>
      </c>
      <c r="U45" s="99" t="s">
        <v>2215</v>
      </c>
      <c r="V45" s="99" t="s">
        <v>2636</v>
      </c>
      <c r="W45" s="99" t="s">
        <v>2955</v>
      </c>
      <c r="X45" s="49" t="s">
        <v>2257</v>
      </c>
      <c r="Y45" s="100" t="s">
        <v>3013</v>
      </c>
    </row>
    <row r="46" spans="1:25" ht="15" customHeight="1" x14ac:dyDescent="0.25">
      <c r="A46" s="46" t="s">
        <v>1765</v>
      </c>
      <c r="B46" s="200" t="s">
        <v>2689</v>
      </c>
      <c r="D46" s="70" t="s">
        <v>2956</v>
      </c>
      <c r="F46" s="49" t="s">
        <v>2258</v>
      </c>
      <c r="J46" s="198">
        <v>7999999</v>
      </c>
      <c r="R46" s="200" t="s">
        <v>1846</v>
      </c>
      <c r="S46" s="200" t="s">
        <v>2583</v>
      </c>
      <c r="T46" s="67" t="s">
        <v>2689</v>
      </c>
      <c r="U46" s="99" t="s">
        <v>2637</v>
      </c>
      <c r="V46" s="99"/>
      <c r="W46" s="99" t="s">
        <v>2956</v>
      </c>
      <c r="X46" s="49" t="s">
        <v>2258</v>
      </c>
      <c r="Y46" s="100" t="s">
        <v>3014</v>
      </c>
    </row>
    <row r="47" spans="1:25" ht="15" customHeight="1" x14ac:dyDescent="0.25">
      <c r="A47" s="46" t="s">
        <v>1766</v>
      </c>
      <c r="B47" s="200" t="s">
        <v>2690</v>
      </c>
      <c r="D47" s="70" t="s">
        <v>2957</v>
      </c>
      <c r="F47" s="49" t="s">
        <v>2259</v>
      </c>
      <c r="J47" s="198">
        <v>8099999</v>
      </c>
      <c r="R47" s="200" t="s">
        <v>1847</v>
      </c>
      <c r="S47" s="200" t="s">
        <v>2584</v>
      </c>
      <c r="T47" s="67" t="s">
        <v>2690</v>
      </c>
      <c r="U47" s="99" t="s">
        <v>2638</v>
      </c>
      <c r="V47" s="99"/>
      <c r="W47" s="99" t="s">
        <v>2957</v>
      </c>
      <c r="X47" s="49" t="s">
        <v>2259</v>
      </c>
      <c r="Y47" s="100" t="s">
        <v>3015</v>
      </c>
    </row>
    <row r="48" spans="1:25" ht="15" customHeight="1" x14ac:dyDescent="0.25">
      <c r="A48" s="46" t="s">
        <v>1767</v>
      </c>
      <c r="B48" s="200" t="s">
        <v>2691</v>
      </c>
      <c r="D48" s="70" t="s">
        <v>2958</v>
      </c>
      <c r="F48" s="49" t="s">
        <v>2260</v>
      </c>
      <c r="J48" s="198">
        <v>8399999</v>
      </c>
      <c r="R48" s="200" t="s">
        <v>1848</v>
      </c>
      <c r="S48" s="200" t="s">
        <v>2585</v>
      </c>
      <c r="T48" s="67" t="s">
        <v>2691</v>
      </c>
      <c r="U48" s="99" t="s">
        <v>2639</v>
      </c>
      <c r="V48" s="99"/>
      <c r="W48" s="99" t="s">
        <v>2958</v>
      </c>
      <c r="X48" s="49" t="s">
        <v>2260</v>
      </c>
      <c r="Y48" s="100" t="s">
        <v>3016</v>
      </c>
    </row>
    <row r="49" spans="1:25" ht="15" customHeight="1" x14ac:dyDescent="0.25">
      <c r="A49" s="196" t="s">
        <v>2771</v>
      </c>
      <c r="B49" s="201" t="s">
        <v>2692</v>
      </c>
      <c r="D49" s="70" t="s">
        <v>2959</v>
      </c>
      <c r="F49" s="49" t="s">
        <v>2438</v>
      </c>
      <c r="J49" s="198">
        <v>8499999</v>
      </c>
      <c r="R49" s="201" t="s">
        <v>2416</v>
      </c>
      <c r="S49" s="201" t="s">
        <v>2586</v>
      </c>
      <c r="T49" s="280" t="s">
        <v>2692</v>
      </c>
      <c r="U49" s="99" t="s">
        <v>2431</v>
      </c>
      <c r="V49" s="99" t="s">
        <v>2640</v>
      </c>
      <c r="W49" s="99" t="s">
        <v>2959</v>
      </c>
      <c r="X49" s="49" t="s">
        <v>2438</v>
      </c>
      <c r="Y49" s="100" t="s">
        <v>3017</v>
      </c>
    </row>
    <row r="50" spans="1:25" ht="15" customHeight="1" x14ac:dyDescent="0.25">
      <c r="A50" s="196" t="s">
        <v>2769</v>
      </c>
      <c r="B50" s="201" t="s">
        <v>2770</v>
      </c>
      <c r="D50" s="70" t="s">
        <v>2960</v>
      </c>
      <c r="F50" s="49" t="s">
        <v>2968</v>
      </c>
      <c r="J50" s="198">
        <v>8499999</v>
      </c>
      <c r="R50" s="201" t="s">
        <v>2416</v>
      </c>
      <c r="S50" s="201" t="s">
        <v>2586</v>
      </c>
      <c r="T50" s="280" t="s">
        <v>2692</v>
      </c>
      <c r="U50" s="99" t="s">
        <v>2431</v>
      </c>
      <c r="V50" s="99" t="s">
        <v>2640</v>
      </c>
      <c r="W50" s="298" t="s">
        <v>2960</v>
      </c>
      <c r="X50" s="49" t="s">
        <v>2968</v>
      </c>
      <c r="Y50" s="100" t="s">
        <v>3018</v>
      </c>
    </row>
    <row r="51" spans="1:25" ht="15" customHeight="1" x14ac:dyDescent="0.25">
      <c r="A51" s="196" t="s">
        <v>2415</v>
      </c>
      <c r="B51" s="201" t="s">
        <v>2775</v>
      </c>
      <c r="D51" s="70" t="s">
        <v>2961</v>
      </c>
      <c r="F51" s="49" t="s">
        <v>2969</v>
      </c>
      <c r="J51" s="198">
        <v>8499999</v>
      </c>
      <c r="R51" s="201" t="s">
        <v>2416</v>
      </c>
      <c r="S51" s="201" t="s">
        <v>2586</v>
      </c>
      <c r="T51" s="280" t="s">
        <v>2692</v>
      </c>
      <c r="U51" s="99" t="s">
        <v>2431</v>
      </c>
      <c r="V51" s="99" t="s">
        <v>2640</v>
      </c>
      <c r="W51" s="99" t="s">
        <v>2961</v>
      </c>
      <c r="X51" s="49" t="s">
        <v>2969</v>
      </c>
      <c r="Y51" s="100" t="s">
        <v>3019</v>
      </c>
    </row>
    <row r="52" spans="1:25" ht="15" customHeight="1" x14ac:dyDescent="0.25">
      <c r="A52" s="20" t="s">
        <v>2773</v>
      </c>
      <c r="B52" s="97" t="s">
        <v>2693</v>
      </c>
      <c r="D52" s="70" t="s">
        <v>2962</v>
      </c>
      <c r="F52" s="49" t="s">
        <v>2439</v>
      </c>
      <c r="J52" s="96">
        <v>9099999</v>
      </c>
      <c r="R52" s="97" t="s">
        <v>2420</v>
      </c>
      <c r="S52" s="97" t="s">
        <v>2587</v>
      </c>
      <c r="T52" s="280" t="s">
        <v>2693</v>
      </c>
      <c r="U52" s="99" t="s">
        <v>2432</v>
      </c>
      <c r="V52" s="99" t="s">
        <v>2641</v>
      </c>
      <c r="W52" s="298" t="s">
        <v>2962</v>
      </c>
      <c r="X52" s="49" t="s">
        <v>2439</v>
      </c>
      <c r="Y52" s="100" t="s">
        <v>3020</v>
      </c>
    </row>
    <row r="53" spans="1:25" ht="15" customHeight="1" x14ac:dyDescent="0.25">
      <c r="A53" s="20" t="s">
        <v>2772</v>
      </c>
      <c r="B53" s="97" t="s">
        <v>2694</v>
      </c>
      <c r="D53" s="70" t="s">
        <v>2963</v>
      </c>
      <c r="F53" s="49" t="s">
        <v>2440</v>
      </c>
      <c r="J53" s="96">
        <v>9199999</v>
      </c>
      <c r="R53" s="97" t="s">
        <v>2421</v>
      </c>
      <c r="S53" s="97" t="s">
        <v>2588</v>
      </c>
      <c r="T53" s="280" t="s">
        <v>2694</v>
      </c>
      <c r="U53" s="99" t="s">
        <v>2433</v>
      </c>
      <c r="V53" s="99" t="s">
        <v>2642</v>
      </c>
      <c r="W53" s="99" t="s">
        <v>2963</v>
      </c>
      <c r="X53" s="49" t="s">
        <v>2440</v>
      </c>
      <c r="Y53" s="100" t="s">
        <v>3021</v>
      </c>
    </row>
    <row r="54" spans="1:25" ht="15" customHeight="1" x14ac:dyDescent="0.25">
      <c r="A54" s="20" t="s">
        <v>1800</v>
      </c>
      <c r="B54" s="97" t="s">
        <v>2695</v>
      </c>
      <c r="D54" s="70" t="s">
        <v>2964</v>
      </c>
      <c r="F54" s="49" t="s">
        <v>2441</v>
      </c>
      <c r="J54" s="96">
        <v>9299999</v>
      </c>
      <c r="R54" s="97" t="s">
        <v>2422</v>
      </c>
      <c r="S54" s="97" t="s">
        <v>2589</v>
      </c>
      <c r="T54" s="280" t="s">
        <v>2695</v>
      </c>
      <c r="U54" s="99" t="s">
        <v>2434</v>
      </c>
      <c r="V54" s="99" t="s">
        <v>2643</v>
      </c>
      <c r="W54" s="99" t="s">
        <v>2964</v>
      </c>
      <c r="X54" s="49" t="s">
        <v>2441</v>
      </c>
      <c r="Y54" s="100" t="s">
        <v>3022</v>
      </c>
    </row>
    <row r="55" spans="1:25" ht="15" customHeight="1" x14ac:dyDescent="0.25">
      <c r="A55" s="20" t="s">
        <v>2417</v>
      </c>
      <c r="B55" s="97" t="s">
        <v>2696</v>
      </c>
      <c r="D55" s="70" t="s">
        <v>2965</v>
      </c>
      <c r="F55" s="49" t="s">
        <v>2442</v>
      </c>
      <c r="J55" s="96">
        <v>9399999</v>
      </c>
      <c r="R55" s="97" t="s">
        <v>2423</v>
      </c>
      <c r="S55" s="97" t="s">
        <v>2590</v>
      </c>
      <c r="T55" s="280" t="s">
        <v>2696</v>
      </c>
      <c r="U55" s="99" t="s">
        <v>2435</v>
      </c>
      <c r="V55" s="99" t="s">
        <v>2644</v>
      </c>
      <c r="W55" s="99" t="s">
        <v>2965</v>
      </c>
      <c r="X55" s="49" t="s">
        <v>2442</v>
      </c>
      <c r="Y55" s="100" t="s">
        <v>3023</v>
      </c>
    </row>
    <row r="56" spans="1:25" ht="15" customHeight="1" x14ac:dyDescent="0.25">
      <c r="A56" s="20" t="s">
        <v>2418</v>
      </c>
      <c r="B56" s="97" t="s">
        <v>2697</v>
      </c>
      <c r="D56" s="70" t="s">
        <v>2966</v>
      </c>
      <c r="F56" s="49" t="s">
        <v>2443</v>
      </c>
      <c r="J56" s="96">
        <v>9799999</v>
      </c>
      <c r="R56" s="97" t="s">
        <v>2424</v>
      </c>
      <c r="S56" s="97" t="s">
        <v>2591</v>
      </c>
      <c r="T56" s="280" t="s">
        <v>2697</v>
      </c>
      <c r="U56" s="99" t="s">
        <v>2436</v>
      </c>
      <c r="V56" s="99" t="s">
        <v>2645</v>
      </c>
      <c r="W56" s="99" t="s">
        <v>2966</v>
      </c>
      <c r="X56" s="49" t="s">
        <v>2443</v>
      </c>
      <c r="Y56" s="100" t="s">
        <v>3024</v>
      </c>
    </row>
    <row r="57" spans="1:25" ht="15" customHeight="1" x14ac:dyDescent="0.25">
      <c r="A57" s="20" t="s">
        <v>2419</v>
      </c>
      <c r="B57" s="97" t="s">
        <v>2698</v>
      </c>
      <c r="D57" s="70" t="s">
        <v>2967</v>
      </c>
      <c r="F57" s="49" t="s">
        <v>2444</v>
      </c>
      <c r="J57" s="96">
        <v>9899999</v>
      </c>
      <c r="R57" s="97" t="s">
        <v>2425</v>
      </c>
      <c r="S57" s="97" t="s">
        <v>2592</v>
      </c>
      <c r="T57" s="280" t="s">
        <v>2698</v>
      </c>
      <c r="U57" s="99" t="s">
        <v>2437</v>
      </c>
      <c r="V57" s="99" t="s">
        <v>2646</v>
      </c>
      <c r="W57" s="99" t="s">
        <v>2967</v>
      </c>
      <c r="X57" s="49" t="s">
        <v>2444</v>
      </c>
      <c r="Y57" s="100" t="s">
        <v>3025</v>
      </c>
    </row>
    <row r="58" spans="1:25" ht="15" customHeight="1" x14ac:dyDescent="0.25">
      <c r="A58" s="20" t="s">
        <v>2825</v>
      </c>
      <c r="B58" s="97" t="s">
        <v>2827</v>
      </c>
      <c r="D58" s="297" t="s">
        <v>2912</v>
      </c>
      <c r="F58" s="296" t="s">
        <v>2910</v>
      </c>
      <c r="J58" s="96">
        <v>5899999</v>
      </c>
      <c r="U58" s="99"/>
      <c r="V58" s="99"/>
      <c r="W58" s="99" t="s">
        <v>2912</v>
      </c>
      <c r="X58" s="299" t="s">
        <v>2910</v>
      </c>
      <c r="Y58" s="100" t="s">
        <v>2910</v>
      </c>
    </row>
    <row r="59" spans="1:25" ht="15" customHeight="1" x14ac:dyDescent="0.25">
      <c r="A59" s="20" t="s">
        <v>2826</v>
      </c>
      <c r="B59" s="97" t="s">
        <v>2828</v>
      </c>
      <c r="D59" s="297" t="s">
        <v>2913</v>
      </c>
      <c r="F59" s="296" t="s">
        <v>2911</v>
      </c>
      <c r="J59" s="96">
        <v>5999999</v>
      </c>
      <c r="U59" s="99"/>
      <c r="V59" s="99"/>
      <c r="W59" s="99" t="s">
        <v>2913</v>
      </c>
      <c r="X59" s="299" t="s">
        <v>2911</v>
      </c>
      <c r="Y59" s="100" t="s">
        <v>2911</v>
      </c>
    </row>
    <row r="60" spans="1:25" ht="15" customHeight="1" x14ac:dyDescent="0.25">
      <c r="A60" s="20" t="s">
        <v>3252</v>
      </c>
      <c r="B60" s="97" t="s">
        <v>3253</v>
      </c>
      <c r="D60" s="70" t="s">
        <v>3255</v>
      </c>
      <c r="F60" s="49" t="s">
        <v>3254</v>
      </c>
      <c r="J60" s="96">
        <v>8199999</v>
      </c>
    </row>
  </sheetData>
  <autoFilter ref="A2:S2" xr:uid="{00000000-0009-0000-0000-00000B000000}"/>
  <pageMargins left="0.7" right="0.7" top="0.75" bottom="0.75" header="0.3" footer="0.3"/>
  <pageSetup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C49"/>
  <sheetViews>
    <sheetView zoomScale="80" zoomScaleNormal="80" workbookViewId="0">
      <selection activeCell="L47" sqref="L47"/>
    </sheetView>
  </sheetViews>
  <sheetFormatPr defaultRowHeight="15" x14ac:dyDescent="0.25"/>
  <cols>
    <col min="1" max="1" width="51.5703125" style="384" bestFit="1" customWidth="1"/>
    <col min="2" max="3" width="9.140625" style="385"/>
    <col min="4" max="5" width="9.140625" style="386"/>
    <col min="6" max="7" width="9.140625" style="387"/>
    <col min="8" max="12" width="9.140625" style="384"/>
    <col min="13" max="13" width="9.140625" style="385"/>
    <col min="14" max="14" width="9.140625" style="386"/>
    <col min="15" max="15" width="9.140625" style="387"/>
    <col min="16" max="16" width="9.140625" style="392"/>
    <col min="17" max="17" width="9.140625" style="384"/>
    <col min="18" max="19" width="9.140625" style="399"/>
    <col min="20" max="21" width="9.140625" style="384"/>
    <col min="22" max="25" width="9.140625" style="48"/>
    <col min="26" max="16384" width="9.140625" style="384"/>
  </cols>
  <sheetData>
    <row r="2" spans="1:29" x14ac:dyDescent="0.25">
      <c r="A2" s="10" t="s">
        <v>1772</v>
      </c>
    </row>
    <row r="3" spans="1:29" x14ac:dyDescent="0.25">
      <c r="A3" s="188" t="s">
        <v>2502</v>
      </c>
      <c r="J3" s="384" t="s">
        <v>1882</v>
      </c>
      <c r="K3" s="384" t="s">
        <v>1883</v>
      </c>
      <c r="L3" s="384">
        <v>157</v>
      </c>
      <c r="M3" s="385">
        <v>3</v>
      </c>
      <c r="N3" s="386">
        <v>3</v>
      </c>
      <c r="O3" s="387">
        <v>3</v>
      </c>
      <c r="P3" s="392" t="s">
        <v>1903</v>
      </c>
    </row>
    <row r="4" spans="1:29" x14ac:dyDescent="0.25">
      <c r="A4" s="48" t="s">
        <v>42</v>
      </c>
      <c r="B4" s="50" t="s">
        <v>2700</v>
      </c>
      <c r="C4" s="50" t="s">
        <v>3399</v>
      </c>
      <c r="D4" s="70" t="s">
        <v>3028</v>
      </c>
      <c r="E4" s="70" t="s">
        <v>3399</v>
      </c>
      <c r="F4" s="49" t="s">
        <v>3074</v>
      </c>
      <c r="G4" s="49" t="s">
        <v>3399</v>
      </c>
      <c r="H4" s="48"/>
      <c r="I4" s="48" t="e">
        <f ca="1">AI_DIFF(BA_Acq!A4,BA_Disp!A4)</f>
        <v>#NAME?</v>
      </c>
      <c r="J4" s="48" t="s">
        <v>1901</v>
      </c>
      <c r="K4" s="48" t="s">
        <v>2503</v>
      </c>
      <c r="L4" s="384">
        <v>57</v>
      </c>
      <c r="M4" s="385">
        <v>7</v>
      </c>
      <c r="N4" s="386">
        <v>7</v>
      </c>
      <c r="O4" s="387">
        <v>7</v>
      </c>
      <c r="P4" s="392" t="s">
        <v>1903</v>
      </c>
      <c r="Q4" s="384" t="s">
        <v>3387</v>
      </c>
      <c r="R4" s="400" t="s">
        <v>3396</v>
      </c>
      <c r="S4" s="400" t="s">
        <v>3395</v>
      </c>
      <c r="T4" s="48" t="s">
        <v>2307</v>
      </c>
      <c r="U4" s="48" t="s">
        <v>2700</v>
      </c>
      <c r="V4" s="388" t="s">
        <v>2353</v>
      </c>
      <c r="W4" s="388" t="s">
        <v>3028</v>
      </c>
      <c r="X4" s="48" t="s">
        <v>2261</v>
      </c>
      <c r="Y4" s="48" t="s">
        <v>3074</v>
      </c>
      <c r="AA4" s="384" t="s">
        <v>3398</v>
      </c>
      <c r="AB4" s="384">
        <v>4101</v>
      </c>
      <c r="AC4" s="384" t="str">
        <f>$AA$4&amp;AB4</f>
        <v>CI4101</v>
      </c>
    </row>
    <row r="5" spans="1:29" x14ac:dyDescent="0.25">
      <c r="A5" s="48" t="s">
        <v>66</v>
      </c>
      <c r="B5" s="50" t="s">
        <v>2701</v>
      </c>
      <c r="C5" s="50" t="s">
        <v>3400</v>
      </c>
      <c r="D5" s="70" t="s">
        <v>3029</v>
      </c>
      <c r="E5" s="70" t="s">
        <v>3400</v>
      </c>
      <c r="F5" s="49" t="s">
        <v>3075</v>
      </c>
      <c r="G5" s="49" t="s">
        <v>3400</v>
      </c>
      <c r="H5" s="48"/>
      <c r="I5" s="48" t="e">
        <f ca="1">AI_DIFF(BA_Acq!A5,BA_Disp!A5)</f>
        <v>#NAME?</v>
      </c>
      <c r="J5" s="48"/>
      <c r="K5" s="48"/>
      <c r="R5" s="400" t="s">
        <v>3397</v>
      </c>
      <c r="S5" s="400"/>
      <c r="T5" s="48" t="s">
        <v>2330</v>
      </c>
      <c r="U5" s="48" t="s">
        <v>2701</v>
      </c>
      <c r="V5" s="389" t="s">
        <v>2376</v>
      </c>
      <c r="W5" s="389" t="s">
        <v>3029</v>
      </c>
      <c r="X5" s="48" t="s">
        <v>2262</v>
      </c>
      <c r="Y5" s="48" t="s">
        <v>3075</v>
      </c>
      <c r="AB5" s="384">
        <f>AB4+1</f>
        <v>4102</v>
      </c>
      <c r="AC5" s="384" t="str">
        <f t="shared" ref="AC5:AC46" si="0">$AA$4&amp;AB5</f>
        <v>CI4102</v>
      </c>
    </row>
    <row r="6" spans="1:29" x14ac:dyDescent="0.25">
      <c r="A6" s="48" t="s">
        <v>43</v>
      </c>
      <c r="B6" s="50" t="s">
        <v>2702</v>
      </c>
      <c r="C6" s="50" t="s">
        <v>3401</v>
      </c>
      <c r="D6" s="70" t="s">
        <v>3030</v>
      </c>
      <c r="E6" s="70" t="s">
        <v>3401</v>
      </c>
      <c r="F6" s="49" t="s">
        <v>3076</v>
      </c>
      <c r="G6" s="49" t="s">
        <v>3401</v>
      </c>
      <c r="H6" s="48"/>
      <c r="I6" s="48" t="e">
        <f ca="1">AI_DIFF(BA_Acq!A6,BA_Disp!A6)</f>
        <v>#NAME?</v>
      </c>
      <c r="J6" s="48"/>
      <c r="K6" s="48"/>
      <c r="M6" s="385">
        <v>7</v>
      </c>
      <c r="N6" s="386">
        <v>7</v>
      </c>
      <c r="O6" s="387">
        <v>7</v>
      </c>
      <c r="P6" s="392" t="s">
        <v>1903</v>
      </c>
      <c r="R6" s="400" t="s">
        <v>3388</v>
      </c>
      <c r="S6" s="400"/>
      <c r="T6" s="48" t="s">
        <v>2308</v>
      </c>
      <c r="U6" s="48" t="s">
        <v>2702</v>
      </c>
      <c r="V6" s="389" t="s">
        <v>2354</v>
      </c>
      <c r="W6" s="389" t="s">
        <v>3030</v>
      </c>
      <c r="X6" s="48" t="s">
        <v>2263</v>
      </c>
      <c r="Y6" s="48" t="s">
        <v>3076</v>
      </c>
      <c r="AB6" s="384">
        <f t="shared" ref="AB6:AB49" si="1">AB5+1</f>
        <v>4103</v>
      </c>
      <c r="AC6" s="384" t="str">
        <f t="shared" si="0"/>
        <v>CI4103</v>
      </c>
    </row>
    <row r="7" spans="1:29" x14ac:dyDescent="0.25">
      <c r="A7" s="48" t="s">
        <v>67</v>
      </c>
      <c r="B7" s="50" t="s">
        <v>2703</v>
      </c>
      <c r="C7" s="50" t="s">
        <v>3402</v>
      </c>
      <c r="D7" s="70" t="s">
        <v>3031</v>
      </c>
      <c r="E7" s="70" t="s">
        <v>3402</v>
      </c>
      <c r="F7" s="49" t="s">
        <v>3077</v>
      </c>
      <c r="G7" s="49" t="s">
        <v>3402</v>
      </c>
      <c r="H7" s="48"/>
      <c r="I7" s="48" t="e">
        <f ca="1">AI_DIFF(BA_Acq!A7,BA_Disp!A7)</f>
        <v>#NAME?</v>
      </c>
      <c r="J7" s="48"/>
      <c r="K7" s="48"/>
      <c r="R7" s="400" t="s">
        <v>3389</v>
      </c>
      <c r="S7" s="400"/>
      <c r="T7" s="48" t="s">
        <v>2331</v>
      </c>
      <c r="U7" s="48" t="s">
        <v>2703</v>
      </c>
      <c r="V7" s="389" t="s">
        <v>2377</v>
      </c>
      <c r="W7" s="389" t="s">
        <v>3031</v>
      </c>
      <c r="X7" s="48" t="s">
        <v>2264</v>
      </c>
      <c r="Y7" s="48" t="s">
        <v>3077</v>
      </c>
      <c r="AB7" s="384">
        <f t="shared" si="1"/>
        <v>4104</v>
      </c>
      <c r="AC7" s="384" t="str">
        <f t="shared" si="0"/>
        <v>CI4104</v>
      </c>
    </row>
    <row r="8" spans="1:29" x14ac:dyDescent="0.25">
      <c r="A8" s="48" t="s">
        <v>44</v>
      </c>
      <c r="B8" s="50" t="s">
        <v>2704</v>
      </c>
      <c r="C8" s="50" t="s">
        <v>3403</v>
      </c>
      <c r="D8" s="70" t="s">
        <v>3032</v>
      </c>
      <c r="E8" s="70" t="s">
        <v>3403</v>
      </c>
      <c r="F8" s="49" t="s">
        <v>3078</v>
      </c>
      <c r="G8" s="49" t="s">
        <v>3403</v>
      </c>
      <c r="H8" s="48"/>
      <c r="I8" s="48" t="e">
        <f ca="1">AI_DIFF(BA_Acq!A8,BA_Disp!A8)</f>
        <v>#NAME?</v>
      </c>
      <c r="J8" s="48"/>
      <c r="K8" s="48"/>
      <c r="M8" s="385">
        <v>7</v>
      </c>
      <c r="N8" s="386">
        <v>7</v>
      </c>
      <c r="O8" s="387">
        <v>7</v>
      </c>
      <c r="P8" s="392" t="s">
        <v>1903</v>
      </c>
      <c r="R8" s="400" t="s">
        <v>3390</v>
      </c>
      <c r="S8" s="400"/>
      <c r="T8" s="48" t="s">
        <v>2309</v>
      </c>
      <c r="U8" s="48" t="s">
        <v>2704</v>
      </c>
      <c r="V8" s="389" t="s">
        <v>2355</v>
      </c>
      <c r="W8" s="389" t="s">
        <v>3032</v>
      </c>
      <c r="X8" s="48" t="s">
        <v>2265</v>
      </c>
      <c r="Y8" s="48" t="s">
        <v>3078</v>
      </c>
      <c r="AB8" s="384">
        <f t="shared" si="1"/>
        <v>4105</v>
      </c>
      <c r="AC8" s="384" t="str">
        <f t="shared" si="0"/>
        <v>CI4105</v>
      </c>
    </row>
    <row r="9" spans="1:29" x14ac:dyDescent="0.25">
      <c r="A9" s="48" t="s">
        <v>68</v>
      </c>
      <c r="B9" s="50" t="s">
        <v>2705</v>
      </c>
      <c r="C9" s="50" t="s">
        <v>3404</v>
      </c>
      <c r="D9" s="70" t="s">
        <v>3033</v>
      </c>
      <c r="E9" s="70" t="s">
        <v>3404</v>
      </c>
      <c r="F9" s="49" t="s">
        <v>3079</v>
      </c>
      <c r="G9" s="49" t="s">
        <v>3404</v>
      </c>
      <c r="H9" s="48"/>
      <c r="I9" s="48" t="e">
        <f ca="1">AI_DIFF(BA_Acq!A9,BA_Disp!A9)</f>
        <v>#NAME?</v>
      </c>
      <c r="J9" s="48"/>
      <c r="K9" s="48"/>
      <c r="R9" s="400" t="s">
        <v>3391</v>
      </c>
      <c r="S9" s="400"/>
      <c r="T9" s="48" t="s">
        <v>2332</v>
      </c>
      <c r="U9" s="48" t="s">
        <v>2705</v>
      </c>
      <c r="V9" s="389" t="s">
        <v>2378</v>
      </c>
      <c r="W9" s="389" t="s">
        <v>3033</v>
      </c>
      <c r="X9" s="48" t="s">
        <v>2266</v>
      </c>
      <c r="Y9" s="48" t="s">
        <v>3079</v>
      </c>
      <c r="AB9" s="384">
        <f t="shared" si="1"/>
        <v>4106</v>
      </c>
      <c r="AC9" s="384" t="str">
        <f t="shared" si="0"/>
        <v>CI4106</v>
      </c>
    </row>
    <row r="10" spans="1:29" x14ac:dyDescent="0.25">
      <c r="A10" s="48" t="s">
        <v>45</v>
      </c>
      <c r="B10" s="50" t="s">
        <v>2706</v>
      </c>
      <c r="C10" s="50" t="s">
        <v>3405</v>
      </c>
      <c r="D10" s="70" t="s">
        <v>3034</v>
      </c>
      <c r="E10" s="70" t="s">
        <v>3405</v>
      </c>
      <c r="F10" s="49" t="s">
        <v>3080</v>
      </c>
      <c r="G10" s="49" t="s">
        <v>3405</v>
      </c>
      <c r="H10" s="48"/>
      <c r="I10" s="48" t="e">
        <f ca="1">AI_DIFF(BA_Acq!A10,BA_Disp!A10)</f>
        <v>#NAME?</v>
      </c>
      <c r="J10" s="48"/>
      <c r="K10" s="48"/>
      <c r="M10" s="385">
        <v>7</v>
      </c>
      <c r="N10" s="386">
        <v>7</v>
      </c>
      <c r="O10" s="387">
        <v>7</v>
      </c>
      <c r="P10" s="392" t="s">
        <v>1903</v>
      </c>
      <c r="R10" s="400" t="s">
        <v>3392</v>
      </c>
      <c r="S10" s="400"/>
      <c r="T10" s="48" t="s">
        <v>2310</v>
      </c>
      <c r="U10" s="48" t="s">
        <v>2706</v>
      </c>
      <c r="V10" s="389" t="s">
        <v>2356</v>
      </c>
      <c r="W10" s="389" t="s">
        <v>3034</v>
      </c>
      <c r="X10" s="48" t="s">
        <v>2267</v>
      </c>
      <c r="Y10" s="48" t="s">
        <v>3080</v>
      </c>
      <c r="AB10" s="384">
        <f t="shared" si="1"/>
        <v>4107</v>
      </c>
      <c r="AC10" s="384" t="str">
        <f t="shared" si="0"/>
        <v>CI4107</v>
      </c>
    </row>
    <row r="11" spans="1:29" x14ac:dyDescent="0.25">
      <c r="A11" s="48" t="s">
        <v>69</v>
      </c>
      <c r="B11" s="50" t="s">
        <v>2707</v>
      </c>
      <c r="C11" s="50" t="s">
        <v>3406</v>
      </c>
      <c r="D11" s="70" t="s">
        <v>3035</v>
      </c>
      <c r="E11" s="70" t="s">
        <v>3406</v>
      </c>
      <c r="F11" s="49" t="s">
        <v>3081</v>
      </c>
      <c r="G11" s="49" t="s">
        <v>3406</v>
      </c>
      <c r="H11" s="48"/>
      <c r="I11" s="48" t="e">
        <f ca="1">AI_DIFF(BA_Acq!A11,BA_Disp!A11)</f>
        <v>#NAME?</v>
      </c>
      <c r="J11" s="48"/>
      <c r="K11" s="48"/>
      <c r="R11" s="400" t="s">
        <v>3393</v>
      </c>
      <c r="S11" s="400"/>
      <c r="T11" s="48" t="s">
        <v>2333</v>
      </c>
      <c r="U11" s="48" t="s">
        <v>2707</v>
      </c>
      <c r="V11" s="389" t="s">
        <v>2379</v>
      </c>
      <c r="W11" s="389" t="s">
        <v>3035</v>
      </c>
      <c r="X11" s="48" t="s">
        <v>2268</v>
      </c>
      <c r="Y11" s="48" t="s">
        <v>3081</v>
      </c>
      <c r="AB11" s="384">
        <f t="shared" si="1"/>
        <v>4108</v>
      </c>
      <c r="AC11" s="384" t="str">
        <f t="shared" si="0"/>
        <v>CI4108</v>
      </c>
    </row>
    <row r="12" spans="1:29" x14ac:dyDescent="0.25">
      <c r="A12" s="48" t="s">
        <v>46</v>
      </c>
      <c r="B12" s="50" t="s">
        <v>2708</v>
      </c>
      <c r="C12" s="50" t="s">
        <v>3407</v>
      </c>
      <c r="D12" s="70" t="s">
        <v>3036</v>
      </c>
      <c r="E12" s="70" t="s">
        <v>3407</v>
      </c>
      <c r="F12" s="49" t="s">
        <v>3082</v>
      </c>
      <c r="G12" s="49" t="s">
        <v>3407</v>
      </c>
      <c r="H12" s="48"/>
      <c r="I12" s="48" t="e">
        <f ca="1">AI_DIFF(BA_Acq!A12,BA_Disp!A12)</f>
        <v>#NAME?</v>
      </c>
      <c r="J12" s="48"/>
      <c r="K12" s="48"/>
      <c r="M12" s="385">
        <v>7</v>
      </c>
      <c r="N12" s="386">
        <v>7</v>
      </c>
      <c r="O12" s="387">
        <v>7</v>
      </c>
      <c r="P12" s="392" t="s">
        <v>1903</v>
      </c>
      <c r="R12" s="400" t="s">
        <v>3394</v>
      </c>
      <c r="S12" s="400"/>
      <c r="T12" s="48" t="s">
        <v>2311</v>
      </c>
      <c r="U12" s="48" t="s">
        <v>2708</v>
      </c>
      <c r="V12" s="389" t="s">
        <v>2357</v>
      </c>
      <c r="W12" s="389" t="s">
        <v>3036</v>
      </c>
      <c r="X12" s="48" t="s">
        <v>2269</v>
      </c>
      <c r="Y12" s="48" t="s">
        <v>3082</v>
      </c>
      <c r="AB12" s="384">
        <f t="shared" si="1"/>
        <v>4109</v>
      </c>
      <c r="AC12" s="384" t="str">
        <f t="shared" si="0"/>
        <v>CI4109</v>
      </c>
    </row>
    <row r="13" spans="1:29" x14ac:dyDescent="0.25">
      <c r="A13" s="48" t="s">
        <v>70</v>
      </c>
      <c r="B13" s="50" t="s">
        <v>2709</v>
      </c>
      <c r="C13" s="50" t="s">
        <v>3408</v>
      </c>
      <c r="D13" s="70" t="s">
        <v>3037</v>
      </c>
      <c r="E13" s="70" t="s">
        <v>3408</v>
      </c>
      <c r="F13" s="49" t="s">
        <v>3083</v>
      </c>
      <c r="G13" s="49" t="s">
        <v>3408</v>
      </c>
      <c r="H13" s="48"/>
      <c r="I13" s="48" t="e">
        <f ca="1">AI_DIFF(BA_Acq!A13,BA_Disp!A13)</f>
        <v>#NAME?</v>
      </c>
      <c r="J13" s="48"/>
      <c r="K13" s="48"/>
      <c r="R13" s="400">
        <v>10</v>
      </c>
      <c r="S13" s="400"/>
      <c r="T13" s="48" t="s">
        <v>2334</v>
      </c>
      <c r="U13" s="48" t="s">
        <v>2709</v>
      </c>
      <c r="V13" s="389" t="s">
        <v>2380</v>
      </c>
      <c r="W13" s="389" t="s">
        <v>3037</v>
      </c>
      <c r="X13" s="48" t="s">
        <v>2270</v>
      </c>
      <c r="Y13" s="48" t="s">
        <v>3083</v>
      </c>
      <c r="AB13" s="384">
        <f t="shared" si="1"/>
        <v>4110</v>
      </c>
      <c r="AC13" s="384" t="str">
        <f t="shared" si="0"/>
        <v>CI4110</v>
      </c>
    </row>
    <row r="14" spans="1:29" x14ac:dyDescent="0.25">
      <c r="A14" s="48" t="s">
        <v>47</v>
      </c>
      <c r="B14" s="50" t="s">
        <v>2710</v>
      </c>
      <c r="C14" s="50" t="s">
        <v>3409</v>
      </c>
      <c r="D14" s="70" t="s">
        <v>3038</v>
      </c>
      <c r="E14" s="70" t="s">
        <v>3409</v>
      </c>
      <c r="F14" s="49" t="s">
        <v>3084</v>
      </c>
      <c r="G14" s="49" t="s">
        <v>3409</v>
      </c>
      <c r="H14" s="48"/>
      <c r="I14" s="48" t="e">
        <f ca="1">AI_DIFF(BA_Acq!A14,BA_Disp!A14)</f>
        <v>#NAME?</v>
      </c>
      <c r="J14" s="48"/>
      <c r="K14" s="48"/>
      <c r="M14" s="385">
        <v>7</v>
      </c>
      <c r="N14" s="386">
        <v>7</v>
      </c>
      <c r="O14" s="387">
        <v>7</v>
      </c>
      <c r="P14" s="392" t="s">
        <v>1903</v>
      </c>
      <c r="R14" s="400">
        <v>11</v>
      </c>
      <c r="S14" s="400"/>
      <c r="T14" s="48" t="s">
        <v>2312</v>
      </c>
      <c r="U14" s="48" t="s">
        <v>2710</v>
      </c>
      <c r="V14" s="389" t="s">
        <v>2358</v>
      </c>
      <c r="W14" s="389" t="s">
        <v>3038</v>
      </c>
      <c r="X14" s="48" t="s">
        <v>2271</v>
      </c>
      <c r="Y14" s="48" t="s">
        <v>3084</v>
      </c>
      <c r="AB14" s="384">
        <f t="shared" si="1"/>
        <v>4111</v>
      </c>
      <c r="AC14" s="384" t="str">
        <f t="shared" si="0"/>
        <v>CI4111</v>
      </c>
    </row>
    <row r="15" spans="1:29" x14ac:dyDescent="0.25">
      <c r="A15" s="48" t="s">
        <v>71</v>
      </c>
      <c r="B15" s="50" t="s">
        <v>2711</v>
      </c>
      <c r="C15" s="50" t="s">
        <v>3410</v>
      </c>
      <c r="D15" s="70" t="s">
        <v>3039</v>
      </c>
      <c r="E15" s="70" t="s">
        <v>3410</v>
      </c>
      <c r="F15" s="49" t="s">
        <v>3085</v>
      </c>
      <c r="G15" s="49" t="s">
        <v>3410</v>
      </c>
      <c r="H15" s="48"/>
      <c r="I15" s="48" t="e">
        <f ca="1">AI_DIFF(BA_Acq!A15,BA_Disp!A15)</f>
        <v>#NAME?</v>
      </c>
      <c r="J15" s="48"/>
      <c r="K15" s="48"/>
      <c r="R15" s="400">
        <v>12</v>
      </c>
      <c r="S15" s="400"/>
      <c r="T15" s="48" t="s">
        <v>2335</v>
      </c>
      <c r="U15" s="48" t="s">
        <v>2711</v>
      </c>
      <c r="V15" s="389" t="s">
        <v>2381</v>
      </c>
      <c r="W15" s="389" t="s">
        <v>3039</v>
      </c>
      <c r="X15" s="48" t="s">
        <v>2272</v>
      </c>
      <c r="Y15" s="48" t="s">
        <v>3085</v>
      </c>
      <c r="AB15" s="384">
        <f t="shared" si="1"/>
        <v>4112</v>
      </c>
      <c r="AC15" s="384" t="str">
        <f t="shared" si="0"/>
        <v>CI4112</v>
      </c>
    </row>
    <row r="16" spans="1:29" x14ac:dyDescent="0.25">
      <c r="A16" s="48" t="s">
        <v>48</v>
      </c>
      <c r="B16" s="50" t="s">
        <v>2712</v>
      </c>
      <c r="C16" s="50" t="s">
        <v>3411</v>
      </c>
      <c r="D16" s="70" t="s">
        <v>3040</v>
      </c>
      <c r="E16" s="70" t="s">
        <v>3411</v>
      </c>
      <c r="F16" s="49" t="s">
        <v>3086</v>
      </c>
      <c r="G16" s="49" t="s">
        <v>3411</v>
      </c>
      <c r="H16" s="48"/>
      <c r="I16" s="48" t="e">
        <f ca="1">AI_DIFF(BA_Acq!A16,BA_Disp!A16)</f>
        <v>#NAME?</v>
      </c>
      <c r="J16" s="48"/>
      <c r="K16" s="48"/>
      <c r="M16" s="385">
        <v>7</v>
      </c>
      <c r="N16" s="386">
        <v>7</v>
      </c>
      <c r="O16" s="387">
        <v>7</v>
      </c>
      <c r="P16" s="392" t="s">
        <v>1903</v>
      </c>
      <c r="R16" s="400">
        <v>13</v>
      </c>
      <c r="S16" s="400"/>
      <c r="T16" s="48" t="s">
        <v>2313</v>
      </c>
      <c r="U16" s="48" t="s">
        <v>2712</v>
      </c>
      <c r="V16" s="389" t="s">
        <v>2359</v>
      </c>
      <c r="W16" s="389" t="s">
        <v>3040</v>
      </c>
      <c r="X16" s="48" t="s">
        <v>2273</v>
      </c>
      <c r="Y16" s="48" t="s">
        <v>3086</v>
      </c>
      <c r="AB16" s="384">
        <f t="shared" si="1"/>
        <v>4113</v>
      </c>
      <c r="AC16" s="384" t="str">
        <f t="shared" si="0"/>
        <v>CI4113</v>
      </c>
    </row>
    <row r="17" spans="1:29" x14ac:dyDescent="0.25">
      <c r="A17" s="48" t="s">
        <v>72</v>
      </c>
      <c r="B17" s="50" t="s">
        <v>2713</v>
      </c>
      <c r="C17" s="50" t="s">
        <v>3412</v>
      </c>
      <c r="D17" s="70" t="s">
        <v>3041</v>
      </c>
      <c r="E17" s="70" t="s">
        <v>3412</v>
      </c>
      <c r="F17" s="49" t="s">
        <v>3087</v>
      </c>
      <c r="G17" s="49" t="s">
        <v>3412</v>
      </c>
      <c r="H17" s="48"/>
      <c r="I17" s="48" t="e">
        <f ca="1">AI_DIFF(BA_Acq!A17,BA_Disp!A17)</f>
        <v>#NAME?</v>
      </c>
      <c r="J17" s="48"/>
      <c r="K17" s="48"/>
      <c r="R17" s="400">
        <v>14</v>
      </c>
      <c r="S17" s="400"/>
      <c r="T17" s="48" t="s">
        <v>2336</v>
      </c>
      <c r="U17" s="48" t="s">
        <v>2713</v>
      </c>
      <c r="V17" s="389" t="s">
        <v>2382</v>
      </c>
      <c r="W17" s="389" t="s">
        <v>3041</v>
      </c>
      <c r="X17" s="48" t="s">
        <v>2274</v>
      </c>
      <c r="Y17" s="48" t="s">
        <v>3087</v>
      </c>
      <c r="AB17" s="384">
        <f t="shared" si="1"/>
        <v>4114</v>
      </c>
      <c r="AC17" s="384" t="str">
        <f t="shared" si="0"/>
        <v>CI4114</v>
      </c>
    </row>
    <row r="18" spans="1:29" x14ac:dyDescent="0.25">
      <c r="A18" s="48" t="s">
        <v>49</v>
      </c>
      <c r="B18" s="50" t="s">
        <v>2714</v>
      </c>
      <c r="C18" s="50" t="s">
        <v>3413</v>
      </c>
      <c r="D18" s="70" t="s">
        <v>3042</v>
      </c>
      <c r="E18" s="70" t="s">
        <v>3413</v>
      </c>
      <c r="F18" s="49" t="s">
        <v>3088</v>
      </c>
      <c r="G18" s="49" t="s">
        <v>3413</v>
      </c>
      <c r="H18" s="48"/>
      <c r="I18" s="48" t="e">
        <f ca="1">AI_DIFF(BA_Acq!A18,BA_Disp!A18)</f>
        <v>#NAME?</v>
      </c>
      <c r="J18" s="48"/>
      <c r="K18" s="48"/>
      <c r="M18" s="385">
        <v>7</v>
      </c>
      <c r="N18" s="386">
        <v>7</v>
      </c>
      <c r="O18" s="387">
        <v>7</v>
      </c>
      <c r="P18" s="392" t="s">
        <v>1903</v>
      </c>
      <c r="R18" s="400">
        <v>15</v>
      </c>
      <c r="S18" s="400"/>
      <c r="T18" s="48" t="s">
        <v>2314</v>
      </c>
      <c r="U18" s="48" t="s">
        <v>2714</v>
      </c>
      <c r="V18" s="389" t="s">
        <v>2360</v>
      </c>
      <c r="W18" s="389" t="s">
        <v>3042</v>
      </c>
      <c r="X18" s="48" t="s">
        <v>2275</v>
      </c>
      <c r="Y18" s="48" t="s">
        <v>3088</v>
      </c>
      <c r="AB18" s="384">
        <f t="shared" si="1"/>
        <v>4115</v>
      </c>
      <c r="AC18" s="384" t="str">
        <f t="shared" si="0"/>
        <v>CI4115</v>
      </c>
    </row>
    <row r="19" spans="1:29" x14ac:dyDescent="0.25">
      <c r="A19" s="48" t="s">
        <v>73</v>
      </c>
      <c r="B19" s="50" t="s">
        <v>2715</v>
      </c>
      <c r="C19" s="50" t="s">
        <v>3414</v>
      </c>
      <c r="D19" s="70" t="s">
        <v>3043</v>
      </c>
      <c r="E19" s="70" t="s">
        <v>3414</v>
      </c>
      <c r="F19" s="49" t="s">
        <v>3089</v>
      </c>
      <c r="G19" s="49" t="s">
        <v>3414</v>
      </c>
      <c r="H19" s="48"/>
      <c r="I19" s="48" t="e">
        <f ca="1">AI_DIFF(BA_Acq!A19,BA_Disp!A19)</f>
        <v>#NAME?</v>
      </c>
      <c r="J19" s="48"/>
      <c r="K19" s="48"/>
      <c r="R19" s="400">
        <v>16</v>
      </c>
      <c r="S19" s="400"/>
      <c r="T19" s="48" t="s">
        <v>2337</v>
      </c>
      <c r="U19" s="48" t="s">
        <v>2715</v>
      </c>
      <c r="V19" s="389" t="s">
        <v>2383</v>
      </c>
      <c r="W19" s="389" t="s">
        <v>3043</v>
      </c>
      <c r="X19" s="48" t="s">
        <v>2276</v>
      </c>
      <c r="Y19" s="48" t="s">
        <v>3089</v>
      </c>
      <c r="AB19" s="384">
        <f t="shared" si="1"/>
        <v>4116</v>
      </c>
      <c r="AC19" s="384" t="str">
        <f t="shared" si="0"/>
        <v>CI4116</v>
      </c>
    </row>
    <row r="20" spans="1:29" x14ac:dyDescent="0.25">
      <c r="A20" s="48" t="s">
        <v>50</v>
      </c>
      <c r="B20" s="50" t="s">
        <v>2716</v>
      </c>
      <c r="C20" s="50" t="s">
        <v>3415</v>
      </c>
      <c r="D20" s="70" t="s">
        <v>3044</v>
      </c>
      <c r="E20" s="70" t="s">
        <v>3415</v>
      </c>
      <c r="F20" s="49" t="s">
        <v>3090</v>
      </c>
      <c r="G20" s="49" t="s">
        <v>3415</v>
      </c>
      <c r="H20" s="48"/>
      <c r="I20" s="48" t="e">
        <f ca="1">AI_DIFF(BA_Acq!A20,BA_Disp!A20)</f>
        <v>#NAME?</v>
      </c>
      <c r="J20" s="48"/>
      <c r="K20" s="48"/>
      <c r="M20" s="385">
        <v>7</v>
      </c>
      <c r="N20" s="386">
        <v>7</v>
      </c>
      <c r="O20" s="387">
        <v>7</v>
      </c>
      <c r="P20" s="392" t="s">
        <v>1903</v>
      </c>
      <c r="R20" s="400">
        <v>17</v>
      </c>
      <c r="S20" s="400"/>
      <c r="T20" s="48" t="s">
        <v>2315</v>
      </c>
      <c r="U20" s="48" t="s">
        <v>2716</v>
      </c>
      <c r="V20" s="389" t="s">
        <v>2361</v>
      </c>
      <c r="W20" s="389" t="s">
        <v>3044</v>
      </c>
      <c r="X20" s="48" t="s">
        <v>2277</v>
      </c>
      <c r="Y20" s="48" t="s">
        <v>3090</v>
      </c>
      <c r="AB20" s="384">
        <f t="shared" si="1"/>
        <v>4117</v>
      </c>
      <c r="AC20" s="384" t="str">
        <f t="shared" si="0"/>
        <v>CI4117</v>
      </c>
    </row>
    <row r="21" spans="1:29" x14ac:dyDescent="0.25">
      <c r="A21" s="48" t="s">
        <v>74</v>
      </c>
      <c r="B21" s="50" t="s">
        <v>2717</v>
      </c>
      <c r="C21" s="50" t="s">
        <v>3416</v>
      </c>
      <c r="D21" s="70" t="s">
        <v>3045</v>
      </c>
      <c r="E21" s="70" t="s">
        <v>3416</v>
      </c>
      <c r="F21" s="49" t="s">
        <v>3091</v>
      </c>
      <c r="G21" s="49" t="s">
        <v>3416</v>
      </c>
      <c r="H21" s="48"/>
      <c r="I21" s="48" t="e">
        <f ca="1">AI_DIFF(BA_Acq!A21,BA_Disp!A21)</f>
        <v>#NAME?</v>
      </c>
      <c r="J21" s="48"/>
      <c r="K21" s="48"/>
      <c r="R21" s="400">
        <v>18</v>
      </c>
      <c r="S21" s="400"/>
      <c r="T21" s="48" t="s">
        <v>2338</v>
      </c>
      <c r="U21" s="48" t="s">
        <v>2717</v>
      </c>
      <c r="V21" s="389" t="s">
        <v>2384</v>
      </c>
      <c r="W21" s="389" t="s">
        <v>3045</v>
      </c>
      <c r="X21" s="48" t="s">
        <v>2278</v>
      </c>
      <c r="Y21" s="48" t="s">
        <v>3091</v>
      </c>
      <c r="AB21" s="384">
        <f t="shared" si="1"/>
        <v>4118</v>
      </c>
      <c r="AC21" s="384" t="str">
        <f t="shared" si="0"/>
        <v>CI4118</v>
      </c>
    </row>
    <row r="22" spans="1:29" x14ac:dyDescent="0.25">
      <c r="A22" s="48" t="s">
        <v>51</v>
      </c>
      <c r="B22" s="50" t="s">
        <v>2718</v>
      </c>
      <c r="C22" s="50" t="s">
        <v>3417</v>
      </c>
      <c r="D22" s="70" t="s">
        <v>3046</v>
      </c>
      <c r="E22" s="70" t="s">
        <v>3417</v>
      </c>
      <c r="F22" s="49" t="s">
        <v>3092</v>
      </c>
      <c r="G22" s="49" t="s">
        <v>3417</v>
      </c>
      <c r="H22" s="48"/>
      <c r="I22" s="48" t="e">
        <f ca="1">AI_DIFF(BA_Acq!A22,BA_Disp!A22)</f>
        <v>#NAME?</v>
      </c>
      <c r="J22" s="48"/>
      <c r="K22" s="48"/>
      <c r="M22" s="385">
        <v>7</v>
      </c>
      <c r="N22" s="386">
        <v>7</v>
      </c>
      <c r="O22" s="387">
        <v>7</v>
      </c>
      <c r="P22" s="392" t="s">
        <v>1903</v>
      </c>
      <c r="R22" s="400">
        <v>19</v>
      </c>
      <c r="S22" s="400"/>
      <c r="T22" s="48" t="s">
        <v>2316</v>
      </c>
      <c r="U22" s="48" t="s">
        <v>2718</v>
      </c>
      <c r="V22" s="389" t="s">
        <v>2362</v>
      </c>
      <c r="W22" s="389" t="s">
        <v>3046</v>
      </c>
      <c r="X22" s="48" t="s">
        <v>2279</v>
      </c>
      <c r="Y22" s="48" t="s">
        <v>3092</v>
      </c>
      <c r="AB22" s="384">
        <f t="shared" si="1"/>
        <v>4119</v>
      </c>
      <c r="AC22" s="384" t="str">
        <f t="shared" si="0"/>
        <v>CI4119</v>
      </c>
    </row>
    <row r="23" spans="1:29" x14ac:dyDescent="0.25">
      <c r="A23" s="48" t="s">
        <v>75</v>
      </c>
      <c r="B23" s="50" t="s">
        <v>2719</v>
      </c>
      <c r="C23" s="50" t="s">
        <v>3418</v>
      </c>
      <c r="D23" s="70" t="s">
        <v>3047</v>
      </c>
      <c r="E23" s="70" t="s">
        <v>3418</v>
      </c>
      <c r="F23" s="49" t="s">
        <v>3093</v>
      </c>
      <c r="G23" s="49" t="s">
        <v>3418</v>
      </c>
      <c r="H23" s="48"/>
      <c r="I23" s="48" t="e">
        <f ca="1">AI_DIFF(BA_Acq!A23,BA_Disp!A23)</f>
        <v>#NAME?</v>
      </c>
      <c r="J23" s="48"/>
      <c r="K23" s="48"/>
      <c r="R23" s="400">
        <v>20</v>
      </c>
      <c r="S23" s="400"/>
      <c r="T23" s="48" t="s">
        <v>2339</v>
      </c>
      <c r="U23" s="48" t="s">
        <v>2719</v>
      </c>
      <c r="V23" s="389" t="s">
        <v>2385</v>
      </c>
      <c r="W23" s="389" t="s">
        <v>3047</v>
      </c>
      <c r="X23" s="48" t="s">
        <v>2280</v>
      </c>
      <c r="Y23" s="48" t="s">
        <v>3093</v>
      </c>
      <c r="AB23" s="384">
        <f t="shared" si="1"/>
        <v>4120</v>
      </c>
      <c r="AC23" s="384" t="str">
        <f t="shared" si="0"/>
        <v>CI4120</v>
      </c>
    </row>
    <row r="24" spans="1:29" x14ac:dyDescent="0.25">
      <c r="A24" s="48" t="s">
        <v>52</v>
      </c>
      <c r="B24" s="50" t="s">
        <v>2720</v>
      </c>
      <c r="C24" s="50" t="s">
        <v>3419</v>
      </c>
      <c r="D24" s="70" t="s">
        <v>3048</v>
      </c>
      <c r="E24" s="70" t="s">
        <v>3419</v>
      </c>
      <c r="F24" s="49" t="s">
        <v>3094</v>
      </c>
      <c r="G24" s="49" t="s">
        <v>3419</v>
      </c>
      <c r="H24" s="48"/>
      <c r="I24" s="48" t="e">
        <f ca="1">AI_DIFF(BA_Acq!A24,BA_Disp!A24)</f>
        <v>#NAME?</v>
      </c>
      <c r="J24" s="48"/>
      <c r="K24" s="48"/>
      <c r="M24" s="385">
        <v>7</v>
      </c>
      <c r="N24" s="386">
        <v>7</v>
      </c>
      <c r="O24" s="387">
        <v>7</v>
      </c>
      <c r="P24" s="392" t="s">
        <v>1903</v>
      </c>
      <c r="R24" s="400">
        <v>21</v>
      </c>
      <c r="S24" s="400"/>
      <c r="T24" s="48" t="s">
        <v>2317</v>
      </c>
      <c r="U24" s="48" t="s">
        <v>2720</v>
      </c>
      <c r="V24" s="389" t="s">
        <v>2363</v>
      </c>
      <c r="W24" s="389" t="s">
        <v>3048</v>
      </c>
      <c r="X24" s="48" t="s">
        <v>2281</v>
      </c>
      <c r="Y24" s="48" t="s">
        <v>3094</v>
      </c>
      <c r="AB24" s="384">
        <f t="shared" si="1"/>
        <v>4121</v>
      </c>
      <c r="AC24" s="384" t="str">
        <f t="shared" si="0"/>
        <v>CI4121</v>
      </c>
    </row>
    <row r="25" spans="1:29" x14ac:dyDescent="0.25">
      <c r="A25" s="48" t="s">
        <v>76</v>
      </c>
      <c r="B25" s="50" t="s">
        <v>2721</v>
      </c>
      <c r="C25" s="50" t="s">
        <v>3420</v>
      </c>
      <c r="D25" s="70" t="s">
        <v>3049</v>
      </c>
      <c r="E25" s="70" t="s">
        <v>3420</v>
      </c>
      <c r="F25" s="49" t="s">
        <v>3095</v>
      </c>
      <c r="G25" s="49" t="s">
        <v>3420</v>
      </c>
      <c r="H25" s="48"/>
      <c r="I25" s="48" t="e">
        <f ca="1">AI_DIFF(BA_Acq!A25,BA_Disp!A25)</f>
        <v>#NAME?</v>
      </c>
      <c r="J25" s="48"/>
      <c r="K25" s="48"/>
      <c r="R25" s="400">
        <v>22</v>
      </c>
      <c r="S25" s="400"/>
      <c r="T25" s="48" t="s">
        <v>2340</v>
      </c>
      <c r="U25" s="48" t="s">
        <v>2721</v>
      </c>
      <c r="V25" s="389" t="s">
        <v>2386</v>
      </c>
      <c r="W25" s="389" t="s">
        <v>3049</v>
      </c>
      <c r="X25" s="48" t="s">
        <v>2282</v>
      </c>
      <c r="Y25" s="48" t="s">
        <v>3095</v>
      </c>
      <c r="AB25" s="384">
        <f t="shared" si="1"/>
        <v>4122</v>
      </c>
      <c r="AC25" s="384" t="str">
        <f t="shared" si="0"/>
        <v>CI4122</v>
      </c>
    </row>
    <row r="26" spans="1:29" x14ac:dyDescent="0.25">
      <c r="A26" s="48" t="s">
        <v>53</v>
      </c>
      <c r="B26" s="50" t="s">
        <v>2722</v>
      </c>
      <c r="C26" s="50" t="s">
        <v>3421</v>
      </c>
      <c r="D26" s="70" t="s">
        <v>3050</v>
      </c>
      <c r="E26" s="70" t="s">
        <v>3421</v>
      </c>
      <c r="F26" s="49" t="s">
        <v>3096</v>
      </c>
      <c r="G26" s="49" t="s">
        <v>3421</v>
      </c>
      <c r="H26" s="48"/>
      <c r="I26" s="48" t="e">
        <f ca="1">AI_DIFF(BA_Acq!A26,BA_Disp!A26)</f>
        <v>#NAME?</v>
      </c>
      <c r="J26" s="48"/>
      <c r="K26" s="48"/>
      <c r="M26" s="385">
        <v>7</v>
      </c>
      <c r="N26" s="386">
        <v>7</v>
      </c>
      <c r="O26" s="387">
        <v>7</v>
      </c>
      <c r="P26" s="392" t="s">
        <v>1903</v>
      </c>
      <c r="R26" s="400">
        <v>23</v>
      </c>
      <c r="S26" s="400"/>
      <c r="T26" s="48" t="s">
        <v>2318</v>
      </c>
      <c r="U26" s="48" t="s">
        <v>2722</v>
      </c>
      <c r="V26" s="389" t="s">
        <v>2364</v>
      </c>
      <c r="W26" s="389" t="s">
        <v>3050</v>
      </c>
      <c r="X26" s="48" t="s">
        <v>2283</v>
      </c>
      <c r="Y26" s="48" t="s">
        <v>3096</v>
      </c>
      <c r="AB26" s="384">
        <f t="shared" si="1"/>
        <v>4123</v>
      </c>
      <c r="AC26" s="384" t="str">
        <f t="shared" si="0"/>
        <v>CI4123</v>
      </c>
    </row>
    <row r="27" spans="1:29" x14ac:dyDescent="0.25">
      <c r="A27" s="48" t="s">
        <v>77</v>
      </c>
      <c r="B27" s="50" t="s">
        <v>2723</v>
      </c>
      <c r="C27" s="50" t="s">
        <v>3422</v>
      </c>
      <c r="D27" s="70" t="s">
        <v>3051</v>
      </c>
      <c r="E27" s="70" t="s">
        <v>3422</v>
      </c>
      <c r="F27" s="49" t="s">
        <v>3097</v>
      </c>
      <c r="G27" s="49" t="s">
        <v>3422</v>
      </c>
      <c r="H27" s="48"/>
      <c r="I27" s="48" t="e">
        <f ca="1">AI_DIFF(BA_Acq!A27,BA_Disp!A27)</f>
        <v>#NAME?</v>
      </c>
      <c r="J27" s="48"/>
      <c r="K27" s="48"/>
      <c r="R27" s="400">
        <v>24</v>
      </c>
      <c r="S27" s="400"/>
      <c r="T27" s="48" t="s">
        <v>2341</v>
      </c>
      <c r="U27" s="48" t="s">
        <v>2723</v>
      </c>
      <c r="V27" s="389" t="s">
        <v>2387</v>
      </c>
      <c r="W27" s="389" t="s">
        <v>3051</v>
      </c>
      <c r="X27" s="48" t="s">
        <v>2284</v>
      </c>
      <c r="Y27" s="48" t="s">
        <v>3097</v>
      </c>
      <c r="AB27" s="384">
        <f t="shared" si="1"/>
        <v>4124</v>
      </c>
      <c r="AC27" s="384" t="str">
        <f t="shared" si="0"/>
        <v>CI4124</v>
      </c>
    </row>
    <row r="28" spans="1:29" x14ac:dyDescent="0.25">
      <c r="A28" s="48" t="s">
        <v>54</v>
      </c>
      <c r="B28" s="50" t="s">
        <v>2724</v>
      </c>
      <c r="C28" s="50" t="s">
        <v>3423</v>
      </c>
      <c r="D28" s="70" t="s">
        <v>3052</v>
      </c>
      <c r="E28" s="70" t="s">
        <v>3423</v>
      </c>
      <c r="F28" s="49" t="s">
        <v>3098</v>
      </c>
      <c r="G28" s="49" t="s">
        <v>3423</v>
      </c>
      <c r="H28" s="48"/>
      <c r="I28" s="48" t="e">
        <f ca="1">AI_DIFF(BA_Acq!A28,BA_Disp!A28)</f>
        <v>#NAME?</v>
      </c>
      <c r="J28" s="48"/>
      <c r="K28" s="48"/>
      <c r="M28" s="385">
        <v>7</v>
      </c>
      <c r="N28" s="386">
        <v>7</v>
      </c>
      <c r="O28" s="387">
        <v>7</v>
      </c>
      <c r="P28" s="392" t="s">
        <v>1903</v>
      </c>
      <c r="R28" s="400">
        <v>25</v>
      </c>
      <c r="S28" s="400"/>
      <c r="T28" s="48" t="s">
        <v>2319</v>
      </c>
      <c r="U28" s="48" t="s">
        <v>2724</v>
      </c>
      <c r="V28" s="389" t="s">
        <v>2365</v>
      </c>
      <c r="W28" s="389" t="s">
        <v>3052</v>
      </c>
      <c r="X28" s="48" t="s">
        <v>2285</v>
      </c>
      <c r="Y28" s="48" t="s">
        <v>3098</v>
      </c>
      <c r="AB28" s="384">
        <f t="shared" si="1"/>
        <v>4125</v>
      </c>
      <c r="AC28" s="384" t="str">
        <f t="shared" si="0"/>
        <v>CI4125</v>
      </c>
    </row>
    <row r="29" spans="1:29" x14ac:dyDescent="0.25">
      <c r="A29" s="48" t="s">
        <v>78</v>
      </c>
      <c r="B29" s="50" t="s">
        <v>2725</v>
      </c>
      <c r="C29" s="50" t="s">
        <v>3424</v>
      </c>
      <c r="D29" s="70" t="s">
        <v>3053</v>
      </c>
      <c r="E29" s="70" t="s">
        <v>3424</v>
      </c>
      <c r="F29" s="49" t="s">
        <v>3099</v>
      </c>
      <c r="G29" s="49" t="s">
        <v>3424</v>
      </c>
      <c r="H29" s="48"/>
      <c r="I29" s="48" t="e">
        <f ca="1">AI_DIFF(BA_Acq!A29,BA_Disp!A29)</f>
        <v>#NAME?</v>
      </c>
      <c r="J29" s="48"/>
      <c r="K29" s="48"/>
      <c r="R29" s="400">
        <v>26</v>
      </c>
      <c r="S29" s="400"/>
      <c r="T29" s="48" t="s">
        <v>2342</v>
      </c>
      <c r="U29" s="48" t="s">
        <v>2725</v>
      </c>
      <c r="V29" s="389" t="s">
        <v>2388</v>
      </c>
      <c r="W29" s="389" t="s">
        <v>3053</v>
      </c>
      <c r="X29" s="48" t="s">
        <v>2286</v>
      </c>
      <c r="Y29" s="48" t="s">
        <v>3099</v>
      </c>
      <c r="AB29" s="384">
        <f t="shared" si="1"/>
        <v>4126</v>
      </c>
      <c r="AC29" s="384" t="str">
        <f t="shared" si="0"/>
        <v>CI4126</v>
      </c>
    </row>
    <row r="30" spans="1:29" x14ac:dyDescent="0.25">
      <c r="A30" s="48" t="s">
        <v>55</v>
      </c>
      <c r="B30" s="50" t="s">
        <v>2726</v>
      </c>
      <c r="C30" s="50" t="s">
        <v>3425</v>
      </c>
      <c r="D30" s="70" t="s">
        <v>3054</v>
      </c>
      <c r="E30" s="70" t="s">
        <v>3425</v>
      </c>
      <c r="F30" s="49" t="s">
        <v>3100</v>
      </c>
      <c r="G30" s="49" t="s">
        <v>3425</v>
      </c>
      <c r="H30" s="48"/>
      <c r="I30" s="48" t="e">
        <f ca="1">AI_DIFF(BA_Acq!A30,BA_Disp!A30)</f>
        <v>#NAME?</v>
      </c>
      <c r="J30" s="48"/>
      <c r="K30" s="48"/>
      <c r="M30" s="385">
        <v>7</v>
      </c>
      <c r="N30" s="386">
        <v>7</v>
      </c>
      <c r="O30" s="387">
        <v>7</v>
      </c>
      <c r="P30" s="392" t="s">
        <v>1903</v>
      </c>
      <c r="R30" s="400">
        <v>27</v>
      </c>
      <c r="S30" s="400"/>
      <c r="T30" s="48" t="s">
        <v>2320</v>
      </c>
      <c r="U30" s="48" t="s">
        <v>2726</v>
      </c>
      <c r="V30" s="389" t="s">
        <v>2366</v>
      </c>
      <c r="W30" s="389" t="s">
        <v>3054</v>
      </c>
      <c r="X30" s="48" t="s">
        <v>2287</v>
      </c>
      <c r="Y30" s="48" t="s">
        <v>3100</v>
      </c>
      <c r="AB30" s="384">
        <f t="shared" si="1"/>
        <v>4127</v>
      </c>
      <c r="AC30" s="384" t="str">
        <f t="shared" si="0"/>
        <v>CI4127</v>
      </c>
    </row>
    <row r="31" spans="1:29" x14ac:dyDescent="0.25">
      <c r="A31" s="48" t="s">
        <v>79</v>
      </c>
      <c r="B31" s="50" t="s">
        <v>2727</v>
      </c>
      <c r="C31" s="50" t="s">
        <v>3426</v>
      </c>
      <c r="D31" s="70" t="s">
        <v>3055</v>
      </c>
      <c r="E31" s="70" t="s">
        <v>3426</v>
      </c>
      <c r="F31" s="49" t="s">
        <v>3101</v>
      </c>
      <c r="G31" s="49" t="s">
        <v>3426</v>
      </c>
      <c r="H31" s="48"/>
      <c r="I31" s="48" t="e">
        <f ca="1">AI_DIFF(BA_Acq!A31,BA_Disp!A31)</f>
        <v>#NAME?</v>
      </c>
      <c r="J31" s="48"/>
      <c r="K31" s="48"/>
      <c r="R31" s="400">
        <v>28</v>
      </c>
      <c r="S31" s="400"/>
      <c r="T31" s="48" t="s">
        <v>2343</v>
      </c>
      <c r="U31" s="48" t="s">
        <v>2727</v>
      </c>
      <c r="V31" s="389" t="s">
        <v>2389</v>
      </c>
      <c r="W31" s="389" t="s">
        <v>3055</v>
      </c>
      <c r="X31" s="48" t="s">
        <v>2288</v>
      </c>
      <c r="Y31" s="48" t="s">
        <v>3101</v>
      </c>
      <c r="AB31" s="384">
        <f t="shared" si="1"/>
        <v>4128</v>
      </c>
      <c r="AC31" s="384" t="str">
        <f t="shared" si="0"/>
        <v>CI4128</v>
      </c>
    </row>
    <row r="32" spans="1:29" x14ac:dyDescent="0.25">
      <c r="A32" s="48" t="s">
        <v>56</v>
      </c>
      <c r="B32" s="50" t="s">
        <v>2728</v>
      </c>
      <c r="C32" s="50" t="s">
        <v>3427</v>
      </c>
      <c r="D32" s="70" t="s">
        <v>3056</v>
      </c>
      <c r="E32" s="70" t="s">
        <v>3427</v>
      </c>
      <c r="F32" s="49" t="s">
        <v>3102</v>
      </c>
      <c r="G32" s="49" t="s">
        <v>3427</v>
      </c>
      <c r="H32" s="48"/>
      <c r="I32" s="48" t="e">
        <f ca="1">AI_DIFF(BA_Acq!A32,BA_Disp!A32)</f>
        <v>#NAME?</v>
      </c>
      <c r="J32" s="48"/>
      <c r="K32" s="48"/>
      <c r="M32" s="385">
        <v>7</v>
      </c>
      <c r="N32" s="386">
        <v>7</v>
      </c>
      <c r="O32" s="387">
        <v>7</v>
      </c>
      <c r="P32" s="392" t="s">
        <v>1903</v>
      </c>
      <c r="R32" s="400">
        <v>29</v>
      </c>
      <c r="S32" s="400"/>
      <c r="T32" s="48" t="s">
        <v>2321</v>
      </c>
      <c r="U32" s="48" t="s">
        <v>2728</v>
      </c>
      <c r="V32" s="389" t="s">
        <v>2367</v>
      </c>
      <c r="W32" s="389" t="s">
        <v>3056</v>
      </c>
      <c r="X32" s="48" t="s">
        <v>2289</v>
      </c>
      <c r="Y32" s="48" t="s">
        <v>3102</v>
      </c>
      <c r="AB32" s="384">
        <f t="shared" si="1"/>
        <v>4129</v>
      </c>
      <c r="AC32" s="384" t="str">
        <f t="shared" si="0"/>
        <v>CI4129</v>
      </c>
    </row>
    <row r="33" spans="1:29" x14ac:dyDescent="0.25">
      <c r="A33" s="48" t="s">
        <v>80</v>
      </c>
      <c r="B33" s="50" t="s">
        <v>2729</v>
      </c>
      <c r="C33" s="50" t="s">
        <v>3428</v>
      </c>
      <c r="D33" s="70" t="s">
        <v>3057</v>
      </c>
      <c r="E33" s="70" t="s">
        <v>3428</v>
      </c>
      <c r="F33" s="49" t="s">
        <v>3103</v>
      </c>
      <c r="G33" s="49" t="s">
        <v>3428</v>
      </c>
      <c r="H33" s="48"/>
      <c r="I33" s="48" t="e">
        <f ca="1">AI_DIFF(BA_Acq!A33,BA_Disp!A33)</f>
        <v>#NAME?</v>
      </c>
      <c r="J33" s="48"/>
      <c r="K33" s="48"/>
      <c r="R33" s="400">
        <v>30</v>
      </c>
      <c r="S33" s="400"/>
      <c r="T33" s="48" t="s">
        <v>2344</v>
      </c>
      <c r="U33" s="48" t="s">
        <v>2729</v>
      </c>
      <c r="V33" s="389" t="s">
        <v>2390</v>
      </c>
      <c r="W33" s="389" t="s">
        <v>3057</v>
      </c>
      <c r="X33" s="48" t="s">
        <v>2290</v>
      </c>
      <c r="Y33" s="48" t="s">
        <v>3103</v>
      </c>
      <c r="AB33" s="384">
        <f t="shared" si="1"/>
        <v>4130</v>
      </c>
      <c r="AC33" s="384" t="str">
        <f t="shared" si="0"/>
        <v>CI4130</v>
      </c>
    </row>
    <row r="34" spans="1:29" x14ac:dyDescent="0.25">
      <c r="A34" s="48" t="s">
        <v>57</v>
      </c>
      <c r="B34" s="50" t="s">
        <v>2730</v>
      </c>
      <c r="C34" s="50" t="s">
        <v>3429</v>
      </c>
      <c r="D34" s="70" t="s">
        <v>3058</v>
      </c>
      <c r="E34" s="70" t="s">
        <v>3429</v>
      </c>
      <c r="F34" s="49" t="s">
        <v>3104</v>
      </c>
      <c r="G34" s="49" t="s">
        <v>3429</v>
      </c>
      <c r="H34" s="48"/>
      <c r="I34" s="48" t="e">
        <f ca="1">AI_DIFF(BA_Acq!A34,BA_Disp!A34)</f>
        <v>#NAME?</v>
      </c>
      <c r="J34" s="48"/>
      <c r="K34" s="48"/>
      <c r="M34" s="385">
        <v>7</v>
      </c>
      <c r="N34" s="386">
        <v>7</v>
      </c>
      <c r="O34" s="387">
        <v>7</v>
      </c>
      <c r="P34" s="392" t="s">
        <v>1903</v>
      </c>
      <c r="R34" s="400">
        <v>31</v>
      </c>
      <c r="S34" s="400"/>
      <c r="T34" s="48" t="s">
        <v>2322</v>
      </c>
      <c r="U34" s="48" t="s">
        <v>2730</v>
      </c>
      <c r="V34" s="389" t="s">
        <v>2368</v>
      </c>
      <c r="W34" s="389" t="s">
        <v>3058</v>
      </c>
      <c r="X34" s="48" t="s">
        <v>2291</v>
      </c>
      <c r="Y34" s="48" t="s">
        <v>3104</v>
      </c>
      <c r="AB34" s="384">
        <f t="shared" si="1"/>
        <v>4131</v>
      </c>
      <c r="AC34" s="384" t="str">
        <f t="shared" si="0"/>
        <v>CI4131</v>
      </c>
    </row>
    <row r="35" spans="1:29" x14ac:dyDescent="0.25">
      <c r="A35" s="48" t="s">
        <v>81</v>
      </c>
      <c r="B35" s="50" t="s">
        <v>2731</v>
      </c>
      <c r="C35" s="50" t="s">
        <v>3430</v>
      </c>
      <c r="D35" s="70" t="s">
        <v>3059</v>
      </c>
      <c r="E35" s="70" t="s">
        <v>3430</v>
      </c>
      <c r="F35" s="49" t="s">
        <v>3105</v>
      </c>
      <c r="G35" s="49" t="s">
        <v>3430</v>
      </c>
      <c r="H35" s="48"/>
      <c r="I35" s="48" t="e">
        <f ca="1">AI_DIFF(BA_Acq!A35,BA_Disp!A35)</f>
        <v>#NAME?</v>
      </c>
      <c r="J35" s="48"/>
      <c r="K35" s="48"/>
      <c r="R35" s="400">
        <v>32</v>
      </c>
      <c r="S35" s="400"/>
      <c r="T35" s="48" t="s">
        <v>2345</v>
      </c>
      <c r="U35" s="48" t="s">
        <v>2731</v>
      </c>
      <c r="V35" s="389" t="s">
        <v>2391</v>
      </c>
      <c r="W35" s="389" t="s">
        <v>3059</v>
      </c>
      <c r="X35" s="48" t="s">
        <v>2292</v>
      </c>
      <c r="Y35" s="48" t="s">
        <v>3105</v>
      </c>
      <c r="AB35" s="384">
        <f t="shared" si="1"/>
        <v>4132</v>
      </c>
      <c r="AC35" s="384" t="str">
        <f t="shared" si="0"/>
        <v>CI4132</v>
      </c>
    </row>
    <row r="36" spans="1:29" x14ac:dyDescent="0.25">
      <c r="A36" s="48" t="s">
        <v>58</v>
      </c>
      <c r="B36" s="50" t="s">
        <v>2732</v>
      </c>
      <c r="C36" s="50" t="s">
        <v>3431</v>
      </c>
      <c r="D36" s="70" t="s">
        <v>3060</v>
      </c>
      <c r="E36" s="70" t="s">
        <v>3431</v>
      </c>
      <c r="F36" s="49" t="s">
        <v>3106</v>
      </c>
      <c r="G36" s="49" t="s">
        <v>3431</v>
      </c>
      <c r="H36" s="48"/>
      <c r="I36" s="48" t="e">
        <f ca="1">AI_DIFF(BA_Acq!A36,BA_Disp!A36)</f>
        <v>#NAME?</v>
      </c>
      <c r="J36" s="48"/>
      <c r="K36" s="48"/>
      <c r="M36" s="385">
        <v>7</v>
      </c>
      <c r="N36" s="386">
        <v>7</v>
      </c>
      <c r="O36" s="387">
        <v>7</v>
      </c>
      <c r="P36" s="392" t="s">
        <v>1903</v>
      </c>
      <c r="R36" s="400">
        <v>33</v>
      </c>
      <c r="S36" s="400"/>
      <c r="T36" s="48" t="s">
        <v>2323</v>
      </c>
      <c r="U36" s="48" t="s">
        <v>2732</v>
      </c>
      <c r="V36" s="389" t="s">
        <v>2369</v>
      </c>
      <c r="W36" s="389" t="s">
        <v>3060</v>
      </c>
      <c r="X36" s="48" t="s">
        <v>2293</v>
      </c>
      <c r="Y36" s="48" t="s">
        <v>3106</v>
      </c>
      <c r="AB36" s="384">
        <f t="shared" si="1"/>
        <v>4133</v>
      </c>
      <c r="AC36" s="384" t="str">
        <f t="shared" si="0"/>
        <v>CI4133</v>
      </c>
    </row>
    <row r="37" spans="1:29" x14ac:dyDescent="0.25">
      <c r="A37" s="48" t="s">
        <v>82</v>
      </c>
      <c r="B37" s="50" t="s">
        <v>2733</v>
      </c>
      <c r="C37" s="50" t="s">
        <v>3432</v>
      </c>
      <c r="D37" s="70" t="s">
        <v>3061</v>
      </c>
      <c r="E37" s="70" t="s">
        <v>3432</v>
      </c>
      <c r="F37" s="49" t="s">
        <v>3107</v>
      </c>
      <c r="G37" s="49" t="s">
        <v>3432</v>
      </c>
      <c r="H37" s="48"/>
      <c r="I37" s="48" t="e">
        <f ca="1">AI_DIFF(BA_Acq!A37,BA_Disp!A37)</f>
        <v>#NAME?</v>
      </c>
      <c r="J37" s="48"/>
      <c r="K37" s="48"/>
      <c r="R37" s="400">
        <v>34</v>
      </c>
      <c r="S37" s="400"/>
      <c r="T37" s="48" t="s">
        <v>2346</v>
      </c>
      <c r="U37" s="48" t="s">
        <v>2733</v>
      </c>
      <c r="V37" s="389" t="s">
        <v>2392</v>
      </c>
      <c r="W37" s="389" t="s">
        <v>3061</v>
      </c>
      <c r="X37" s="48" t="s">
        <v>2294</v>
      </c>
      <c r="Y37" s="48" t="s">
        <v>3107</v>
      </c>
      <c r="AB37" s="384">
        <f t="shared" si="1"/>
        <v>4134</v>
      </c>
      <c r="AC37" s="384" t="str">
        <f t="shared" si="0"/>
        <v>CI4134</v>
      </c>
    </row>
    <row r="38" spans="1:29" x14ac:dyDescent="0.25">
      <c r="A38" s="48" t="s">
        <v>59</v>
      </c>
      <c r="B38" s="50" t="s">
        <v>2734</v>
      </c>
      <c r="C38" s="50" t="s">
        <v>3433</v>
      </c>
      <c r="D38" s="70" t="s">
        <v>3062</v>
      </c>
      <c r="E38" s="70" t="s">
        <v>3433</v>
      </c>
      <c r="F38" s="49" t="s">
        <v>3108</v>
      </c>
      <c r="G38" s="49" t="s">
        <v>3433</v>
      </c>
      <c r="H38" s="48"/>
      <c r="I38" s="48" t="e">
        <f ca="1">AI_DIFF(BA_Acq!A38,BA_Disp!A38)</f>
        <v>#NAME?</v>
      </c>
      <c r="J38" s="48"/>
      <c r="K38" s="48"/>
      <c r="M38" s="385">
        <v>7</v>
      </c>
      <c r="N38" s="386">
        <v>7</v>
      </c>
      <c r="O38" s="387">
        <v>7</v>
      </c>
      <c r="P38" s="392" t="s">
        <v>1903</v>
      </c>
      <c r="R38" s="400">
        <v>35</v>
      </c>
      <c r="S38" s="400"/>
      <c r="T38" s="48" t="s">
        <v>2324</v>
      </c>
      <c r="U38" s="48" t="s">
        <v>2734</v>
      </c>
      <c r="V38" s="389" t="s">
        <v>2370</v>
      </c>
      <c r="W38" s="389" t="s">
        <v>3062</v>
      </c>
      <c r="X38" s="48" t="s">
        <v>2295</v>
      </c>
      <c r="Y38" s="48" t="s">
        <v>3108</v>
      </c>
      <c r="AB38" s="384">
        <f t="shared" si="1"/>
        <v>4135</v>
      </c>
      <c r="AC38" s="384" t="str">
        <f t="shared" si="0"/>
        <v>CI4135</v>
      </c>
    </row>
    <row r="39" spans="1:29" x14ac:dyDescent="0.25">
      <c r="A39" s="48" t="s">
        <v>83</v>
      </c>
      <c r="B39" s="50" t="s">
        <v>2735</v>
      </c>
      <c r="C39" s="50" t="s">
        <v>3434</v>
      </c>
      <c r="D39" s="70" t="s">
        <v>3063</v>
      </c>
      <c r="E39" s="70" t="s">
        <v>3434</v>
      </c>
      <c r="F39" s="49" t="s">
        <v>3109</v>
      </c>
      <c r="G39" s="49" t="s">
        <v>3434</v>
      </c>
      <c r="H39" s="48"/>
      <c r="I39" s="48" t="e">
        <f ca="1">AI_DIFF(BA_Acq!A39,BA_Disp!A39)</f>
        <v>#NAME?</v>
      </c>
      <c r="J39" s="48"/>
      <c r="K39" s="48"/>
      <c r="R39" s="400">
        <v>36</v>
      </c>
      <c r="S39" s="400"/>
      <c r="T39" s="48" t="s">
        <v>2347</v>
      </c>
      <c r="U39" s="48" t="s">
        <v>2735</v>
      </c>
      <c r="V39" s="389" t="s">
        <v>2393</v>
      </c>
      <c r="W39" s="389" t="s">
        <v>3063</v>
      </c>
      <c r="X39" s="48" t="s">
        <v>2296</v>
      </c>
      <c r="Y39" s="48" t="s">
        <v>3109</v>
      </c>
      <c r="AB39" s="384">
        <f t="shared" si="1"/>
        <v>4136</v>
      </c>
      <c r="AC39" s="384" t="str">
        <f t="shared" si="0"/>
        <v>CI4136</v>
      </c>
    </row>
    <row r="40" spans="1:29" x14ac:dyDescent="0.25">
      <c r="A40" s="48" t="s">
        <v>60</v>
      </c>
      <c r="B40" s="50" t="s">
        <v>2736</v>
      </c>
      <c r="C40" s="50" t="s">
        <v>3435</v>
      </c>
      <c r="D40" s="70" t="s">
        <v>3064</v>
      </c>
      <c r="E40" s="70" t="s">
        <v>3435</v>
      </c>
      <c r="F40" s="49" t="s">
        <v>3110</v>
      </c>
      <c r="G40" s="49" t="s">
        <v>3435</v>
      </c>
      <c r="H40" s="48"/>
      <c r="I40" s="48" t="e">
        <f ca="1">AI_DIFF(BA_Acq!A40,BA_Disp!A40)</f>
        <v>#NAME?</v>
      </c>
      <c r="J40" s="48"/>
      <c r="K40" s="48"/>
      <c r="M40" s="385">
        <v>7</v>
      </c>
      <c r="N40" s="386">
        <v>7</v>
      </c>
      <c r="O40" s="387">
        <v>7</v>
      </c>
      <c r="P40" s="392" t="s">
        <v>1903</v>
      </c>
      <c r="R40" s="400">
        <v>37</v>
      </c>
      <c r="S40" s="400"/>
      <c r="T40" s="48" t="s">
        <v>2325</v>
      </c>
      <c r="U40" s="48" t="s">
        <v>2736</v>
      </c>
      <c r="V40" s="389" t="s">
        <v>2371</v>
      </c>
      <c r="W40" s="389" t="s">
        <v>3064</v>
      </c>
      <c r="X40" s="48" t="s">
        <v>2297</v>
      </c>
      <c r="Y40" s="48" t="s">
        <v>3110</v>
      </c>
      <c r="AB40" s="384">
        <f t="shared" si="1"/>
        <v>4137</v>
      </c>
      <c r="AC40" s="384" t="str">
        <f t="shared" si="0"/>
        <v>CI4137</v>
      </c>
    </row>
    <row r="41" spans="1:29" x14ac:dyDescent="0.25">
      <c r="A41" s="48" t="s">
        <v>84</v>
      </c>
      <c r="B41" s="50" t="s">
        <v>2737</v>
      </c>
      <c r="C41" s="50" t="s">
        <v>3436</v>
      </c>
      <c r="D41" s="70" t="s">
        <v>3065</v>
      </c>
      <c r="E41" s="70" t="s">
        <v>3436</v>
      </c>
      <c r="F41" s="49" t="s">
        <v>3111</v>
      </c>
      <c r="G41" s="49" t="s">
        <v>3436</v>
      </c>
      <c r="H41" s="48"/>
      <c r="I41" s="48" t="e">
        <f ca="1">AI_DIFF(BA_Acq!A41,BA_Disp!A41)</f>
        <v>#NAME?</v>
      </c>
      <c r="J41" s="48"/>
      <c r="K41" s="48"/>
      <c r="R41" s="400">
        <v>38</v>
      </c>
      <c r="S41" s="400"/>
      <c r="T41" s="48" t="s">
        <v>2348</v>
      </c>
      <c r="U41" s="48" t="s">
        <v>2737</v>
      </c>
      <c r="V41" s="389" t="s">
        <v>2394</v>
      </c>
      <c r="W41" s="389" t="s">
        <v>3065</v>
      </c>
      <c r="X41" s="48" t="s">
        <v>2298</v>
      </c>
      <c r="Y41" s="48" t="s">
        <v>3111</v>
      </c>
      <c r="AB41" s="384">
        <f t="shared" si="1"/>
        <v>4138</v>
      </c>
      <c r="AC41" s="384" t="str">
        <f t="shared" si="0"/>
        <v>CI4138</v>
      </c>
    </row>
    <row r="42" spans="1:29" x14ac:dyDescent="0.25">
      <c r="A42" s="48" t="s">
        <v>61</v>
      </c>
      <c r="B42" s="50" t="s">
        <v>2738</v>
      </c>
      <c r="C42" s="50" t="s">
        <v>3437</v>
      </c>
      <c r="D42" s="70" t="s">
        <v>3066</v>
      </c>
      <c r="E42" s="70" t="s">
        <v>3437</v>
      </c>
      <c r="F42" s="49" t="s">
        <v>3112</v>
      </c>
      <c r="G42" s="49" t="s">
        <v>3437</v>
      </c>
      <c r="H42" s="48"/>
      <c r="I42" s="48" t="e">
        <f ca="1">AI_DIFF(BA_Acq!A42,BA_Disp!A42)</f>
        <v>#NAME?</v>
      </c>
      <c r="J42" s="48"/>
      <c r="K42" s="48"/>
      <c r="M42" s="385">
        <v>7</v>
      </c>
      <c r="N42" s="386">
        <v>7</v>
      </c>
      <c r="O42" s="387">
        <v>7</v>
      </c>
      <c r="P42" s="392" t="s">
        <v>1903</v>
      </c>
      <c r="R42" s="400">
        <v>39</v>
      </c>
      <c r="S42" s="400"/>
      <c r="T42" s="48" t="s">
        <v>2326</v>
      </c>
      <c r="U42" s="48" t="s">
        <v>2738</v>
      </c>
      <c r="V42" s="389" t="s">
        <v>2372</v>
      </c>
      <c r="W42" s="389" t="s">
        <v>3066</v>
      </c>
      <c r="X42" s="48" t="s">
        <v>2299</v>
      </c>
      <c r="Y42" s="48" t="s">
        <v>3112</v>
      </c>
      <c r="AB42" s="384">
        <f t="shared" si="1"/>
        <v>4139</v>
      </c>
      <c r="AC42" s="384" t="str">
        <f t="shared" si="0"/>
        <v>CI4139</v>
      </c>
    </row>
    <row r="43" spans="1:29" x14ac:dyDescent="0.25">
      <c r="A43" s="48" t="s">
        <v>85</v>
      </c>
      <c r="B43" s="50" t="s">
        <v>2739</v>
      </c>
      <c r="C43" s="50" t="s">
        <v>3438</v>
      </c>
      <c r="D43" s="70" t="s">
        <v>3067</v>
      </c>
      <c r="E43" s="70" t="s">
        <v>3438</v>
      </c>
      <c r="F43" s="49" t="s">
        <v>3113</v>
      </c>
      <c r="G43" s="49" t="s">
        <v>3438</v>
      </c>
      <c r="H43" s="48"/>
      <c r="I43" s="48" t="e">
        <f ca="1">AI_DIFF(BA_Acq!A43,BA_Disp!A43)</f>
        <v>#NAME?</v>
      </c>
      <c r="J43" s="48"/>
      <c r="K43" s="48"/>
      <c r="R43" s="400">
        <v>40</v>
      </c>
      <c r="S43" s="400"/>
      <c r="T43" s="48" t="s">
        <v>2349</v>
      </c>
      <c r="U43" s="48" t="s">
        <v>2739</v>
      </c>
      <c r="V43" s="389" t="s">
        <v>2395</v>
      </c>
      <c r="W43" s="389" t="s">
        <v>3067</v>
      </c>
      <c r="X43" s="48" t="s">
        <v>2300</v>
      </c>
      <c r="Y43" s="48" t="s">
        <v>3113</v>
      </c>
      <c r="AB43" s="384">
        <f t="shared" si="1"/>
        <v>4140</v>
      </c>
      <c r="AC43" s="384" t="str">
        <f t="shared" si="0"/>
        <v>CI4140</v>
      </c>
    </row>
    <row r="44" spans="1:29" x14ac:dyDescent="0.25">
      <c r="A44" s="48" t="s">
        <v>62</v>
      </c>
      <c r="B44" s="50" t="s">
        <v>2740</v>
      </c>
      <c r="C44" s="50" t="s">
        <v>3439</v>
      </c>
      <c r="D44" s="70" t="s">
        <v>3068</v>
      </c>
      <c r="E44" s="70" t="s">
        <v>3439</v>
      </c>
      <c r="F44" s="49" t="s">
        <v>3114</v>
      </c>
      <c r="G44" s="49" t="s">
        <v>3439</v>
      </c>
      <c r="H44" s="48"/>
      <c r="I44" s="48" t="e">
        <f ca="1">AI_DIFF(BA_Acq!A44,BA_Disp!A44)</f>
        <v>#NAME?</v>
      </c>
      <c r="J44" s="48"/>
      <c r="K44" s="48"/>
      <c r="M44" s="385">
        <v>7</v>
      </c>
      <c r="N44" s="386">
        <v>7</v>
      </c>
      <c r="O44" s="387">
        <v>7</v>
      </c>
      <c r="P44" s="392" t="s">
        <v>1903</v>
      </c>
      <c r="R44" s="400">
        <v>41</v>
      </c>
      <c r="S44" s="400"/>
      <c r="T44" s="48" t="s">
        <v>2327</v>
      </c>
      <c r="U44" s="48" t="s">
        <v>2740</v>
      </c>
      <c r="V44" s="389" t="s">
        <v>2373</v>
      </c>
      <c r="W44" s="389" t="s">
        <v>3068</v>
      </c>
      <c r="X44" s="48" t="s">
        <v>2301</v>
      </c>
      <c r="Y44" s="48" t="s">
        <v>3114</v>
      </c>
      <c r="AB44" s="384">
        <f t="shared" si="1"/>
        <v>4141</v>
      </c>
      <c r="AC44" s="384" t="str">
        <f t="shared" si="0"/>
        <v>CI4141</v>
      </c>
    </row>
    <row r="45" spans="1:29" x14ac:dyDescent="0.25">
      <c r="A45" s="48" t="s">
        <v>63</v>
      </c>
      <c r="B45" s="50" t="s">
        <v>2741</v>
      </c>
      <c r="C45" s="50" t="s">
        <v>3440</v>
      </c>
      <c r="D45" s="70" t="s">
        <v>3069</v>
      </c>
      <c r="E45" s="70" t="s">
        <v>3440</v>
      </c>
      <c r="F45" s="49" t="s">
        <v>3115</v>
      </c>
      <c r="G45" s="49" t="s">
        <v>3440</v>
      </c>
      <c r="H45" s="48"/>
      <c r="I45" s="48" t="e">
        <f ca="1">AI_DIFF(BA_Acq!A45,BA_Disp!A45)</f>
        <v>#NAME?</v>
      </c>
      <c r="J45" s="48"/>
      <c r="K45" s="48"/>
      <c r="M45" s="385">
        <v>7</v>
      </c>
      <c r="N45" s="386">
        <v>7</v>
      </c>
      <c r="O45" s="387">
        <v>7</v>
      </c>
      <c r="P45" s="392" t="s">
        <v>1903</v>
      </c>
      <c r="R45" s="400">
        <v>42</v>
      </c>
      <c r="S45" s="400"/>
      <c r="T45" s="48" t="s">
        <v>2328</v>
      </c>
      <c r="U45" s="48" t="s">
        <v>2741</v>
      </c>
      <c r="V45" s="389" t="s">
        <v>2374</v>
      </c>
      <c r="W45" s="389" t="s">
        <v>3069</v>
      </c>
      <c r="X45" s="48" t="s">
        <v>2302</v>
      </c>
      <c r="Y45" s="48" t="s">
        <v>3115</v>
      </c>
      <c r="AB45" s="384">
        <f t="shared" si="1"/>
        <v>4142</v>
      </c>
      <c r="AC45" s="384" t="str">
        <f t="shared" si="0"/>
        <v>CI4142</v>
      </c>
    </row>
    <row r="46" spans="1:29" x14ac:dyDescent="0.25">
      <c r="A46" s="48" t="s">
        <v>86</v>
      </c>
      <c r="B46" s="50" t="s">
        <v>2742</v>
      </c>
      <c r="C46" s="50" t="s">
        <v>3441</v>
      </c>
      <c r="D46" s="70" t="s">
        <v>3070</v>
      </c>
      <c r="E46" s="70" t="s">
        <v>3441</v>
      </c>
      <c r="F46" s="49" t="s">
        <v>3116</v>
      </c>
      <c r="G46" s="49" t="s">
        <v>3441</v>
      </c>
      <c r="H46" s="48"/>
      <c r="I46" s="48" t="e">
        <f ca="1">AI_DIFF(BA_Acq!A46,BA_Disp!A46)</f>
        <v>#NAME?</v>
      </c>
      <c r="J46" s="48"/>
      <c r="K46" s="48"/>
      <c r="R46" s="400">
        <v>43</v>
      </c>
      <c r="S46" s="400"/>
      <c r="T46" s="48" t="s">
        <v>2350</v>
      </c>
      <c r="U46" s="48" t="s">
        <v>2742</v>
      </c>
      <c r="V46" s="389" t="s">
        <v>2396</v>
      </c>
      <c r="W46" s="389" t="s">
        <v>3070</v>
      </c>
      <c r="X46" s="48" t="s">
        <v>2303</v>
      </c>
      <c r="Y46" s="48" t="s">
        <v>3116</v>
      </c>
      <c r="AB46" s="384">
        <f t="shared" si="1"/>
        <v>4143</v>
      </c>
      <c r="AC46" s="384" t="str">
        <f t="shared" si="0"/>
        <v>CI4143</v>
      </c>
    </row>
    <row r="47" spans="1:29" x14ac:dyDescent="0.25">
      <c r="A47" s="48" t="s">
        <v>64</v>
      </c>
      <c r="B47" s="50" t="s">
        <v>2743</v>
      </c>
      <c r="C47" s="50" t="s">
        <v>3553</v>
      </c>
      <c r="D47" s="70" t="s">
        <v>3071</v>
      </c>
      <c r="E47" s="70" t="s">
        <v>3553</v>
      </c>
      <c r="F47" s="49" t="s">
        <v>3117</v>
      </c>
      <c r="G47" s="49" t="s">
        <v>3553</v>
      </c>
      <c r="H47" s="48"/>
      <c r="I47" s="48" t="e">
        <f ca="1">AI_SUM(A4,A6,A8,A10,A12,A14,A16,A18,A20,A22,A24,A26,A28,A30,A32,A34,A36,A38,A40,A42,A44,A45)</f>
        <v>#NAME?</v>
      </c>
      <c r="J47" s="48"/>
      <c r="K47" s="48"/>
      <c r="M47" s="385">
        <v>7</v>
      </c>
      <c r="N47" s="386">
        <v>7</v>
      </c>
      <c r="O47" s="387">
        <v>7</v>
      </c>
      <c r="P47" s="392" t="s">
        <v>1903</v>
      </c>
      <c r="R47" s="400">
        <v>44</v>
      </c>
      <c r="S47" s="400"/>
      <c r="T47" s="48" t="s">
        <v>2329</v>
      </c>
      <c r="U47" s="48" t="s">
        <v>2743</v>
      </c>
      <c r="V47" s="389" t="s">
        <v>2375</v>
      </c>
      <c r="W47" s="389" t="s">
        <v>3071</v>
      </c>
      <c r="X47" s="48" t="s">
        <v>2304</v>
      </c>
      <c r="Y47" s="48" t="s">
        <v>3117</v>
      </c>
      <c r="AB47" s="384">
        <f t="shared" si="1"/>
        <v>4144</v>
      </c>
    </row>
    <row r="48" spans="1:29" x14ac:dyDescent="0.25">
      <c r="A48" s="48" t="s">
        <v>87</v>
      </c>
      <c r="B48" s="50" t="s">
        <v>2744</v>
      </c>
      <c r="C48" s="50" t="s">
        <v>3554</v>
      </c>
      <c r="D48" s="70" t="s">
        <v>3072</v>
      </c>
      <c r="E48" s="70" t="s">
        <v>3554</v>
      </c>
      <c r="F48" s="49" t="s">
        <v>3118</v>
      </c>
      <c r="G48" s="49" t="s">
        <v>3554</v>
      </c>
      <c r="H48" s="48"/>
      <c r="I48" s="48" t="e">
        <f ca="1">AI_SUM(A5,A7,A9,A11,A13,A15,A17,A19,A21,A23,A25,A27,A29,A31,A33,A35,A37,A39,A41,A43,A46)</f>
        <v>#NAME?</v>
      </c>
      <c r="J48" s="48"/>
      <c r="K48" s="48"/>
      <c r="M48" s="385">
        <v>1</v>
      </c>
      <c r="N48" s="386">
        <v>1</v>
      </c>
      <c r="O48" s="387">
        <v>1</v>
      </c>
      <c r="P48" s="392" t="s">
        <v>1905</v>
      </c>
      <c r="R48" s="400">
        <v>45</v>
      </c>
      <c r="S48" s="400"/>
      <c r="T48" s="48" t="s">
        <v>2351</v>
      </c>
      <c r="U48" s="48" t="s">
        <v>2744</v>
      </c>
      <c r="V48" s="390" t="s">
        <v>2397</v>
      </c>
      <c r="W48" s="390" t="s">
        <v>3072</v>
      </c>
      <c r="X48" s="48" t="s">
        <v>2305</v>
      </c>
      <c r="Y48" s="48" t="s">
        <v>3118</v>
      </c>
      <c r="AB48" s="384">
        <f t="shared" si="1"/>
        <v>4145</v>
      </c>
    </row>
    <row r="49" spans="1:28" x14ac:dyDescent="0.25">
      <c r="A49" s="48" t="s">
        <v>65</v>
      </c>
      <c r="B49" s="50" t="s">
        <v>2745</v>
      </c>
      <c r="C49" s="50" t="s">
        <v>3555</v>
      </c>
      <c r="D49" s="70" t="s">
        <v>3073</v>
      </c>
      <c r="E49" s="70" t="s">
        <v>3555</v>
      </c>
      <c r="F49" s="49" t="s">
        <v>3119</v>
      </c>
      <c r="G49" s="49" t="s">
        <v>3555</v>
      </c>
      <c r="H49" s="48"/>
      <c r="I49" s="48" t="e">
        <f ca="1">AI_SUM(A4,A5,A6,A7,A8,A9,A10,A11,A12,A13,A14,A15,A16,A17,A18,A19,A20,A21,A22,A23,A24,A25,A26,A27,A28,A29,A30,A31,A32,A33,A34,A35,A36,A37,A38,A39,A40,A41,A42,A43,A44,A45,A46)</f>
        <v>#NAME?</v>
      </c>
      <c r="J49" s="48"/>
      <c r="K49" s="48"/>
      <c r="M49" s="385">
        <v>3</v>
      </c>
      <c r="N49" s="386">
        <v>3</v>
      </c>
      <c r="O49" s="387">
        <v>3</v>
      </c>
      <c r="P49" s="392" t="s">
        <v>1905</v>
      </c>
      <c r="R49" s="400">
        <v>46</v>
      </c>
      <c r="S49" s="400"/>
      <c r="T49" s="48" t="s">
        <v>2352</v>
      </c>
      <c r="U49" s="48" t="s">
        <v>2745</v>
      </c>
      <c r="V49" s="391" t="s">
        <v>2398</v>
      </c>
      <c r="W49" s="391" t="s">
        <v>3073</v>
      </c>
      <c r="X49" s="48" t="s">
        <v>2306</v>
      </c>
      <c r="Y49" s="48" t="s">
        <v>3119</v>
      </c>
      <c r="AB49" s="384">
        <f t="shared" si="1"/>
        <v>4146</v>
      </c>
    </row>
  </sheetData>
  <autoFilter ref="A2:AD49" xr:uid="{00000000-0009-0000-0000-00000C000000}"/>
  <pageMargins left="0.7" right="0.7" top="0.75" bottom="0.75" header="0.3" footer="0.3"/>
  <pageSetup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B49"/>
  <sheetViews>
    <sheetView topLeftCell="A13" zoomScale="80" zoomScaleNormal="80" workbookViewId="0">
      <selection activeCell="H13" sqref="H13"/>
    </sheetView>
  </sheetViews>
  <sheetFormatPr defaultRowHeight="15" x14ac:dyDescent="0.25"/>
  <cols>
    <col min="1" max="1" width="51.5703125" style="384" bestFit="1" customWidth="1"/>
    <col min="2" max="3" width="9.140625" style="385"/>
    <col min="4" max="5" width="9.140625" style="386"/>
    <col min="6" max="7" width="9.140625" style="387"/>
    <col min="8" max="12" width="9.140625" style="384"/>
    <col min="13" max="13" width="9.140625" style="385"/>
    <col min="14" max="14" width="9.140625" style="386"/>
    <col min="15" max="15" width="9.140625" style="387"/>
    <col min="16" max="16" width="9.140625" style="392"/>
    <col min="17" max="20" width="9.140625" style="384"/>
    <col min="21" max="24" width="9.140625" style="48"/>
    <col min="25" max="26" width="9.140625" style="384"/>
    <col min="27" max="27" width="9.140625" style="399"/>
    <col min="28" max="16384" width="9.140625" style="384"/>
  </cols>
  <sheetData>
    <row r="2" spans="1:28" x14ac:dyDescent="0.25">
      <c r="A2" s="10" t="s">
        <v>1772</v>
      </c>
    </row>
    <row r="3" spans="1:28" x14ac:dyDescent="0.25">
      <c r="A3" s="188" t="s">
        <v>3386</v>
      </c>
      <c r="J3" s="384" t="s">
        <v>1882</v>
      </c>
      <c r="K3" s="384" t="s">
        <v>1883</v>
      </c>
      <c r="L3" s="384">
        <v>157</v>
      </c>
      <c r="N3" s="386">
        <v>3</v>
      </c>
      <c r="O3" s="387">
        <v>3</v>
      </c>
      <c r="P3" s="392" t="s">
        <v>1903</v>
      </c>
    </row>
    <row r="4" spans="1:28" x14ac:dyDescent="0.25">
      <c r="A4" s="48" t="s">
        <v>42</v>
      </c>
      <c r="B4" s="50"/>
      <c r="C4" s="50" t="s">
        <v>3343</v>
      </c>
      <c r="D4" s="70"/>
      <c r="E4" s="70" t="s">
        <v>3343</v>
      </c>
      <c r="F4" s="49"/>
      <c r="G4" s="49" t="s">
        <v>3343</v>
      </c>
      <c r="H4" s="48"/>
      <c r="I4" s="48" t="e">
        <f ca="1">AI_BA(Assets!$A$24,DISP,1)</f>
        <v>#NAME?</v>
      </c>
      <c r="J4" s="48" t="s">
        <v>1901</v>
      </c>
      <c r="K4" s="48" t="s">
        <v>2503</v>
      </c>
      <c r="L4" s="384">
        <v>57</v>
      </c>
      <c r="P4" s="392" t="s">
        <v>1903</v>
      </c>
      <c r="R4" s="48">
        <v>1</v>
      </c>
      <c r="S4" s="48" t="s">
        <v>2307</v>
      </c>
      <c r="T4" s="48" t="s">
        <v>2700</v>
      </c>
      <c r="U4" s="388" t="s">
        <v>2353</v>
      </c>
      <c r="V4" s="388" t="s">
        <v>3028</v>
      </c>
      <c r="W4" s="48" t="s">
        <v>2261</v>
      </c>
      <c r="X4" s="48" t="s">
        <v>3074</v>
      </c>
      <c r="Z4" s="384" t="str">
        <f>$AB$4&amp;AA4</f>
        <v>BI1201</v>
      </c>
      <c r="AA4" s="399" t="s">
        <v>3342</v>
      </c>
      <c r="AB4" s="384" t="s">
        <v>3298</v>
      </c>
    </row>
    <row r="5" spans="1:28" x14ac:dyDescent="0.25">
      <c r="A5" s="48" t="s">
        <v>66</v>
      </c>
      <c r="B5" s="50"/>
      <c r="C5" s="50" t="s">
        <v>3344</v>
      </c>
      <c r="D5" s="70"/>
      <c r="E5" s="70" t="s">
        <v>3344</v>
      </c>
      <c r="F5" s="49"/>
      <c r="G5" s="49" t="s">
        <v>3344</v>
      </c>
      <c r="H5" s="48"/>
      <c r="I5" s="48" t="e">
        <f ca="1">AI_BA(Assets!$A$24,DISP,2)</f>
        <v>#NAME?</v>
      </c>
      <c r="J5" s="48"/>
      <c r="K5" s="48"/>
      <c r="R5" s="48">
        <v>2</v>
      </c>
      <c r="S5" s="48" t="s">
        <v>2330</v>
      </c>
      <c r="T5" s="48" t="s">
        <v>2701</v>
      </c>
      <c r="U5" s="389" t="s">
        <v>2376</v>
      </c>
      <c r="V5" s="389" t="s">
        <v>3029</v>
      </c>
      <c r="W5" s="48" t="s">
        <v>2262</v>
      </c>
      <c r="X5" s="48" t="s">
        <v>3075</v>
      </c>
      <c r="Z5" s="384" t="str">
        <f t="shared" ref="Z5:Z46" si="0">$AB$4&amp;AA5</f>
        <v>BI1202</v>
      </c>
      <c r="AA5" s="399">
        <f>AA4+1</f>
        <v>1202</v>
      </c>
    </row>
    <row r="6" spans="1:28" x14ac:dyDescent="0.25">
      <c r="A6" s="48" t="s">
        <v>43</v>
      </c>
      <c r="B6" s="50"/>
      <c r="C6" s="50" t="s">
        <v>3345</v>
      </c>
      <c r="D6" s="70"/>
      <c r="E6" s="70" t="s">
        <v>3345</v>
      </c>
      <c r="F6" s="49"/>
      <c r="G6" s="49" t="s">
        <v>3345</v>
      </c>
      <c r="H6" s="48"/>
      <c r="I6" s="48" t="e">
        <f ca="1">AI_BA(Assets!$A$24,DISP,3)</f>
        <v>#NAME?</v>
      </c>
      <c r="J6" s="48"/>
      <c r="K6" s="48"/>
      <c r="P6" s="392" t="s">
        <v>1903</v>
      </c>
      <c r="R6" s="48">
        <v>3</v>
      </c>
      <c r="S6" s="48" t="s">
        <v>2308</v>
      </c>
      <c r="T6" s="48" t="s">
        <v>2702</v>
      </c>
      <c r="U6" s="389" t="s">
        <v>2354</v>
      </c>
      <c r="V6" s="389" t="s">
        <v>3030</v>
      </c>
      <c r="W6" s="48" t="s">
        <v>2263</v>
      </c>
      <c r="X6" s="48" t="s">
        <v>3076</v>
      </c>
      <c r="Y6" s="384">
        <v>7</v>
      </c>
      <c r="Z6" s="384" t="str">
        <f t="shared" si="0"/>
        <v>BI1203</v>
      </c>
      <c r="AA6" s="399">
        <f t="shared" ref="AA6:AA46" si="1">AA5+1</f>
        <v>1203</v>
      </c>
    </row>
    <row r="7" spans="1:28" x14ac:dyDescent="0.25">
      <c r="A7" s="48" t="s">
        <v>67</v>
      </c>
      <c r="B7" s="50"/>
      <c r="C7" s="50" t="s">
        <v>3346</v>
      </c>
      <c r="D7" s="70"/>
      <c r="E7" s="70" t="s">
        <v>3346</v>
      </c>
      <c r="F7" s="49"/>
      <c r="G7" s="49" t="s">
        <v>3346</v>
      </c>
      <c r="H7" s="48"/>
      <c r="I7" s="48" t="e">
        <f ca="1">AI_BA(Assets!$A$24,DISP,4)</f>
        <v>#NAME?</v>
      </c>
      <c r="J7" s="48"/>
      <c r="K7" s="48"/>
      <c r="R7" s="48">
        <v>4</v>
      </c>
      <c r="S7" s="48" t="s">
        <v>2331</v>
      </c>
      <c r="T7" s="48" t="s">
        <v>2703</v>
      </c>
      <c r="U7" s="389" t="s">
        <v>2377</v>
      </c>
      <c r="V7" s="389" t="s">
        <v>3031</v>
      </c>
      <c r="W7" s="48" t="s">
        <v>2264</v>
      </c>
      <c r="X7" s="48" t="s">
        <v>3077</v>
      </c>
      <c r="Z7" s="384" t="str">
        <f t="shared" si="0"/>
        <v>BI1204</v>
      </c>
      <c r="AA7" s="399">
        <f t="shared" si="1"/>
        <v>1204</v>
      </c>
    </row>
    <row r="8" spans="1:28" x14ac:dyDescent="0.25">
      <c r="A8" s="48" t="s">
        <v>44</v>
      </c>
      <c r="B8" s="50"/>
      <c r="C8" s="50" t="s">
        <v>3347</v>
      </c>
      <c r="D8" s="70"/>
      <c r="E8" s="70" t="s">
        <v>3347</v>
      </c>
      <c r="F8" s="49"/>
      <c r="G8" s="49" t="s">
        <v>3347</v>
      </c>
      <c r="H8" s="48"/>
      <c r="I8" s="48" t="e">
        <f ca="1">AI_BA(Assets!$A$24,DISP,5)</f>
        <v>#NAME?</v>
      </c>
      <c r="J8" s="48"/>
      <c r="K8" s="48"/>
      <c r="P8" s="392" t="s">
        <v>1903</v>
      </c>
      <c r="R8" s="48">
        <v>5</v>
      </c>
      <c r="S8" s="48" t="s">
        <v>2309</v>
      </c>
      <c r="T8" s="48" t="s">
        <v>2704</v>
      </c>
      <c r="U8" s="389" t="s">
        <v>2355</v>
      </c>
      <c r="V8" s="389" t="s">
        <v>3032</v>
      </c>
      <c r="W8" s="48" t="s">
        <v>2265</v>
      </c>
      <c r="X8" s="48" t="s">
        <v>3078</v>
      </c>
      <c r="Y8" s="384">
        <v>7</v>
      </c>
      <c r="Z8" s="384" t="str">
        <f t="shared" si="0"/>
        <v>BI1205</v>
      </c>
      <c r="AA8" s="399">
        <f t="shared" si="1"/>
        <v>1205</v>
      </c>
    </row>
    <row r="9" spans="1:28" x14ac:dyDescent="0.25">
      <c r="A9" s="48" t="s">
        <v>68</v>
      </c>
      <c r="B9" s="50"/>
      <c r="C9" s="50" t="s">
        <v>3348</v>
      </c>
      <c r="D9" s="70"/>
      <c r="E9" s="70" t="s">
        <v>3348</v>
      </c>
      <c r="F9" s="49"/>
      <c r="G9" s="49" t="s">
        <v>3348</v>
      </c>
      <c r="H9" s="48"/>
      <c r="I9" s="48" t="e">
        <f ca="1">AI_BA(Assets!$A$24,DISP,6)</f>
        <v>#NAME?</v>
      </c>
      <c r="J9" s="48"/>
      <c r="K9" s="48"/>
      <c r="R9" s="48">
        <v>6</v>
      </c>
      <c r="S9" s="48" t="s">
        <v>2332</v>
      </c>
      <c r="T9" s="48" t="s">
        <v>2705</v>
      </c>
      <c r="U9" s="389" t="s">
        <v>2378</v>
      </c>
      <c r="V9" s="389" t="s">
        <v>3033</v>
      </c>
      <c r="W9" s="48" t="s">
        <v>2266</v>
      </c>
      <c r="X9" s="48" t="s">
        <v>3079</v>
      </c>
      <c r="Z9" s="384" t="str">
        <f t="shared" si="0"/>
        <v>BI1206</v>
      </c>
      <c r="AA9" s="399">
        <f t="shared" si="1"/>
        <v>1206</v>
      </c>
    </row>
    <row r="10" spans="1:28" x14ac:dyDescent="0.25">
      <c r="A10" s="48" t="s">
        <v>45</v>
      </c>
      <c r="B10" s="50"/>
      <c r="C10" s="50" t="s">
        <v>3349</v>
      </c>
      <c r="D10" s="70"/>
      <c r="E10" s="70" t="s">
        <v>3349</v>
      </c>
      <c r="F10" s="49"/>
      <c r="G10" s="49" t="s">
        <v>3349</v>
      </c>
      <c r="H10" s="48"/>
      <c r="I10" s="48" t="e">
        <f ca="1">AI_BA(Assets!$A$24,DISP,7)</f>
        <v>#NAME?</v>
      </c>
      <c r="J10" s="48"/>
      <c r="K10" s="48"/>
      <c r="P10" s="392" t="s">
        <v>1903</v>
      </c>
      <c r="R10" s="48">
        <v>7</v>
      </c>
      <c r="S10" s="48" t="s">
        <v>2310</v>
      </c>
      <c r="T10" s="48" t="s">
        <v>2706</v>
      </c>
      <c r="U10" s="389" t="s">
        <v>2356</v>
      </c>
      <c r="V10" s="389" t="s">
        <v>3034</v>
      </c>
      <c r="W10" s="48" t="s">
        <v>2267</v>
      </c>
      <c r="X10" s="48" t="s">
        <v>3080</v>
      </c>
      <c r="Y10" s="384">
        <v>7</v>
      </c>
      <c r="Z10" s="384" t="str">
        <f t="shared" si="0"/>
        <v>BI1207</v>
      </c>
      <c r="AA10" s="399">
        <f t="shared" si="1"/>
        <v>1207</v>
      </c>
    </row>
    <row r="11" spans="1:28" x14ac:dyDescent="0.25">
      <c r="A11" s="48" t="s">
        <v>69</v>
      </c>
      <c r="B11" s="50"/>
      <c r="C11" s="50" t="s">
        <v>3350</v>
      </c>
      <c r="D11" s="70"/>
      <c r="E11" s="70" t="s">
        <v>3350</v>
      </c>
      <c r="F11" s="49"/>
      <c r="G11" s="49" t="s">
        <v>3350</v>
      </c>
      <c r="H11" s="48"/>
      <c r="I11" s="48" t="e">
        <f ca="1">AI_BA(Assets!$A$24,DISP,8)</f>
        <v>#NAME?</v>
      </c>
      <c r="J11" s="48"/>
      <c r="K11" s="48"/>
      <c r="R11" s="48">
        <v>8</v>
      </c>
      <c r="S11" s="48" t="s">
        <v>2333</v>
      </c>
      <c r="T11" s="48" t="s">
        <v>2707</v>
      </c>
      <c r="U11" s="389" t="s">
        <v>2379</v>
      </c>
      <c r="V11" s="389" t="s">
        <v>3035</v>
      </c>
      <c r="W11" s="48" t="s">
        <v>2268</v>
      </c>
      <c r="X11" s="48" t="s">
        <v>3081</v>
      </c>
      <c r="Z11" s="384" t="str">
        <f t="shared" si="0"/>
        <v>BI1208</v>
      </c>
      <c r="AA11" s="399">
        <f t="shared" si="1"/>
        <v>1208</v>
      </c>
    </row>
    <row r="12" spans="1:28" x14ac:dyDescent="0.25">
      <c r="A12" s="48" t="s">
        <v>46</v>
      </c>
      <c r="B12" s="50"/>
      <c r="C12" s="50" t="s">
        <v>3351</v>
      </c>
      <c r="D12" s="70"/>
      <c r="E12" s="70" t="s">
        <v>3351</v>
      </c>
      <c r="F12" s="49"/>
      <c r="G12" s="49" t="s">
        <v>3351</v>
      </c>
      <c r="H12" s="48"/>
      <c r="I12" s="48" t="e">
        <f ca="1">AI_BA(Assets!$A$24,DISP,9)</f>
        <v>#NAME?</v>
      </c>
      <c r="J12" s="48"/>
      <c r="K12" s="48"/>
      <c r="P12" s="392" t="s">
        <v>1903</v>
      </c>
      <c r="R12" s="48">
        <v>9</v>
      </c>
      <c r="S12" s="48" t="s">
        <v>2311</v>
      </c>
      <c r="T12" s="48" t="s">
        <v>2708</v>
      </c>
      <c r="U12" s="389" t="s">
        <v>2357</v>
      </c>
      <c r="V12" s="389" t="s">
        <v>3036</v>
      </c>
      <c r="W12" s="48" t="s">
        <v>2269</v>
      </c>
      <c r="X12" s="48" t="s">
        <v>3082</v>
      </c>
      <c r="Y12" s="384">
        <v>7</v>
      </c>
      <c r="Z12" s="384" t="str">
        <f t="shared" si="0"/>
        <v>BI1209</v>
      </c>
      <c r="AA12" s="399">
        <f t="shared" si="1"/>
        <v>1209</v>
      </c>
    </row>
    <row r="13" spans="1:28" x14ac:dyDescent="0.25">
      <c r="A13" s="48" t="s">
        <v>70</v>
      </c>
      <c r="B13" s="50"/>
      <c r="C13" s="50" t="s">
        <v>3352</v>
      </c>
      <c r="D13" s="70"/>
      <c r="E13" s="70" t="s">
        <v>3352</v>
      </c>
      <c r="F13" s="49"/>
      <c r="G13" s="49" t="s">
        <v>3352</v>
      </c>
      <c r="H13" s="48"/>
      <c r="I13" s="48" t="e">
        <f ca="1">AI_BA(Assets!$A$24,DISP,10)</f>
        <v>#NAME?</v>
      </c>
      <c r="J13" s="48"/>
      <c r="K13" s="48"/>
      <c r="R13" s="48">
        <v>10</v>
      </c>
      <c r="S13" s="48" t="s">
        <v>2334</v>
      </c>
      <c r="T13" s="48" t="s">
        <v>2709</v>
      </c>
      <c r="U13" s="389" t="s">
        <v>2380</v>
      </c>
      <c r="V13" s="389" t="s">
        <v>3037</v>
      </c>
      <c r="W13" s="48" t="s">
        <v>2270</v>
      </c>
      <c r="X13" s="48" t="s">
        <v>3083</v>
      </c>
      <c r="Z13" s="384" t="str">
        <f t="shared" si="0"/>
        <v>BI1210</v>
      </c>
      <c r="AA13" s="399">
        <f t="shared" si="1"/>
        <v>1210</v>
      </c>
    </row>
    <row r="14" spans="1:28" x14ac:dyDescent="0.25">
      <c r="A14" s="48" t="s">
        <v>47</v>
      </c>
      <c r="B14" s="50"/>
      <c r="C14" s="50" t="s">
        <v>3353</v>
      </c>
      <c r="D14" s="70"/>
      <c r="E14" s="70" t="s">
        <v>3353</v>
      </c>
      <c r="F14" s="49"/>
      <c r="G14" s="49" t="s">
        <v>3353</v>
      </c>
      <c r="H14" s="48"/>
      <c r="I14" s="48" t="e">
        <f ca="1">AI_BA(Assets!$A$24,DISP,11)</f>
        <v>#NAME?</v>
      </c>
      <c r="J14" s="48"/>
      <c r="K14" s="48"/>
      <c r="P14" s="392" t="s">
        <v>1903</v>
      </c>
      <c r="R14" s="48">
        <v>11</v>
      </c>
      <c r="S14" s="48" t="s">
        <v>2312</v>
      </c>
      <c r="T14" s="48" t="s">
        <v>2710</v>
      </c>
      <c r="U14" s="389" t="s">
        <v>2358</v>
      </c>
      <c r="V14" s="389" t="s">
        <v>3038</v>
      </c>
      <c r="W14" s="48" t="s">
        <v>2271</v>
      </c>
      <c r="X14" s="48" t="s">
        <v>3084</v>
      </c>
      <c r="Y14" s="384">
        <v>7</v>
      </c>
      <c r="Z14" s="384" t="str">
        <f t="shared" si="0"/>
        <v>BI1211</v>
      </c>
      <c r="AA14" s="399">
        <f t="shared" si="1"/>
        <v>1211</v>
      </c>
    </row>
    <row r="15" spans="1:28" x14ac:dyDescent="0.25">
      <c r="A15" s="48" t="s">
        <v>71</v>
      </c>
      <c r="B15" s="50"/>
      <c r="C15" s="50" t="s">
        <v>3354</v>
      </c>
      <c r="D15" s="70"/>
      <c r="E15" s="70" t="s">
        <v>3354</v>
      </c>
      <c r="F15" s="49"/>
      <c r="G15" s="49" t="s">
        <v>3354</v>
      </c>
      <c r="H15" s="48"/>
      <c r="I15" s="48" t="e">
        <f ca="1">AI_BA(Assets!$A$24,DISP,12)</f>
        <v>#NAME?</v>
      </c>
      <c r="J15" s="48"/>
      <c r="K15" s="48"/>
      <c r="R15" s="48">
        <v>12</v>
      </c>
      <c r="S15" s="48" t="s">
        <v>2335</v>
      </c>
      <c r="T15" s="48" t="s">
        <v>2711</v>
      </c>
      <c r="U15" s="389" t="s">
        <v>2381</v>
      </c>
      <c r="V15" s="389" t="s">
        <v>3039</v>
      </c>
      <c r="W15" s="48" t="s">
        <v>2272</v>
      </c>
      <c r="X15" s="48" t="s">
        <v>3085</v>
      </c>
      <c r="Z15" s="384" t="str">
        <f t="shared" si="0"/>
        <v>BI1212</v>
      </c>
      <c r="AA15" s="399">
        <f t="shared" si="1"/>
        <v>1212</v>
      </c>
    </row>
    <row r="16" spans="1:28" x14ac:dyDescent="0.25">
      <c r="A16" s="48" t="s">
        <v>48</v>
      </c>
      <c r="B16" s="50"/>
      <c r="C16" s="50" t="s">
        <v>3355</v>
      </c>
      <c r="D16" s="70"/>
      <c r="E16" s="70" t="s">
        <v>3355</v>
      </c>
      <c r="F16" s="49"/>
      <c r="G16" s="49" t="s">
        <v>3355</v>
      </c>
      <c r="H16" s="48"/>
      <c r="I16" s="48" t="e">
        <f ca="1">AI_BA(Assets!$A$24,DISP,13)</f>
        <v>#NAME?</v>
      </c>
      <c r="J16" s="48"/>
      <c r="K16" s="48"/>
      <c r="P16" s="392" t="s">
        <v>1903</v>
      </c>
      <c r="R16" s="48">
        <v>13</v>
      </c>
      <c r="S16" s="48" t="s">
        <v>2313</v>
      </c>
      <c r="T16" s="48" t="s">
        <v>2712</v>
      </c>
      <c r="U16" s="389" t="s">
        <v>2359</v>
      </c>
      <c r="V16" s="389" t="s">
        <v>3040</v>
      </c>
      <c r="W16" s="48" t="s">
        <v>2273</v>
      </c>
      <c r="X16" s="48" t="s">
        <v>3086</v>
      </c>
      <c r="Y16" s="384">
        <v>7</v>
      </c>
      <c r="Z16" s="384" t="str">
        <f t="shared" si="0"/>
        <v>BI1213</v>
      </c>
      <c r="AA16" s="399">
        <f t="shared" si="1"/>
        <v>1213</v>
      </c>
    </row>
    <row r="17" spans="1:27" x14ac:dyDescent="0.25">
      <c r="A17" s="48" t="s">
        <v>72</v>
      </c>
      <c r="B17" s="50"/>
      <c r="C17" s="50" t="s">
        <v>3356</v>
      </c>
      <c r="D17" s="70"/>
      <c r="E17" s="70" t="s">
        <v>3356</v>
      </c>
      <c r="F17" s="49"/>
      <c r="G17" s="49" t="s">
        <v>3356</v>
      </c>
      <c r="H17" s="48"/>
      <c r="I17" s="48" t="e">
        <f ca="1">AI_BA(Assets!$A$24,DISP,14)</f>
        <v>#NAME?</v>
      </c>
      <c r="J17" s="48"/>
      <c r="K17" s="48"/>
      <c r="R17" s="48">
        <v>14</v>
      </c>
      <c r="S17" s="48" t="s">
        <v>2336</v>
      </c>
      <c r="T17" s="48" t="s">
        <v>2713</v>
      </c>
      <c r="U17" s="389" t="s">
        <v>2382</v>
      </c>
      <c r="V17" s="389" t="s">
        <v>3041</v>
      </c>
      <c r="W17" s="48" t="s">
        <v>2274</v>
      </c>
      <c r="X17" s="48" t="s">
        <v>3087</v>
      </c>
      <c r="Z17" s="384" t="str">
        <f t="shared" si="0"/>
        <v>BI1214</v>
      </c>
      <c r="AA17" s="399">
        <f t="shared" si="1"/>
        <v>1214</v>
      </c>
    </row>
    <row r="18" spans="1:27" x14ac:dyDescent="0.25">
      <c r="A18" s="48" t="s">
        <v>49</v>
      </c>
      <c r="B18" s="50"/>
      <c r="C18" s="50" t="s">
        <v>3357</v>
      </c>
      <c r="D18" s="70"/>
      <c r="E18" s="70" t="s">
        <v>3357</v>
      </c>
      <c r="F18" s="49"/>
      <c r="G18" s="49" t="s">
        <v>3357</v>
      </c>
      <c r="H18" s="48"/>
      <c r="I18" s="48" t="e">
        <f ca="1">AI_BA(Assets!$A$24,DISP,15)</f>
        <v>#NAME?</v>
      </c>
      <c r="J18" s="48"/>
      <c r="K18" s="48"/>
      <c r="P18" s="392" t="s">
        <v>1903</v>
      </c>
      <c r="R18" s="48">
        <v>15</v>
      </c>
      <c r="S18" s="48" t="s">
        <v>2314</v>
      </c>
      <c r="T18" s="48" t="s">
        <v>2714</v>
      </c>
      <c r="U18" s="389" t="s">
        <v>2360</v>
      </c>
      <c r="V18" s="389" t="s">
        <v>3042</v>
      </c>
      <c r="W18" s="48" t="s">
        <v>2275</v>
      </c>
      <c r="X18" s="48" t="s">
        <v>3088</v>
      </c>
      <c r="Y18" s="384">
        <v>7</v>
      </c>
      <c r="Z18" s="384" t="str">
        <f t="shared" si="0"/>
        <v>BI1215</v>
      </c>
      <c r="AA18" s="399">
        <f t="shared" si="1"/>
        <v>1215</v>
      </c>
    </row>
    <row r="19" spans="1:27" x14ac:dyDescent="0.25">
      <c r="A19" s="48" t="s">
        <v>73</v>
      </c>
      <c r="B19" s="50"/>
      <c r="C19" s="50" t="s">
        <v>3358</v>
      </c>
      <c r="D19" s="70"/>
      <c r="E19" s="70" t="s">
        <v>3358</v>
      </c>
      <c r="F19" s="49"/>
      <c r="G19" s="49" t="s">
        <v>3358</v>
      </c>
      <c r="H19" s="48"/>
      <c r="I19" s="48" t="e">
        <f ca="1">AI_BA(Assets!$A$24,DISP,16)</f>
        <v>#NAME?</v>
      </c>
      <c r="J19" s="48"/>
      <c r="K19" s="48"/>
      <c r="R19" s="48">
        <v>16</v>
      </c>
      <c r="S19" s="48" t="s">
        <v>2337</v>
      </c>
      <c r="T19" s="48" t="s">
        <v>2715</v>
      </c>
      <c r="U19" s="389" t="s">
        <v>2383</v>
      </c>
      <c r="V19" s="389" t="s">
        <v>3043</v>
      </c>
      <c r="W19" s="48" t="s">
        <v>2276</v>
      </c>
      <c r="X19" s="48" t="s">
        <v>3089</v>
      </c>
      <c r="Z19" s="384" t="str">
        <f t="shared" si="0"/>
        <v>BI1216</v>
      </c>
      <c r="AA19" s="399">
        <f t="shared" si="1"/>
        <v>1216</v>
      </c>
    </row>
    <row r="20" spans="1:27" x14ac:dyDescent="0.25">
      <c r="A20" s="48" t="s">
        <v>50</v>
      </c>
      <c r="B20" s="50"/>
      <c r="C20" s="50" t="s">
        <v>3359</v>
      </c>
      <c r="D20" s="70"/>
      <c r="E20" s="70" t="s">
        <v>3359</v>
      </c>
      <c r="F20" s="49"/>
      <c r="G20" s="49" t="s">
        <v>3359</v>
      </c>
      <c r="H20" s="48"/>
      <c r="I20" s="48" t="e">
        <f ca="1">AI_BA(Assets!$A$24,DISP,17)</f>
        <v>#NAME?</v>
      </c>
      <c r="J20" s="48"/>
      <c r="K20" s="48"/>
      <c r="P20" s="392" t="s">
        <v>1903</v>
      </c>
      <c r="R20" s="48">
        <v>17</v>
      </c>
      <c r="S20" s="48" t="s">
        <v>2315</v>
      </c>
      <c r="T20" s="48" t="s">
        <v>2716</v>
      </c>
      <c r="U20" s="389" t="s">
        <v>2361</v>
      </c>
      <c r="V20" s="389" t="s">
        <v>3044</v>
      </c>
      <c r="W20" s="48" t="s">
        <v>2277</v>
      </c>
      <c r="X20" s="48" t="s">
        <v>3090</v>
      </c>
      <c r="Y20" s="384">
        <v>7</v>
      </c>
      <c r="Z20" s="384" t="str">
        <f t="shared" si="0"/>
        <v>BI1217</v>
      </c>
      <c r="AA20" s="399">
        <f t="shared" si="1"/>
        <v>1217</v>
      </c>
    </row>
    <row r="21" spans="1:27" x14ac:dyDescent="0.25">
      <c r="A21" s="48" t="s">
        <v>74</v>
      </c>
      <c r="B21" s="50"/>
      <c r="C21" s="50" t="s">
        <v>3360</v>
      </c>
      <c r="D21" s="70"/>
      <c r="E21" s="70" t="s">
        <v>3360</v>
      </c>
      <c r="F21" s="49"/>
      <c r="G21" s="49" t="s">
        <v>3360</v>
      </c>
      <c r="H21" s="48"/>
      <c r="I21" s="48" t="e">
        <f ca="1">AI_BA(Assets!$A$24,DISP,18)</f>
        <v>#NAME?</v>
      </c>
      <c r="J21" s="48"/>
      <c r="K21" s="48"/>
      <c r="R21" s="48">
        <v>18</v>
      </c>
      <c r="S21" s="48" t="s">
        <v>2338</v>
      </c>
      <c r="T21" s="48" t="s">
        <v>2717</v>
      </c>
      <c r="U21" s="389" t="s">
        <v>2384</v>
      </c>
      <c r="V21" s="389" t="s">
        <v>3045</v>
      </c>
      <c r="W21" s="48" t="s">
        <v>2278</v>
      </c>
      <c r="X21" s="48" t="s">
        <v>3091</v>
      </c>
      <c r="Z21" s="384" t="str">
        <f t="shared" si="0"/>
        <v>BI1218</v>
      </c>
      <c r="AA21" s="399">
        <f t="shared" si="1"/>
        <v>1218</v>
      </c>
    </row>
    <row r="22" spans="1:27" x14ac:dyDescent="0.25">
      <c r="A22" s="48" t="s">
        <v>51</v>
      </c>
      <c r="B22" s="50"/>
      <c r="C22" s="50" t="s">
        <v>3361</v>
      </c>
      <c r="D22" s="70"/>
      <c r="E22" s="70" t="s">
        <v>3361</v>
      </c>
      <c r="F22" s="49"/>
      <c r="G22" s="49" t="s">
        <v>3361</v>
      </c>
      <c r="H22" s="48"/>
      <c r="I22" s="48" t="e">
        <f ca="1">AI_BA(Assets!$A$24,DISP,19)</f>
        <v>#NAME?</v>
      </c>
      <c r="J22" s="48"/>
      <c r="K22" s="48"/>
      <c r="P22" s="392" t="s">
        <v>1903</v>
      </c>
      <c r="R22" s="48">
        <v>19</v>
      </c>
      <c r="S22" s="48" t="s">
        <v>2316</v>
      </c>
      <c r="T22" s="48" t="s">
        <v>2718</v>
      </c>
      <c r="U22" s="389" t="s">
        <v>2362</v>
      </c>
      <c r="V22" s="389" t="s">
        <v>3046</v>
      </c>
      <c r="W22" s="48" t="s">
        <v>2279</v>
      </c>
      <c r="X22" s="48" t="s">
        <v>3092</v>
      </c>
      <c r="Y22" s="384">
        <v>7</v>
      </c>
      <c r="Z22" s="384" t="str">
        <f t="shared" si="0"/>
        <v>BI1219</v>
      </c>
      <c r="AA22" s="399">
        <f t="shared" si="1"/>
        <v>1219</v>
      </c>
    </row>
    <row r="23" spans="1:27" x14ac:dyDescent="0.25">
      <c r="A23" s="48" t="s">
        <v>75</v>
      </c>
      <c r="B23" s="50"/>
      <c r="C23" s="50" t="s">
        <v>3362</v>
      </c>
      <c r="D23" s="70"/>
      <c r="E23" s="70" t="s">
        <v>3362</v>
      </c>
      <c r="F23" s="49"/>
      <c r="G23" s="49" t="s">
        <v>3362</v>
      </c>
      <c r="H23" s="48"/>
      <c r="I23" s="48" t="e">
        <f ca="1">AI_BA(Assets!$A$24,DISP,20)</f>
        <v>#NAME?</v>
      </c>
      <c r="J23" s="48"/>
      <c r="K23" s="48"/>
      <c r="R23" s="48">
        <v>20</v>
      </c>
      <c r="S23" s="48" t="s">
        <v>2339</v>
      </c>
      <c r="T23" s="48" t="s">
        <v>2719</v>
      </c>
      <c r="U23" s="389" t="s">
        <v>2385</v>
      </c>
      <c r="V23" s="389" t="s">
        <v>3047</v>
      </c>
      <c r="W23" s="48" t="s">
        <v>2280</v>
      </c>
      <c r="X23" s="48" t="s">
        <v>3093</v>
      </c>
      <c r="Z23" s="384" t="str">
        <f t="shared" si="0"/>
        <v>BI1220</v>
      </c>
      <c r="AA23" s="399">
        <f t="shared" si="1"/>
        <v>1220</v>
      </c>
    </row>
    <row r="24" spans="1:27" x14ac:dyDescent="0.25">
      <c r="A24" s="48" t="s">
        <v>52</v>
      </c>
      <c r="B24" s="50"/>
      <c r="C24" s="50" t="s">
        <v>3363</v>
      </c>
      <c r="D24" s="70"/>
      <c r="E24" s="70" t="s">
        <v>3363</v>
      </c>
      <c r="F24" s="49"/>
      <c r="G24" s="49" t="s">
        <v>3363</v>
      </c>
      <c r="H24" s="48"/>
      <c r="I24" s="48" t="e">
        <f ca="1">AI_BA(Assets!$A$24,DISP,21)</f>
        <v>#NAME?</v>
      </c>
      <c r="J24" s="48"/>
      <c r="K24" s="48"/>
      <c r="P24" s="392" t="s">
        <v>1903</v>
      </c>
      <c r="R24" s="48">
        <v>21</v>
      </c>
      <c r="S24" s="48" t="s">
        <v>2317</v>
      </c>
      <c r="T24" s="48" t="s">
        <v>2720</v>
      </c>
      <c r="U24" s="389" t="s">
        <v>2363</v>
      </c>
      <c r="V24" s="389" t="s">
        <v>3048</v>
      </c>
      <c r="W24" s="48" t="s">
        <v>2281</v>
      </c>
      <c r="X24" s="48" t="s">
        <v>3094</v>
      </c>
      <c r="Y24" s="384">
        <v>7</v>
      </c>
      <c r="Z24" s="384" t="str">
        <f t="shared" si="0"/>
        <v>BI1221</v>
      </c>
      <c r="AA24" s="399">
        <f t="shared" si="1"/>
        <v>1221</v>
      </c>
    </row>
    <row r="25" spans="1:27" x14ac:dyDescent="0.25">
      <c r="A25" s="48" t="s">
        <v>76</v>
      </c>
      <c r="B25" s="50"/>
      <c r="C25" s="50" t="s">
        <v>3364</v>
      </c>
      <c r="D25" s="70"/>
      <c r="E25" s="70" t="s">
        <v>3364</v>
      </c>
      <c r="F25" s="49"/>
      <c r="G25" s="49" t="s">
        <v>3364</v>
      </c>
      <c r="H25" s="48"/>
      <c r="I25" s="48" t="e">
        <f ca="1">AI_BA(Assets!$A$24,DISP,22)</f>
        <v>#NAME?</v>
      </c>
      <c r="J25" s="48"/>
      <c r="K25" s="48"/>
      <c r="R25" s="48">
        <v>22</v>
      </c>
      <c r="S25" s="48" t="s">
        <v>2340</v>
      </c>
      <c r="T25" s="48" t="s">
        <v>2721</v>
      </c>
      <c r="U25" s="389" t="s">
        <v>2386</v>
      </c>
      <c r="V25" s="389" t="s">
        <v>3049</v>
      </c>
      <c r="W25" s="48" t="s">
        <v>2282</v>
      </c>
      <c r="X25" s="48" t="s">
        <v>3095</v>
      </c>
      <c r="Z25" s="384" t="str">
        <f t="shared" si="0"/>
        <v>BI1222</v>
      </c>
      <c r="AA25" s="399">
        <f t="shared" si="1"/>
        <v>1222</v>
      </c>
    </row>
    <row r="26" spans="1:27" x14ac:dyDescent="0.25">
      <c r="A26" s="48" t="s">
        <v>53</v>
      </c>
      <c r="B26" s="50"/>
      <c r="C26" s="50" t="s">
        <v>3365</v>
      </c>
      <c r="D26" s="70"/>
      <c r="E26" s="70" t="s">
        <v>3365</v>
      </c>
      <c r="F26" s="49"/>
      <c r="G26" s="49" t="s">
        <v>3365</v>
      </c>
      <c r="H26" s="48"/>
      <c r="I26" s="48" t="e">
        <f ca="1">AI_BA(Assets!$A$24,DISP,23)</f>
        <v>#NAME?</v>
      </c>
      <c r="J26" s="48"/>
      <c r="K26" s="48"/>
      <c r="P26" s="392" t="s">
        <v>1903</v>
      </c>
      <c r="R26" s="48">
        <v>23</v>
      </c>
      <c r="S26" s="48" t="s">
        <v>2318</v>
      </c>
      <c r="T26" s="48" t="s">
        <v>2722</v>
      </c>
      <c r="U26" s="389" t="s">
        <v>2364</v>
      </c>
      <c r="V26" s="389" t="s">
        <v>3050</v>
      </c>
      <c r="W26" s="48" t="s">
        <v>2283</v>
      </c>
      <c r="X26" s="48" t="s">
        <v>3096</v>
      </c>
      <c r="Y26" s="384">
        <v>7</v>
      </c>
      <c r="Z26" s="384" t="str">
        <f t="shared" si="0"/>
        <v>BI1223</v>
      </c>
      <c r="AA26" s="399">
        <f t="shared" si="1"/>
        <v>1223</v>
      </c>
    </row>
    <row r="27" spans="1:27" x14ac:dyDescent="0.25">
      <c r="A27" s="48" t="s">
        <v>77</v>
      </c>
      <c r="B27" s="50"/>
      <c r="C27" s="50" t="s">
        <v>3366</v>
      </c>
      <c r="D27" s="70"/>
      <c r="E27" s="70" t="s">
        <v>3366</v>
      </c>
      <c r="F27" s="49"/>
      <c r="G27" s="49" t="s">
        <v>3366</v>
      </c>
      <c r="H27" s="48"/>
      <c r="I27" s="48" t="e">
        <f ca="1">AI_BA(Assets!$A$24,DISP,24)</f>
        <v>#NAME?</v>
      </c>
      <c r="J27" s="48"/>
      <c r="K27" s="48"/>
      <c r="R27" s="48">
        <v>24</v>
      </c>
      <c r="S27" s="48" t="s">
        <v>2341</v>
      </c>
      <c r="T27" s="48" t="s">
        <v>2723</v>
      </c>
      <c r="U27" s="389" t="s">
        <v>2387</v>
      </c>
      <c r="V27" s="389" t="s">
        <v>3051</v>
      </c>
      <c r="W27" s="48" t="s">
        <v>2284</v>
      </c>
      <c r="X27" s="48" t="s">
        <v>3097</v>
      </c>
      <c r="Z27" s="384" t="str">
        <f t="shared" si="0"/>
        <v>BI1224</v>
      </c>
      <c r="AA27" s="399">
        <f t="shared" si="1"/>
        <v>1224</v>
      </c>
    </row>
    <row r="28" spans="1:27" x14ac:dyDescent="0.25">
      <c r="A28" s="48" t="s">
        <v>54</v>
      </c>
      <c r="B28" s="50"/>
      <c r="C28" s="50" t="s">
        <v>3367</v>
      </c>
      <c r="D28" s="70"/>
      <c r="E28" s="70" t="s">
        <v>3367</v>
      </c>
      <c r="F28" s="49"/>
      <c r="G28" s="49" t="s">
        <v>3367</v>
      </c>
      <c r="H28" s="48"/>
      <c r="I28" s="48" t="e">
        <f ca="1">AI_BA(Assets!$A$24,DISP,25)</f>
        <v>#NAME?</v>
      </c>
      <c r="J28" s="48"/>
      <c r="K28" s="48"/>
      <c r="P28" s="392" t="s">
        <v>1903</v>
      </c>
      <c r="R28" s="48">
        <v>25</v>
      </c>
      <c r="S28" s="48" t="s">
        <v>2319</v>
      </c>
      <c r="T28" s="48" t="s">
        <v>2724</v>
      </c>
      <c r="U28" s="389" t="s">
        <v>2365</v>
      </c>
      <c r="V28" s="389" t="s">
        <v>3052</v>
      </c>
      <c r="W28" s="48" t="s">
        <v>2285</v>
      </c>
      <c r="X28" s="48" t="s">
        <v>3098</v>
      </c>
      <c r="Y28" s="384">
        <v>7</v>
      </c>
      <c r="Z28" s="384" t="str">
        <f t="shared" si="0"/>
        <v>BI1225</v>
      </c>
      <c r="AA28" s="399">
        <f t="shared" si="1"/>
        <v>1225</v>
      </c>
    </row>
    <row r="29" spans="1:27" x14ac:dyDescent="0.25">
      <c r="A29" s="48" t="s">
        <v>78</v>
      </c>
      <c r="B29" s="50"/>
      <c r="C29" s="50" t="s">
        <v>3368</v>
      </c>
      <c r="D29" s="70"/>
      <c r="E29" s="70" t="s">
        <v>3368</v>
      </c>
      <c r="F29" s="49"/>
      <c r="G29" s="49" t="s">
        <v>3368</v>
      </c>
      <c r="H29" s="48"/>
      <c r="I29" s="48" t="e">
        <f ca="1">AI_BA(Assets!$A$24,DISP,26)</f>
        <v>#NAME?</v>
      </c>
      <c r="J29" s="48"/>
      <c r="K29" s="48"/>
      <c r="R29" s="48">
        <v>26</v>
      </c>
      <c r="S29" s="48" t="s">
        <v>2342</v>
      </c>
      <c r="T29" s="48" t="s">
        <v>2725</v>
      </c>
      <c r="U29" s="389" t="s">
        <v>2388</v>
      </c>
      <c r="V29" s="389" t="s">
        <v>3053</v>
      </c>
      <c r="W29" s="48" t="s">
        <v>2286</v>
      </c>
      <c r="X29" s="48" t="s">
        <v>3099</v>
      </c>
      <c r="Z29" s="384" t="str">
        <f t="shared" si="0"/>
        <v>BI1226</v>
      </c>
      <c r="AA29" s="399">
        <f t="shared" si="1"/>
        <v>1226</v>
      </c>
    </row>
    <row r="30" spans="1:27" x14ac:dyDescent="0.25">
      <c r="A30" s="48" t="s">
        <v>55</v>
      </c>
      <c r="B30" s="50"/>
      <c r="C30" s="50" t="s">
        <v>3369</v>
      </c>
      <c r="D30" s="70"/>
      <c r="E30" s="70" t="s">
        <v>3369</v>
      </c>
      <c r="F30" s="49"/>
      <c r="G30" s="49" t="s">
        <v>3369</v>
      </c>
      <c r="H30" s="48"/>
      <c r="I30" s="48" t="e">
        <f ca="1">AI_BA(Assets!$A$24,DISP,27)</f>
        <v>#NAME?</v>
      </c>
      <c r="J30" s="48"/>
      <c r="K30" s="48"/>
      <c r="P30" s="392" t="s">
        <v>1903</v>
      </c>
      <c r="R30" s="48">
        <v>27</v>
      </c>
      <c r="S30" s="48" t="s">
        <v>2320</v>
      </c>
      <c r="T30" s="48" t="s">
        <v>2726</v>
      </c>
      <c r="U30" s="389" t="s">
        <v>2366</v>
      </c>
      <c r="V30" s="389" t="s">
        <v>3054</v>
      </c>
      <c r="W30" s="48" t="s">
        <v>2287</v>
      </c>
      <c r="X30" s="48" t="s">
        <v>3100</v>
      </c>
      <c r="Y30" s="384">
        <v>7</v>
      </c>
      <c r="Z30" s="384" t="str">
        <f t="shared" si="0"/>
        <v>BI1227</v>
      </c>
      <c r="AA30" s="399">
        <f t="shared" si="1"/>
        <v>1227</v>
      </c>
    </row>
    <row r="31" spans="1:27" x14ac:dyDescent="0.25">
      <c r="A31" s="48" t="s">
        <v>79</v>
      </c>
      <c r="B31" s="50"/>
      <c r="C31" s="50" t="s">
        <v>3370</v>
      </c>
      <c r="D31" s="70"/>
      <c r="E31" s="70" t="s">
        <v>3370</v>
      </c>
      <c r="F31" s="49"/>
      <c r="G31" s="49" t="s">
        <v>3370</v>
      </c>
      <c r="H31" s="48"/>
      <c r="I31" s="48" t="e">
        <f ca="1">AI_BA(Assets!$A$24,DISP,28)</f>
        <v>#NAME?</v>
      </c>
      <c r="J31" s="48"/>
      <c r="K31" s="48"/>
      <c r="R31" s="48">
        <v>28</v>
      </c>
      <c r="S31" s="48" t="s">
        <v>2343</v>
      </c>
      <c r="T31" s="48" t="s">
        <v>2727</v>
      </c>
      <c r="U31" s="389" t="s">
        <v>2389</v>
      </c>
      <c r="V31" s="389" t="s">
        <v>3055</v>
      </c>
      <c r="W31" s="48" t="s">
        <v>2288</v>
      </c>
      <c r="X31" s="48" t="s">
        <v>3101</v>
      </c>
      <c r="Z31" s="384" t="str">
        <f t="shared" si="0"/>
        <v>BI1228</v>
      </c>
      <c r="AA31" s="399">
        <f t="shared" si="1"/>
        <v>1228</v>
      </c>
    </row>
    <row r="32" spans="1:27" x14ac:dyDescent="0.25">
      <c r="A32" s="48" t="s">
        <v>56</v>
      </c>
      <c r="B32" s="50"/>
      <c r="C32" s="50" t="s">
        <v>3371</v>
      </c>
      <c r="D32" s="70"/>
      <c r="E32" s="70" t="s">
        <v>3371</v>
      </c>
      <c r="F32" s="49"/>
      <c r="G32" s="49" t="s">
        <v>3371</v>
      </c>
      <c r="H32" s="48"/>
      <c r="I32" s="48" t="e">
        <f ca="1">AI_BA(Assets!$A$24,DISP,29)</f>
        <v>#NAME?</v>
      </c>
      <c r="J32" s="48"/>
      <c r="K32" s="48"/>
      <c r="P32" s="392" t="s">
        <v>1903</v>
      </c>
      <c r="R32" s="48">
        <v>29</v>
      </c>
      <c r="S32" s="48" t="s">
        <v>2321</v>
      </c>
      <c r="T32" s="48" t="s">
        <v>2728</v>
      </c>
      <c r="U32" s="389" t="s">
        <v>2367</v>
      </c>
      <c r="V32" s="389" t="s">
        <v>3056</v>
      </c>
      <c r="W32" s="48" t="s">
        <v>2289</v>
      </c>
      <c r="X32" s="48" t="s">
        <v>3102</v>
      </c>
      <c r="Y32" s="384">
        <v>7</v>
      </c>
      <c r="Z32" s="384" t="str">
        <f t="shared" si="0"/>
        <v>BI1229</v>
      </c>
      <c r="AA32" s="399">
        <f t="shared" si="1"/>
        <v>1229</v>
      </c>
    </row>
    <row r="33" spans="1:27" x14ac:dyDescent="0.25">
      <c r="A33" s="48" t="s">
        <v>80</v>
      </c>
      <c r="B33" s="50"/>
      <c r="C33" s="50" t="s">
        <v>3372</v>
      </c>
      <c r="D33" s="70"/>
      <c r="E33" s="70" t="s">
        <v>3372</v>
      </c>
      <c r="F33" s="49"/>
      <c r="G33" s="49" t="s">
        <v>3372</v>
      </c>
      <c r="H33" s="48"/>
      <c r="I33" s="48" t="e">
        <f ca="1">AI_BA(Assets!$A$24,DISP,30)</f>
        <v>#NAME?</v>
      </c>
      <c r="J33" s="48"/>
      <c r="K33" s="48"/>
      <c r="R33" s="48">
        <v>30</v>
      </c>
      <c r="S33" s="48" t="s">
        <v>2344</v>
      </c>
      <c r="T33" s="48" t="s">
        <v>2729</v>
      </c>
      <c r="U33" s="389" t="s">
        <v>2390</v>
      </c>
      <c r="V33" s="389" t="s">
        <v>3057</v>
      </c>
      <c r="W33" s="48" t="s">
        <v>2290</v>
      </c>
      <c r="X33" s="48" t="s">
        <v>3103</v>
      </c>
      <c r="Z33" s="384" t="str">
        <f t="shared" si="0"/>
        <v>BI1230</v>
      </c>
      <c r="AA33" s="399">
        <f t="shared" si="1"/>
        <v>1230</v>
      </c>
    </row>
    <row r="34" spans="1:27" x14ac:dyDescent="0.25">
      <c r="A34" s="48" t="s">
        <v>57</v>
      </c>
      <c r="B34" s="50"/>
      <c r="C34" s="50" t="s">
        <v>3373</v>
      </c>
      <c r="D34" s="70"/>
      <c r="E34" s="70" t="s">
        <v>3373</v>
      </c>
      <c r="F34" s="49"/>
      <c r="G34" s="49" t="s">
        <v>3373</v>
      </c>
      <c r="H34" s="48"/>
      <c r="I34" s="48" t="e">
        <f ca="1">AI_BA(Assets!$A$24,DISP,31)</f>
        <v>#NAME?</v>
      </c>
      <c r="J34" s="48"/>
      <c r="K34" s="48"/>
      <c r="P34" s="392" t="s">
        <v>1903</v>
      </c>
      <c r="R34" s="48">
        <v>31</v>
      </c>
      <c r="S34" s="48" t="s">
        <v>2322</v>
      </c>
      <c r="T34" s="48" t="s">
        <v>2730</v>
      </c>
      <c r="U34" s="389" t="s">
        <v>2368</v>
      </c>
      <c r="V34" s="389" t="s">
        <v>3058</v>
      </c>
      <c r="W34" s="48" t="s">
        <v>2291</v>
      </c>
      <c r="X34" s="48" t="s">
        <v>3104</v>
      </c>
      <c r="Y34" s="384">
        <v>7</v>
      </c>
      <c r="Z34" s="384" t="str">
        <f t="shared" si="0"/>
        <v>BI1231</v>
      </c>
      <c r="AA34" s="399">
        <f t="shared" si="1"/>
        <v>1231</v>
      </c>
    </row>
    <row r="35" spans="1:27" x14ac:dyDescent="0.25">
      <c r="A35" s="48" t="s">
        <v>81</v>
      </c>
      <c r="B35" s="50"/>
      <c r="C35" s="50" t="s">
        <v>3374</v>
      </c>
      <c r="D35" s="70"/>
      <c r="E35" s="70" t="s">
        <v>3374</v>
      </c>
      <c r="F35" s="49"/>
      <c r="G35" s="49" t="s">
        <v>3374</v>
      </c>
      <c r="H35" s="48"/>
      <c r="I35" s="48" t="e">
        <f ca="1">AI_BA(Assets!$A$24,DISP,32)</f>
        <v>#NAME?</v>
      </c>
      <c r="J35" s="48"/>
      <c r="K35" s="48"/>
      <c r="R35" s="48">
        <v>32</v>
      </c>
      <c r="S35" s="48" t="s">
        <v>2345</v>
      </c>
      <c r="T35" s="48" t="s">
        <v>2731</v>
      </c>
      <c r="U35" s="389" t="s">
        <v>2391</v>
      </c>
      <c r="V35" s="389" t="s">
        <v>3059</v>
      </c>
      <c r="W35" s="48" t="s">
        <v>2292</v>
      </c>
      <c r="X35" s="48" t="s">
        <v>3105</v>
      </c>
      <c r="Z35" s="384" t="str">
        <f t="shared" si="0"/>
        <v>BI1232</v>
      </c>
      <c r="AA35" s="399">
        <f t="shared" si="1"/>
        <v>1232</v>
      </c>
    </row>
    <row r="36" spans="1:27" x14ac:dyDescent="0.25">
      <c r="A36" s="48" t="s">
        <v>58</v>
      </c>
      <c r="B36" s="50"/>
      <c r="C36" s="50" t="s">
        <v>3375</v>
      </c>
      <c r="D36" s="70"/>
      <c r="E36" s="70" t="s">
        <v>3375</v>
      </c>
      <c r="F36" s="49"/>
      <c r="G36" s="49" t="s">
        <v>3375</v>
      </c>
      <c r="H36" s="48"/>
      <c r="I36" s="48" t="e">
        <f ca="1">AI_BA(Assets!$A$24,DISP,33)</f>
        <v>#NAME?</v>
      </c>
      <c r="J36" s="48"/>
      <c r="K36" s="48"/>
      <c r="P36" s="392" t="s">
        <v>1903</v>
      </c>
      <c r="R36" s="48">
        <v>33</v>
      </c>
      <c r="S36" s="48" t="s">
        <v>2323</v>
      </c>
      <c r="T36" s="48" t="s">
        <v>2732</v>
      </c>
      <c r="U36" s="389" t="s">
        <v>2369</v>
      </c>
      <c r="V36" s="389" t="s">
        <v>3060</v>
      </c>
      <c r="W36" s="48" t="s">
        <v>2293</v>
      </c>
      <c r="X36" s="48" t="s">
        <v>3106</v>
      </c>
      <c r="Y36" s="384">
        <v>7</v>
      </c>
      <c r="Z36" s="384" t="str">
        <f t="shared" si="0"/>
        <v>BI1233</v>
      </c>
      <c r="AA36" s="399">
        <f t="shared" si="1"/>
        <v>1233</v>
      </c>
    </row>
    <row r="37" spans="1:27" x14ac:dyDescent="0.25">
      <c r="A37" s="48" t="s">
        <v>82</v>
      </c>
      <c r="B37" s="50"/>
      <c r="C37" s="50" t="s">
        <v>3376</v>
      </c>
      <c r="D37" s="70"/>
      <c r="E37" s="70" t="s">
        <v>3376</v>
      </c>
      <c r="F37" s="49"/>
      <c r="G37" s="49" t="s">
        <v>3376</v>
      </c>
      <c r="H37" s="48"/>
      <c r="I37" s="48" t="e">
        <f ca="1">AI_BA(Assets!$A$24,DISP,34)</f>
        <v>#NAME?</v>
      </c>
      <c r="J37" s="48"/>
      <c r="K37" s="48"/>
      <c r="R37" s="48">
        <v>34</v>
      </c>
      <c r="S37" s="48" t="s">
        <v>2346</v>
      </c>
      <c r="T37" s="48" t="s">
        <v>2733</v>
      </c>
      <c r="U37" s="389" t="s">
        <v>2392</v>
      </c>
      <c r="V37" s="389" t="s">
        <v>3061</v>
      </c>
      <c r="W37" s="48" t="s">
        <v>2294</v>
      </c>
      <c r="X37" s="48" t="s">
        <v>3107</v>
      </c>
      <c r="Z37" s="384" t="str">
        <f t="shared" si="0"/>
        <v>BI1234</v>
      </c>
      <c r="AA37" s="399">
        <f t="shared" si="1"/>
        <v>1234</v>
      </c>
    </row>
    <row r="38" spans="1:27" x14ac:dyDescent="0.25">
      <c r="A38" s="48" t="s">
        <v>59</v>
      </c>
      <c r="B38" s="50"/>
      <c r="C38" s="50" t="s">
        <v>3377</v>
      </c>
      <c r="D38" s="70"/>
      <c r="E38" s="70" t="s">
        <v>3377</v>
      </c>
      <c r="F38" s="49"/>
      <c r="G38" s="49" t="s">
        <v>3377</v>
      </c>
      <c r="H38" s="48"/>
      <c r="I38" s="48" t="e">
        <f ca="1">AI_BA(Assets!$A$24,DISP,35)</f>
        <v>#NAME?</v>
      </c>
      <c r="J38" s="48"/>
      <c r="K38" s="48"/>
      <c r="P38" s="392" t="s">
        <v>1903</v>
      </c>
      <c r="R38" s="48">
        <v>35</v>
      </c>
      <c r="S38" s="48" t="s">
        <v>2324</v>
      </c>
      <c r="T38" s="48" t="s">
        <v>2734</v>
      </c>
      <c r="U38" s="389" t="s">
        <v>2370</v>
      </c>
      <c r="V38" s="389" t="s">
        <v>3062</v>
      </c>
      <c r="W38" s="48" t="s">
        <v>2295</v>
      </c>
      <c r="X38" s="48" t="s">
        <v>3108</v>
      </c>
      <c r="Y38" s="384">
        <v>7</v>
      </c>
      <c r="Z38" s="384" t="str">
        <f t="shared" si="0"/>
        <v>BI1235</v>
      </c>
      <c r="AA38" s="399">
        <f t="shared" si="1"/>
        <v>1235</v>
      </c>
    </row>
    <row r="39" spans="1:27" x14ac:dyDescent="0.25">
      <c r="A39" s="48" t="s">
        <v>83</v>
      </c>
      <c r="B39" s="50"/>
      <c r="C39" s="50" t="s">
        <v>3378</v>
      </c>
      <c r="D39" s="70"/>
      <c r="E39" s="70" t="s">
        <v>3378</v>
      </c>
      <c r="F39" s="49"/>
      <c r="G39" s="49" t="s">
        <v>3378</v>
      </c>
      <c r="H39" s="48"/>
      <c r="I39" s="48" t="e">
        <f ca="1">AI_BA(Assets!$A$24,DISP,36)</f>
        <v>#NAME?</v>
      </c>
      <c r="J39" s="48"/>
      <c r="K39" s="48"/>
      <c r="R39" s="48">
        <v>36</v>
      </c>
      <c r="S39" s="48" t="s">
        <v>2347</v>
      </c>
      <c r="T39" s="48" t="s">
        <v>2735</v>
      </c>
      <c r="U39" s="389" t="s">
        <v>2393</v>
      </c>
      <c r="V39" s="389" t="s">
        <v>3063</v>
      </c>
      <c r="W39" s="48" t="s">
        <v>2296</v>
      </c>
      <c r="X39" s="48" t="s">
        <v>3109</v>
      </c>
      <c r="Z39" s="384" t="str">
        <f t="shared" si="0"/>
        <v>BI1236</v>
      </c>
      <c r="AA39" s="399">
        <f t="shared" si="1"/>
        <v>1236</v>
      </c>
    </row>
    <row r="40" spans="1:27" x14ac:dyDescent="0.25">
      <c r="A40" s="48" t="s">
        <v>60</v>
      </c>
      <c r="B40" s="50"/>
      <c r="C40" s="50" t="s">
        <v>3379</v>
      </c>
      <c r="D40" s="70"/>
      <c r="E40" s="70" t="s">
        <v>3379</v>
      </c>
      <c r="F40" s="49"/>
      <c r="G40" s="49" t="s">
        <v>3379</v>
      </c>
      <c r="H40" s="48"/>
      <c r="I40" s="48" t="e">
        <f ca="1">AI_BA(Assets!$A$24,DISP,37)</f>
        <v>#NAME?</v>
      </c>
      <c r="J40" s="48"/>
      <c r="K40" s="48"/>
      <c r="P40" s="392" t="s">
        <v>1903</v>
      </c>
      <c r="R40" s="48">
        <v>37</v>
      </c>
      <c r="S40" s="48" t="s">
        <v>2325</v>
      </c>
      <c r="T40" s="48" t="s">
        <v>2736</v>
      </c>
      <c r="U40" s="389" t="s">
        <v>2371</v>
      </c>
      <c r="V40" s="389" t="s">
        <v>3064</v>
      </c>
      <c r="W40" s="48" t="s">
        <v>2297</v>
      </c>
      <c r="X40" s="48" t="s">
        <v>3110</v>
      </c>
      <c r="Y40" s="384">
        <v>7</v>
      </c>
      <c r="Z40" s="384" t="str">
        <f t="shared" si="0"/>
        <v>BI1237</v>
      </c>
      <c r="AA40" s="399">
        <f t="shared" si="1"/>
        <v>1237</v>
      </c>
    </row>
    <row r="41" spans="1:27" x14ac:dyDescent="0.25">
      <c r="A41" s="48" t="s">
        <v>84</v>
      </c>
      <c r="B41" s="50"/>
      <c r="C41" s="50" t="s">
        <v>3380</v>
      </c>
      <c r="D41" s="70"/>
      <c r="E41" s="70" t="s">
        <v>3380</v>
      </c>
      <c r="F41" s="49"/>
      <c r="G41" s="49" t="s">
        <v>3380</v>
      </c>
      <c r="H41" s="48"/>
      <c r="I41" s="48" t="e">
        <f ca="1">AI_BA(Assets!$A$24,DISP,38)</f>
        <v>#NAME?</v>
      </c>
      <c r="J41" s="48"/>
      <c r="K41" s="48"/>
      <c r="R41" s="48">
        <v>38</v>
      </c>
      <c r="S41" s="48" t="s">
        <v>2348</v>
      </c>
      <c r="T41" s="48" t="s">
        <v>2737</v>
      </c>
      <c r="U41" s="389" t="s">
        <v>2394</v>
      </c>
      <c r="V41" s="389" t="s">
        <v>3065</v>
      </c>
      <c r="W41" s="48" t="s">
        <v>2298</v>
      </c>
      <c r="X41" s="48" t="s">
        <v>3111</v>
      </c>
      <c r="Z41" s="384" t="str">
        <f t="shared" si="0"/>
        <v>BI1238</v>
      </c>
      <c r="AA41" s="399">
        <f t="shared" si="1"/>
        <v>1238</v>
      </c>
    </row>
    <row r="42" spans="1:27" x14ac:dyDescent="0.25">
      <c r="A42" s="48" t="s">
        <v>61</v>
      </c>
      <c r="B42" s="50"/>
      <c r="C42" s="50" t="s">
        <v>3381</v>
      </c>
      <c r="D42" s="70"/>
      <c r="E42" s="70" t="s">
        <v>3381</v>
      </c>
      <c r="F42" s="49"/>
      <c r="G42" s="49" t="s">
        <v>3381</v>
      </c>
      <c r="H42" s="48"/>
      <c r="I42" s="48" t="e">
        <f ca="1">AI_BA(Assets!$A$24,DISP,39)</f>
        <v>#NAME?</v>
      </c>
      <c r="J42" s="48"/>
      <c r="K42" s="48"/>
      <c r="P42" s="392" t="s">
        <v>1903</v>
      </c>
      <c r="R42" s="48">
        <v>39</v>
      </c>
      <c r="S42" s="48" t="s">
        <v>2326</v>
      </c>
      <c r="T42" s="48" t="s">
        <v>2738</v>
      </c>
      <c r="U42" s="389" t="s">
        <v>2372</v>
      </c>
      <c r="V42" s="389" t="s">
        <v>3066</v>
      </c>
      <c r="W42" s="48" t="s">
        <v>2299</v>
      </c>
      <c r="X42" s="48" t="s">
        <v>3112</v>
      </c>
      <c r="Y42" s="384">
        <v>7</v>
      </c>
      <c r="Z42" s="384" t="str">
        <f t="shared" si="0"/>
        <v>BI1239</v>
      </c>
      <c r="AA42" s="399">
        <f t="shared" si="1"/>
        <v>1239</v>
      </c>
    </row>
    <row r="43" spans="1:27" x14ac:dyDescent="0.25">
      <c r="A43" s="48" t="s">
        <v>85</v>
      </c>
      <c r="B43" s="50"/>
      <c r="C43" s="50" t="s">
        <v>3382</v>
      </c>
      <c r="D43" s="70"/>
      <c r="E43" s="70" t="s">
        <v>3382</v>
      </c>
      <c r="F43" s="49"/>
      <c r="G43" s="49" t="s">
        <v>3382</v>
      </c>
      <c r="H43" s="48"/>
      <c r="I43" s="48" t="e">
        <f ca="1">AI_BA(Assets!$A$24,DISP,40)</f>
        <v>#NAME?</v>
      </c>
      <c r="J43" s="48"/>
      <c r="K43" s="48"/>
      <c r="R43" s="48">
        <v>40</v>
      </c>
      <c r="S43" s="48" t="s">
        <v>2349</v>
      </c>
      <c r="T43" s="48" t="s">
        <v>2739</v>
      </c>
      <c r="U43" s="389" t="s">
        <v>2395</v>
      </c>
      <c r="V43" s="389" t="s">
        <v>3067</v>
      </c>
      <c r="W43" s="48" t="s">
        <v>2300</v>
      </c>
      <c r="X43" s="48" t="s">
        <v>3113</v>
      </c>
      <c r="Z43" s="384" t="str">
        <f t="shared" si="0"/>
        <v>BI1240</v>
      </c>
      <c r="AA43" s="399">
        <f t="shared" si="1"/>
        <v>1240</v>
      </c>
    </row>
    <row r="44" spans="1:27" x14ac:dyDescent="0.25">
      <c r="A44" s="48" t="s">
        <v>62</v>
      </c>
      <c r="B44" s="50"/>
      <c r="C44" s="50" t="s">
        <v>3383</v>
      </c>
      <c r="D44" s="70"/>
      <c r="E44" s="70" t="s">
        <v>3383</v>
      </c>
      <c r="F44" s="49"/>
      <c r="G44" s="49" t="s">
        <v>3383</v>
      </c>
      <c r="H44" s="48"/>
      <c r="I44" s="48" t="e">
        <f ca="1">AI_BA(Assets!$A$24,DISP,41)</f>
        <v>#NAME?</v>
      </c>
      <c r="J44" s="48"/>
      <c r="K44" s="48"/>
      <c r="P44" s="392" t="s">
        <v>1903</v>
      </c>
      <c r="R44" s="48">
        <v>41</v>
      </c>
      <c r="S44" s="48" t="s">
        <v>2327</v>
      </c>
      <c r="T44" s="48" t="s">
        <v>2740</v>
      </c>
      <c r="U44" s="389" t="s">
        <v>2373</v>
      </c>
      <c r="V44" s="389" t="s">
        <v>3068</v>
      </c>
      <c r="W44" s="48" t="s">
        <v>2301</v>
      </c>
      <c r="X44" s="48" t="s">
        <v>3114</v>
      </c>
      <c r="Y44" s="384">
        <v>7</v>
      </c>
      <c r="Z44" s="384" t="str">
        <f t="shared" si="0"/>
        <v>BI1241</v>
      </c>
      <c r="AA44" s="399">
        <f t="shared" si="1"/>
        <v>1241</v>
      </c>
    </row>
    <row r="45" spans="1:27" x14ac:dyDescent="0.25">
      <c r="A45" s="48" t="s">
        <v>63</v>
      </c>
      <c r="B45" s="50"/>
      <c r="C45" s="50" t="s">
        <v>3384</v>
      </c>
      <c r="D45" s="70"/>
      <c r="E45" s="70" t="s">
        <v>3384</v>
      </c>
      <c r="F45" s="49"/>
      <c r="G45" s="49" t="s">
        <v>3384</v>
      </c>
      <c r="H45" s="48"/>
      <c r="I45" s="48" t="e">
        <f ca="1">AI_BA(Assets!$A$24,DISP,42)</f>
        <v>#NAME?</v>
      </c>
      <c r="J45" s="48"/>
      <c r="K45" s="48"/>
      <c r="P45" s="392" t="s">
        <v>1903</v>
      </c>
      <c r="R45" s="48">
        <v>42</v>
      </c>
      <c r="S45" s="48" t="s">
        <v>2328</v>
      </c>
      <c r="T45" s="48" t="s">
        <v>2741</v>
      </c>
      <c r="U45" s="389" t="s">
        <v>2374</v>
      </c>
      <c r="V45" s="389" t="s">
        <v>3069</v>
      </c>
      <c r="W45" s="48" t="s">
        <v>2302</v>
      </c>
      <c r="X45" s="48" t="s">
        <v>3115</v>
      </c>
      <c r="Y45" s="384">
        <v>7</v>
      </c>
      <c r="Z45" s="384" t="str">
        <f t="shared" si="0"/>
        <v>BI1242</v>
      </c>
      <c r="AA45" s="399">
        <f t="shared" si="1"/>
        <v>1242</v>
      </c>
    </row>
    <row r="46" spans="1:27" x14ac:dyDescent="0.25">
      <c r="A46" s="48" t="s">
        <v>86</v>
      </c>
      <c r="B46" s="50"/>
      <c r="C46" s="50" t="s">
        <v>3385</v>
      </c>
      <c r="D46" s="70"/>
      <c r="E46" s="70" t="s">
        <v>3385</v>
      </c>
      <c r="F46" s="49"/>
      <c r="G46" s="49" t="s">
        <v>3385</v>
      </c>
      <c r="H46" s="48"/>
      <c r="I46" s="48" t="e">
        <f ca="1">AI_BA(Assets!$A$24,DISP,43)</f>
        <v>#NAME?</v>
      </c>
      <c r="J46" s="48"/>
      <c r="K46" s="48"/>
      <c r="R46" s="48">
        <v>43</v>
      </c>
      <c r="S46" s="48" t="s">
        <v>2350</v>
      </c>
      <c r="T46" s="48" t="s">
        <v>2742</v>
      </c>
      <c r="U46" s="389" t="s">
        <v>2396</v>
      </c>
      <c r="V46" s="389" t="s">
        <v>3070</v>
      </c>
      <c r="W46" s="48" t="s">
        <v>2303</v>
      </c>
      <c r="X46" s="48" t="s">
        <v>3116</v>
      </c>
      <c r="Z46" s="384" t="str">
        <f t="shared" si="0"/>
        <v>BI1243</v>
      </c>
      <c r="AA46" s="399">
        <f t="shared" si="1"/>
        <v>1243</v>
      </c>
    </row>
    <row r="47" spans="1:27" x14ac:dyDescent="0.25">
      <c r="A47" s="48" t="s">
        <v>64</v>
      </c>
      <c r="B47" s="50"/>
      <c r="C47" s="50"/>
      <c r="D47" s="70"/>
      <c r="E47" s="70"/>
      <c r="F47" s="49"/>
      <c r="G47" s="49"/>
      <c r="H47" s="48"/>
      <c r="I47" s="48"/>
      <c r="J47" s="48"/>
      <c r="K47" s="48"/>
      <c r="P47" s="392" t="s">
        <v>1903</v>
      </c>
      <c r="R47" s="48">
        <v>44</v>
      </c>
      <c r="S47" s="48" t="s">
        <v>2329</v>
      </c>
      <c r="T47" s="48" t="s">
        <v>2743</v>
      </c>
      <c r="U47" s="389" t="s">
        <v>2375</v>
      </c>
      <c r="V47" s="389" t="s">
        <v>3071</v>
      </c>
      <c r="W47" s="48" t="s">
        <v>2304</v>
      </c>
      <c r="X47" s="48" t="s">
        <v>3117</v>
      </c>
      <c r="Y47" s="384">
        <v>7</v>
      </c>
    </row>
    <row r="48" spans="1:27" x14ac:dyDescent="0.25">
      <c r="A48" s="48" t="s">
        <v>87</v>
      </c>
      <c r="B48" s="50"/>
      <c r="C48" s="50"/>
      <c r="D48" s="70"/>
      <c r="E48" s="70"/>
      <c r="F48" s="49"/>
      <c r="G48" s="49"/>
      <c r="H48" s="48"/>
      <c r="I48" s="48"/>
      <c r="J48" s="48"/>
      <c r="K48" s="48"/>
      <c r="P48" s="392" t="s">
        <v>1905</v>
      </c>
      <c r="R48" s="48">
        <v>45</v>
      </c>
      <c r="S48" s="48" t="s">
        <v>2351</v>
      </c>
      <c r="T48" s="48" t="s">
        <v>2744</v>
      </c>
      <c r="U48" s="390" t="s">
        <v>2397</v>
      </c>
      <c r="V48" s="390" t="s">
        <v>3072</v>
      </c>
      <c r="W48" s="48" t="s">
        <v>2305</v>
      </c>
      <c r="X48" s="48" t="s">
        <v>3118</v>
      </c>
      <c r="Y48" s="384">
        <v>1</v>
      </c>
    </row>
    <row r="49" spans="1:25" x14ac:dyDescent="0.25">
      <c r="A49" s="48" t="s">
        <v>65</v>
      </c>
      <c r="B49" s="50"/>
      <c r="C49" s="50"/>
      <c r="D49" s="70"/>
      <c r="E49" s="70"/>
      <c r="F49" s="49"/>
      <c r="G49" s="49"/>
      <c r="H49" s="48"/>
      <c r="I49" s="48"/>
      <c r="J49" s="48"/>
      <c r="K49" s="48"/>
      <c r="P49" s="392" t="s">
        <v>1905</v>
      </c>
      <c r="R49" s="48">
        <v>46</v>
      </c>
      <c r="S49" s="48" t="s">
        <v>2352</v>
      </c>
      <c r="T49" s="48" t="s">
        <v>2745</v>
      </c>
      <c r="U49" s="391" t="s">
        <v>2398</v>
      </c>
      <c r="V49" s="391" t="s">
        <v>3073</v>
      </c>
      <c r="W49" s="48" t="s">
        <v>2306</v>
      </c>
      <c r="X49" s="48" t="s">
        <v>3119</v>
      </c>
      <c r="Y49" s="384">
        <v>3</v>
      </c>
    </row>
  </sheetData>
  <autoFilter ref="A2:AC49" xr:uid="{00000000-0009-0000-0000-00000D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C594-48A7-48A9-955A-52DB584C5FF5}">
  <sheetPr>
    <pageSetUpPr fitToPage="1"/>
  </sheetPr>
  <dimension ref="A1:Q244"/>
  <sheetViews>
    <sheetView topLeftCell="A43" zoomScale="80" zoomScaleNormal="80" zoomScalePageLayoutView="90" workbookViewId="0">
      <selection activeCell="J67" sqref="J67"/>
    </sheetView>
  </sheetViews>
  <sheetFormatPr defaultColWidth="8.85546875" defaultRowHeight="15" x14ac:dyDescent="0.25"/>
  <cols>
    <col min="1" max="2" width="10.7109375" style="425" customWidth="1"/>
    <col min="3" max="3" width="45.7109375" style="425" customWidth="1"/>
    <col min="4" max="4" width="13.7109375" style="425" customWidth="1"/>
    <col min="5" max="5" width="13.7109375" style="103" customWidth="1"/>
    <col min="6" max="6" width="13.7109375" style="425" customWidth="1"/>
    <col min="7" max="7" width="13.7109375" style="103" customWidth="1"/>
    <col min="8" max="8" width="13.7109375" style="425" customWidth="1"/>
    <col min="9" max="9" width="13.7109375" style="103" customWidth="1"/>
    <col min="10" max="10" width="13.7109375" style="425" customWidth="1"/>
    <col min="11" max="11" width="13.7109375" style="103" customWidth="1"/>
    <col min="12" max="16" width="10.7109375" style="425" customWidth="1"/>
    <col min="17" max="16384" width="8.85546875" style="425"/>
  </cols>
  <sheetData>
    <row r="1" spans="1:16" x14ac:dyDescent="0.25">
      <c r="A1" s="132"/>
      <c r="B1" s="132"/>
      <c r="C1" s="132"/>
    </row>
    <row r="3" spans="1:16" x14ac:dyDescent="0.25">
      <c r="A3" s="460" t="s">
        <v>1860</v>
      </c>
      <c r="B3" s="461"/>
      <c r="C3" s="461"/>
      <c r="D3" s="461"/>
      <c r="E3" s="461"/>
      <c r="F3" s="461"/>
      <c r="G3" s="461"/>
      <c r="H3" s="461"/>
      <c r="I3" s="461"/>
      <c r="J3" s="461"/>
      <c r="K3" s="462"/>
      <c r="L3" s="424"/>
      <c r="M3" s="424"/>
      <c r="N3" s="424"/>
      <c r="O3" s="424"/>
      <c r="P3" s="424"/>
    </row>
    <row r="4" spans="1:16" x14ac:dyDescent="0.25">
      <c r="A4" s="127" t="s">
        <v>1861</v>
      </c>
      <c r="B4" s="502"/>
      <c r="C4" s="502"/>
      <c r="D4" s="502"/>
      <c r="E4" s="191" t="s">
        <v>2411</v>
      </c>
      <c r="F4" s="503"/>
      <c r="G4" s="503"/>
      <c r="H4" s="503"/>
      <c r="I4" s="131" t="s">
        <v>1881</v>
      </c>
      <c r="J4" s="504"/>
      <c r="K4" s="505"/>
      <c r="L4" s="129"/>
      <c r="P4" s="129"/>
    </row>
    <row r="5" spans="1:16" s="427" customFormat="1" x14ac:dyDescent="0.25">
      <c r="A5" s="128" t="s">
        <v>1862</v>
      </c>
      <c r="B5" s="506"/>
      <c r="C5" s="506"/>
      <c r="D5" s="506"/>
      <c r="E5" s="192" t="s">
        <v>2412</v>
      </c>
      <c r="F5" s="507"/>
      <c r="G5" s="507"/>
      <c r="H5" s="507"/>
      <c r="I5" s="195" t="s">
        <v>1881</v>
      </c>
      <c r="J5" s="508"/>
      <c r="K5" s="509"/>
    </row>
    <row r="6" spans="1:16" x14ac:dyDescent="0.25">
      <c r="A6" s="127" t="s">
        <v>1863</v>
      </c>
      <c r="B6" s="495"/>
      <c r="C6" s="495"/>
      <c r="D6" s="495"/>
      <c r="E6" s="193" t="s">
        <v>2413</v>
      </c>
      <c r="F6" s="496"/>
      <c r="G6" s="496"/>
      <c r="H6" s="496"/>
      <c r="I6" s="131" t="s">
        <v>1881</v>
      </c>
      <c r="J6" s="497"/>
      <c r="K6" s="498"/>
    </row>
    <row r="7" spans="1:16" s="427" customFormat="1" x14ac:dyDescent="0.25">
      <c r="A7" s="124" t="s">
        <v>1864</v>
      </c>
      <c r="B7" s="499"/>
      <c r="C7" s="499"/>
      <c r="D7" s="499"/>
      <c r="E7" s="194" t="s">
        <v>2414</v>
      </c>
      <c r="F7" s="500"/>
      <c r="G7" s="500"/>
      <c r="H7" s="500"/>
      <c r="I7" s="123"/>
      <c r="J7" s="500"/>
      <c r="K7" s="501"/>
    </row>
    <row r="8" spans="1:16" x14ac:dyDescent="0.25">
      <c r="A8" s="494"/>
      <c r="B8" s="494"/>
      <c r="C8" s="494"/>
    </row>
    <row r="9" spans="1:16" x14ac:dyDescent="0.25">
      <c r="G9" s="425"/>
      <c r="I9" s="425"/>
      <c r="K9" s="425"/>
    </row>
    <row r="10" spans="1:16" x14ac:dyDescent="0.25">
      <c r="G10" s="425"/>
      <c r="I10" s="425"/>
      <c r="K10" s="425"/>
    </row>
    <row r="11" spans="1:16" x14ac:dyDescent="0.25">
      <c r="G11" s="425"/>
      <c r="I11" s="425"/>
      <c r="K11" s="425"/>
    </row>
    <row r="12" spans="1:16" x14ac:dyDescent="0.25">
      <c r="G12" s="425"/>
      <c r="I12" s="425"/>
      <c r="K12" s="425"/>
    </row>
    <row r="13" spans="1:16" x14ac:dyDescent="0.25">
      <c r="G13" s="425"/>
      <c r="I13" s="425"/>
      <c r="K13" s="425"/>
      <c r="L13" s="427"/>
      <c r="M13" s="427"/>
      <c r="N13" s="427"/>
      <c r="O13" s="427"/>
    </row>
    <row r="14" spans="1:16" x14ac:dyDescent="0.25">
      <c r="G14" s="425"/>
      <c r="I14" s="425"/>
      <c r="K14" s="425"/>
    </row>
    <row r="15" spans="1:16" x14ac:dyDescent="0.25">
      <c r="G15" s="425"/>
      <c r="I15" s="425"/>
      <c r="K15" s="425"/>
    </row>
    <row r="16" spans="1:16" x14ac:dyDescent="0.25">
      <c r="G16" s="425"/>
      <c r="I16" s="425"/>
      <c r="K16" s="425"/>
    </row>
    <row r="17" spans="5:5" s="425" customFormat="1" x14ac:dyDescent="0.25">
      <c r="E17" s="103"/>
    </row>
    <row r="18" spans="5:5" s="425" customFormat="1" x14ac:dyDescent="0.25">
      <c r="E18" s="103"/>
    </row>
    <row r="19" spans="5:5" s="425" customFormat="1" x14ac:dyDescent="0.25">
      <c r="E19" s="103"/>
    </row>
    <row r="20" spans="5:5" s="425" customFormat="1" x14ac:dyDescent="0.25">
      <c r="E20" s="103"/>
    </row>
    <row r="21" spans="5:5" s="425" customFormat="1" x14ac:dyDescent="0.25">
      <c r="E21" s="103"/>
    </row>
    <row r="22" spans="5:5" s="425" customFormat="1" x14ac:dyDescent="0.25">
      <c r="E22" s="103"/>
    </row>
    <row r="23" spans="5:5" s="425" customFormat="1" x14ac:dyDescent="0.25">
      <c r="E23" s="103"/>
    </row>
    <row r="24" spans="5:5" s="425" customFormat="1" x14ac:dyDescent="0.25">
      <c r="E24" s="103"/>
    </row>
    <row r="25" spans="5:5" s="425" customFormat="1" x14ac:dyDescent="0.25">
      <c r="E25" s="103"/>
    </row>
    <row r="26" spans="5:5" s="425" customFormat="1" x14ac:dyDescent="0.25">
      <c r="E26" s="103"/>
    </row>
    <row r="27" spans="5:5" s="425" customFormat="1" x14ac:dyDescent="0.25">
      <c r="E27" s="103"/>
    </row>
    <row r="28" spans="5:5" s="425" customFormat="1" x14ac:dyDescent="0.25">
      <c r="E28" s="103"/>
    </row>
    <row r="29" spans="5:5" s="425" customFormat="1" x14ac:dyDescent="0.25">
      <c r="E29" s="103"/>
    </row>
    <row r="30" spans="5:5" s="425" customFormat="1" x14ac:dyDescent="0.25">
      <c r="E30" s="103"/>
    </row>
    <row r="31" spans="5:5" s="425" customFormat="1" x14ac:dyDescent="0.25">
      <c r="E31" s="103"/>
    </row>
    <row r="32" spans="5:5" s="425" customFormat="1" x14ac:dyDescent="0.25">
      <c r="E32" s="103"/>
    </row>
    <row r="33" spans="2:11" x14ac:dyDescent="0.25">
      <c r="G33" s="425"/>
      <c r="I33" s="425"/>
      <c r="K33" s="425"/>
    </row>
    <row r="34" spans="2:11" x14ac:dyDescent="0.25">
      <c r="E34" s="425"/>
      <c r="G34" s="425"/>
      <c r="I34" s="425"/>
      <c r="K34" s="425"/>
    </row>
    <row r="35" spans="2:11" x14ac:dyDescent="0.25">
      <c r="E35" s="425"/>
      <c r="G35" s="425"/>
      <c r="I35" s="425"/>
      <c r="K35" s="425"/>
    </row>
    <row r="36" spans="2:11" x14ac:dyDescent="0.25">
      <c r="E36" s="425"/>
      <c r="G36" s="425"/>
      <c r="I36" s="425"/>
      <c r="K36" s="425"/>
    </row>
    <row r="37" spans="2:11" x14ac:dyDescent="0.25">
      <c r="E37" s="113"/>
      <c r="F37" s="113"/>
      <c r="G37" s="113"/>
      <c r="H37" s="113"/>
      <c r="I37" s="425"/>
      <c r="K37" s="425"/>
    </row>
    <row r="38" spans="2:11" x14ac:dyDescent="0.25">
      <c r="B38" s="460"/>
      <c r="C38" s="461"/>
      <c r="D38" s="462"/>
      <c r="E38" s="428" t="s">
        <v>3256</v>
      </c>
      <c r="F38" s="133" t="s">
        <v>3556</v>
      </c>
      <c r="G38" s="134" t="s">
        <v>3257</v>
      </c>
      <c r="I38" s="425"/>
      <c r="K38" s="425"/>
    </row>
    <row r="39" spans="2:11" x14ac:dyDescent="0.25">
      <c r="B39" s="483"/>
      <c r="C39" s="482"/>
      <c r="D39" s="484"/>
      <c r="E39" s="170"/>
      <c r="F39" s="120"/>
      <c r="G39" s="170"/>
      <c r="I39" s="425"/>
      <c r="K39" s="425"/>
    </row>
    <row r="40" spans="2:11" x14ac:dyDescent="0.25">
      <c r="B40" s="451"/>
      <c r="C40" s="452"/>
      <c r="D40" s="453"/>
      <c r="E40" s="159"/>
      <c r="F40" s="120"/>
      <c r="G40" s="122"/>
      <c r="I40" s="425"/>
      <c r="K40" s="425"/>
    </row>
    <row r="41" spans="2:11" x14ac:dyDescent="0.25">
      <c r="B41" s="451"/>
      <c r="C41" s="452"/>
      <c r="D41" s="453"/>
      <c r="E41" s="159"/>
      <c r="F41" s="120"/>
      <c r="G41" s="122"/>
      <c r="H41" s="427"/>
      <c r="I41" s="427"/>
      <c r="J41" s="427"/>
      <c r="K41" s="425"/>
    </row>
    <row r="42" spans="2:11" x14ac:dyDescent="0.25">
      <c r="B42" s="451"/>
      <c r="C42" s="452"/>
      <c r="D42" s="453"/>
      <c r="E42" s="159"/>
      <c r="F42" s="120"/>
      <c r="G42" s="122"/>
      <c r="I42" s="425"/>
      <c r="K42" s="425"/>
    </row>
    <row r="43" spans="2:11" x14ac:dyDescent="0.25">
      <c r="B43" s="451"/>
      <c r="C43" s="452"/>
      <c r="D43" s="453"/>
      <c r="E43" s="159"/>
      <c r="F43" s="120"/>
      <c r="G43" s="122"/>
      <c r="H43" s="427"/>
      <c r="I43" s="427"/>
      <c r="J43" s="427"/>
      <c r="K43" s="425"/>
    </row>
    <row r="44" spans="2:11" x14ac:dyDescent="0.25">
      <c r="B44" s="451"/>
      <c r="C44" s="452"/>
      <c r="D44" s="453"/>
      <c r="E44" s="159"/>
      <c r="F44" s="120"/>
      <c r="G44" s="122"/>
      <c r="I44" s="425"/>
      <c r="K44" s="425"/>
    </row>
    <row r="45" spans="2:11" x14ac:dyDescent="0.25">
      <c r="B45" s="451"/>
      <c r="C45" s="452"/>
      <c r="D45" s="453"/>
      <c r="E45" s="159"/>
      <c r="F45" s="120"/>
      <c r="G45" s="122"/>
      <c r="I45" s="425"/>
      <c r="K45" s="425"/>
    </row>
    <row r="46" spans="2:11" x14ac:dyDescent="0.25">
      <c r="B46" s="451"/>
      <c r="C46" s="452"/>
      <c r="D46" s="453"/>
      <c r="E46" s="159"/>
      <c r="F46" s="120"/>
      <c r="G46" s="122"/>
      <c r="I46" s="425"/>
      <c r="K46" s="425"/>
    </row>
    <row r="47" spans="2:11" x14ac:dyDescent="0.25">
      <c r="B47" s="451"/>
      <c r="C47" s="452"/>
      <c r="D47" s="453"/>
      <c r="E47" s="159"/>
      <c r="F47" s="120"/>
      <c r="G47" s="122"/>
      <c r="I47" s="425"/>
      <c r="K47" s="425"/>
    </row>
    <row r="48" spans="2:11" x14ac:dyDescent="0.25">
      <c r="B48" s="419"/>
      <c r="C48" s="418"/>
      <c r="D48" s="418"/>
      <c r="E48" s="159"/>
      <c r="F48" s="120"/>
      <c r="G48" s="122"/>
      <c r="I48" s="425"/>
      <c r="K48" s="425"/>
    </row>
    <row r="49" spans="2:11" x14ac:dyDescent="0.25">
      <c r="B49" s="451"/>
      <c r="C49" s="452"/>
      <c r="D49" s="453"/>
      <c r="E49" s="159"/>
      <c r="F49" s="120"/>
      <c r="G49" s="122"/>
      <c r="I49" s="425"/>
      <c r="K49" s="425"/>
    </row>
    <row r="50" spans="2:11" x14ac:dyDescent="0.25">
      <c r="B50" s="451"/>
      <c r="C50" s="452"/>
      <c r="D50" s="453"/>
      <c r="E50" s="159"/>
      <c r="F50" s="120"/>
      <c r="G50" s="122"/>
      <c r="I50" s="425"/>
      <c r="K50" s="425"/>
    </row>
    <row r="51" spans="2:11" x14ac:dyDescent="0.25">
      <c r="B51" s="451"/>
      <c r="C51" s="452"/>
      <c r="D51" s="453"/>
      <c r="E51" s="159"/>
      <c r="F51" s="120"/>
      <c r="G51" s="122"/>
      <c r="I51" s="425"/>
      <c r="K51" s="425"/>
    </row>
    <row r="52" spans="2:11" x14ac:dyDescent="0.25">
      <c r="B52" s="451"/>
      <c r="C52" s="452"/>
      <c r="D52" s="453"/>
      <c r="E52" s="159"/>
      <c r="F52" s="120"/>
      <c r="G52" s="122"/>
      <c r="I52" s="425"/>
      <c r="K52" s="425"/>
    </row>
    <row r="53" spans="2:11" x14ac:dyDescent="0.25">
      <c r="B53" s="451"/>
      <c r="C53" s="452"/>
      <c r="D53" s="453"/>
      <c r="E53" s="159"/>
      <c r="F53" s="120"/>
      <c r="G53" s="122"/>
      <c r="I53" s="425"/>
      <c r="K53" s="425"/>
    </row>
    <row r="54" spans="2:11" x14ac:dyDescent="0.25">
      <c r="B54" s="492"/>
      <c r="C54" s="493"/>
      <c r="D54" s="513"/>
      <c r="E54" s="171"/>
      <c r="F54" s="120"/>
      <c r="G54" s="159"/>
      <c r="I54" s="425"/>
      <c r="K54" s="425"/>
    </row>
    <row r="55" spans="2:11" x14ac:dyDescent="0.25">
      <c r="B55" s="473"/>
      <c r="C55" s="474"/>
      <c r="D55" s="475"/>
      <c r="E55" s="169"/>
      <c r="F55" s="168"/>
      <c r="G55" s="169"/>
      <c r="I55" s="425"/>
      <c r="K55" s="425"/>
    </row>
    <row r="56" spans="2:11" x14ac:dyDescent="0.25">
      <c r="B56" s="419"/>
      <c r="C56" s="418"/>
      <c r="D56" s="418"/>
      <c r="E56" s="118"/>
      <c r="F56" s="118"/>
      <c r="G56" s="118"/>
      <c r="H56" s="427"/>
      <c r="I56" s="427"/>
      <c r="K56" s="425"/>
    </row>
    <row r="57" spans="2:11" x14ac:dyDescent="0.25">
      <c r="B57" s="460"/>
      <c r="C57" s="461"/>
      <c r="D57" s="462"/>
      <c r="E57" s="428" t="s">
        <v>3256</v>
      </c>
      <c r="F57" s="133" t="s">
        <v>3556</v>
      </c>
      <c r="G57" s="134" t="s">
        <v>3257</v>
      </c>
      <c r="I57" s="425"/>
      <c r="K57" s="425"/>
    </row>
    <row r="58" spans="2:11" x14ac:dyDescent="0.25">
      <c r="B58" s="510"/>
      <c r="C58" s="511"/>
      <c r="D58" s="512"/>
      <c r="E58" s="166"/>
      <c r="F58" s="120"/>
      <c r="G58" s="166"/>
      <c r="I58" s="425"/>
      <c r="K58" s="425"/>
    </row>
    <row r="59" spans="2:11" x14ac:dyDescent="0.25">
      <c r="B59" s="448"/>
      <c r="C59" s="449"/>
      <c r="D59" s="450"/>
      <c r="E59" s="122"/>
      <c r="F59" s="120"/>
      <c r="G59" s="122"/>
      <c r="I59" s="425"/>
      <c r="K59" s="425"/>
    </row>
    <row r="60" spans="2:11" x14ac:dyDescent="0.25">
      <c r="B60" s="448"/>
      <c r="C60" s="449"/>
      <c r="D60" s="450"/>
      <c r="E60" s="122"/>
      <c r="F60" s="120"/>
      <c r="G60" s="122"/>
      <c r="H60" s="118"/>
      <c r="I60" s="425"/>
      <c r="K60" s="425"/>
    </row>
    <row r="61" spans="2:11" x14ac:dyDescent="0.25">
      <c r="B61" s="448"/>
      <c r="C61" s="449"/>
      <c r="D61" s="450"/>
      <c r="E61" s="122"/>
      <c r="F61" s="120"/>
      <c r="G61" s="122"/>
      <c r="H61" s="118"/>
      <c r="I61" s="425"/>
      <c r="K61" s="425"/>
    </row>
    <row r="62" spans="2:11" x14ac:dyDescent="0.25">
      <c r="B62" s="448"/>
      <c r="C62" s="449"/>
      <c r="D62" s="450"/>
      <c r="E62" s="122"/>
      <c r="F62" s="120"/>
      <c r="G62" s="122"/>
      <c r="H62" s="118"/>
      <c r="I62" s="425"/>
      <c r="K62" s="425"/>
    </row>
    <row r="63" spans="2:11" x14ac:dyDescent="0.25">
      <c r="B63" s="448"/>
      <c r="C63" s="449"/>
      <c r="D63" s="450"/>
      <c r="E63" s="122"/>
      <c r="F63" s="120"/>
      <c r="G63" s="122"/>
      <c r="H63" s="118"/>
      <c r="I63" s="425"/>
      <c r="K63" s="425"/>
    </row>
    <row r="64" spans="2:11" x14ac:dyDescent="0.25">
      <c r="B64" s="448"/>
      <c r="C64" s="449"/>
      <c r="D64" s="450"/>
      <c r="E64" s="122"/>
      <c r="F64" s="120"/>
      <c r="G64" s="122"/>
      <c r="H64" s="118"/>
      <c r="I64" s="425"/>
      <c r="K64" s="425"/>
    </row>
    <row r="65" spans="2:11" x14ac:dyDescent="0.25">
      <c r="B65" s="448"/>
      <c r="C65" s="449"/>
      <c r="D65" s="450"/>
      <c r="E65" s="122"/>
      <c r="F65" s="120"/>
      <c r="G65" s="122"/>
      <c r="H65" s="118"/>
      <c r="I65" s="425"/>
      <c r="K65" s="425"/>
    </row>
    <row r="66" spans="2:11" x14ac:dyDescent="0.25">
      <c r="B66" s="448"/>
      <c r="C66" s="449"/>
      <c r="D66" s="450"/>
      <c r="E66" s="122"/>
      <c r="F66" s="120"/>
      <c r="G66" s="122"/>
      <c r="H66" s="118"/>
      <c r="I66" s="425"/>
      <c r="K66" s="425"/>
    </row>
    <row r="67" spans="2:11" x14ac:dyDescent="0.25">
      <c r="B67" s="448"/>
      <c r="C67" s="449"/>
      <c r="D67" s="450"/>
      <c r="E67" s="122"/>
      <c r="F67" s="120"/>
      <c r="G67" s="122"/>
      <c r="H67" s="118"/>
      <c r="I67" s="425"/>
      <c r="K67" s="425"/>
    </row>
    <row r="68" spans="2:11" x14ac:dyDescent="0.25">
      <c r="B68" s="448"/>
      <c r="C68" s="449"/>
      <c r="D68" s="450"/>
      <c r="E68" s="122"/>
      <c r="F68" s="120"/>
      <c r="G68" s="122"/>
      <c r="H68" s="118"/>
      <c r="I68" s="425"/>
      <c r="K68" s="425"/>
    </row>
    <row r="69" spans="2:11" x14ac:dyDescent="0.25">
      <c r="B69" s="448"/>
      <c r="C69" s="449"/>
      <c r="D69" s="450"/>
      <c r="E69" s="122"/>
      <c r="F69" s="120"/>
      <c r="G69" s="122"/>
      <c r="H69" s="118"/>
      <c r="I69" s="425"/>
      <c r="K69" s="425"/>
    </row>
    <row r="70" spans="2:11" x14ac:dyDescent="0.25">
      <c r="B70" s="448"/>
      <c r="C70" s="449"/>
      <c r="D70" s="450"/>
      <c r="E70" s="122"/>
      <c r="F70" s="120"/>
      <c r="G70" s="122"/>
      <c r="H70" s="118"/>
      <c r="I70" s="425"/>
      <c r="K70" s="425"/>
    </row>
    <row r="71" spans="2:11" x14ac:dyDescent="0.25">
      <c r="B71" s="448"/>
      <c r="C71" s="449"/>
      <c r="D71" s="450"/>
      <c r="E71" s="122"/>
      <c r="F71" s="120"/>
      <c r="G71" s="122"/>
      <c r="H71" s="118"/>
      <c r="I71" s="425"/>
      <c r="K71" s="425"/>
    </row>
    <row r="72" spans="2:11" x14ac:dyDescent="0.25">
      <c r="B72" s="448"/>
      <c r="C72" s="449"/>
      <c r="D72" s="450"/>
      <c r="E72" s="122"/>
      <c r="F72" s="120"/>
      <c r="G72" s="122"/>
      <c r="H72" s="118"/>
      <c r="I72" s="425"/>
      <c r="K72" s="425"/>
    </row>
    <row r="73" spans="2:11" x14ac:dyDescent="0.25">
      <c r="B73" s="448"/>
      <c r="C73" s="449"/>
      <c r="D73" s="450"/>
      <c r="E73" s="122"/>
      <c r="F73" s="120"/>
      <c r="G73" s="122"/>
      <c r="H73" s="118"/>
      <c r="I73" s="425"/>
      <c r="K73" s="425"/>
    </row>
    <row r="74" spans="2:11" x14ac:dyDescent="0.25">
      <c r="B74" s="448"/>
      <c r="C74" s="449"/>
      <c r="D74" s="450"/>
      <c r="E74" s="122"/>
      <c r="F74" s="120"/>
      <c r="G74" s="122"/>
      <c r="H74" s="118"/>
      <c r="I74" s="425"/>
      <c r="K74" s="425"/>
    </row>
    <row r="75" spans="2:11" x14ac:dyDescent="0.25">
      <c r="B75" s="448"/>
      <c r="C75" s="449"/>
      <c r="D75" s="450"/>
      <c r="E75" s="122"/>
      <c r="F75" s="120"/>
      <c r="G75" s="122"/>
      <c r="H75" s="118"/>
      <c r="I75" s="425"/>
      <c r="K75" s="425"/>
    </row>
    <row r="76" spans="2:11" x14ac:dyDescent="0.25">
      <c r="B76" s="448"/>
      <c r="C76" s="449"/>
      <c r="D76" s="450"/>
      <c r="E76" s="122"/>
      <c r="F76" s="120"/>
      <c r="G76" s="122"/>
      <c r="H76" s="118"/>
      <c r="I76" s="425"/>
      <c r="K76" s="425"/>
    </row>
    <row r="77" spans="2:11" x14ac:dyDescent="0.25">
      <c r="B77" s="448"/>
      <c r="C77" s="449"/>
      <c r="D77" s="450"/>
      <c r="E77" s="122"/>
      <c r="F77" s="120"/>
      <c r="G77" s="122"/>
      <c r="H77" s="118"/>
      <c r="I77" s="425"/>
      <c r="K77" s="425"/>
    </row>
    <row r="78" spans="2:11" x14ac:dyDescent="0.25">
      <c r="B78" s="448"/>
      <c r="C78" s="449"/>
      <c r="D78" s="450"/>
      <c r="E78" s="122"/>
      <c r="F78" s="120"/>
      <c r="G78" s="122"/>
      <c r="H78" s="118"/>
      <c r="I78" s="425"/>
      <c r="K78" s="425"/>
    </row>
    <row r="79" spans="2:11" x14ac:dyDescent="0.25">
      <c r="B79" s="448"/>
      <c r="C79" s="449"/>
      <c r="D79" s="450"/>
      <c r="E79" s="122"/>
      <c r="F79" s="120"/>
      <c r="G79" s="122"/>
      <c r="H79" s="118"/>
      <c r="I79" s="425"/>
      <c r="K79" s="425"/>
    </row>
    <row r="80" spans="2:11" x14ac:dyDescent="0.25">
      <c r="B80" s="448"/>
      <c r="C80" s="449"/>
      <c r="D80" s="450"/>
      <c r="E80" s="167"/>
      <c r="F80" s="120"/>
      <c r="G80" s="167"/>
      <c r="H80" s="118"/>
      <c r="I80" s="425"/>
      <c r="K80" s="425"/>
    </row>
    <row r="81" spans="2:11" x14ac:dyDescent="0.25">
      <c r="B81" s="488"/>
      <c r="C81" s="489"/>
      <c r="D81" s="490"/>
      <c r="E81" s="168"/>
      <c r="F81" s="168"/>
      <c r="G81" s="168"/>
      <c r="H81" s="118"/>
      <c r="I81" s="425"/>
      <c r="K81" s="425"/>
    </row>
    <row r="82" spans="2:11" x14ac:dyDescent="0.25">
      <c r="E82" s="425"/>
      <c r="G82" s="425"/>
      <c r="I82" s="425"/>
      <c r="K82" s="425"/>
    </row>
    <row r="83" spans="2:11" x14ac:dyDescent="0.25">
      <c r="E83" s="425"/>
      <c r="G83" s="425"/>
      <c r="I83" s="425"/>
      <c r="K83" s="425"/>
    </row>
    <row r="84" spans="2:11" x14ac:dyDescent="0.25">
      <c r="E84" s="425"/>
      <c r="G84" s="425"/>
      <c r="I84" s="425"/>
      <c r="K84" s="425"/>
    </row>
    <row r="85" spans="2:11" x14ac:dyDescent="0.25">
      <c r="E85" s="425"/>
      <c r="G85" s="425"/>
      <c r="I85" s="425"/>
      <c r="K85" s="425"/>
    </row>
    <row r="86" spans="2:11" x14ac:dyDescent="0.25">
      <c r="E86" s="425"/>
      <c r="G86" s="425"/>
      <c r="I86" s="425"/>
      <c r="K86" s="425"/>
    </row>
    <row r="87" spans="2:11" x14ac:dyDescent="0.25">
      <c r="E87" s="425"/>
      <c r="G87" s="425"/>
      <c r="I87" s="425"/>
      <c r="K87" s="425"/>
    </row>
    <row r="88" spans="2:11" x14ac:dyDescent="0.25">
      <c r="E88" s="425"/>
      <c r="G88" s="425"/>
      <c r="I88" s="425"/>
      <c r="K88" s="425"/>
    </row>
    <row r="89" spans="2:11" x14ac:dyDescent="0.25">
      <c r="E89" s="425"/>
      <c r="G89" s="425"/>
      <c r="I89" s="425"/>
      <c r="K89" s="425"/>
    </row>
    <row r="90" spans="2:11" x14ac:dyDescent="0.25">
      <c r="E90" s="425"/>
      <c r="G90" s="425"/>
      <c r="I90" s="425"/>
      <c r="K90" s="425"/>
    </row>
    <row r="91" spans="2:11" x14ac:dyDescent="0.25">
      <c r="E91" s="425"/>
      <c r="G91" s="425"/>
      <c r="I91" s="425"/>
      <c r="K91" s="425"/>
    </row>
    <row r="92" spans="2:11" x14ac:dyDescent="0.25">
      <c r="E92" s="425"/>
      <c r="G92" s="425"/>
      <c r="I92" s="425"/>
      <c r="K92" s="425"/>
    </row>
    <row r="93" spans="2:11" x14ac:dyDescent="0.25">
      <c r="E93" s="425"/>
      <c r="G93" s="425"/>
      <c r="I93" s="425"/>
      <c r="K93" s="425"/>
    </row>
    <row r="94" spans="2:11" x14ac:dyDescent="0.25">
      <c r="E94" s="425"/>
      <c r="G94" s="425"/>
      <c r="I94" s="425"/>
      <c r="K94" s="425"/>
    </row>
    <row r="95" spans="2:11" x14ac:dyDescent="0.25">
      <c r="E95" s="425"/>
      <c r="G95" s="425"/>
      <c r="I95" s="425"/>
      <c r="K95" s="425"/>
    </row>
    <row r="96" spans="2:11" x14ac:dyDescent="0.25">
      <c r="E96" s="425"/>
      <c r="G96" s="425"/>
      <c r="I96" s="425"/>
      <c r="K96" s="425"/>
    </row>
    <row r="97" spans="1:15" x14ac:dyDescent="0.25">
      <c r="E97" s="425"/>
      <c r="G97" s="425"/>
      <c r="I97" s="425"/>
      <c r="K97" s="425"/>
    </row>
    <row r="98" spans="1:15" x14ac:dyDescent="0.25">
      <c r="A98" s="460" t="s">
        <v>1874</v>
      </c>
      <c r="B98" s="461"/>
      <c r="C98" s="461"/>
      <c r="D98" s="461"/>
      <c r="E98" s="461"/>
      <c r="F98" s="461"/>
      <c r="G98" s="461"/>
      <c r="H98" s="461"/>
      <c r="I98" s="461"/>
      <c r="J98" s="461"/>
      <c r="K98" s="462"/>
    </row>
    <row r="99" spans="1:15" s="427" customFormat="1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</row>
    <row r="100" spans="1:15" s="107" customFormat="1" x14ac:dyDescent="0.25">
      <c r="A100" s="470"/>
      <c r="B100" s="471"/>
      <c r="C100" s="471"/>
      <c r="D100" s="214"/>
      <c r="E100" s="213"/>
      <c r="F100" s="214"/>
      <c r="G100" s="213"/>
      <c r="H100" s="214"/>
      <c r="I100" s="213"/>
      <c r="J100" s="214"/>
      <c r="K100" s="213"/>
      <c r="L100" s="425"/>
    </row>
    <row r="101" spans="1:15" x14ac:dyDescent="0.25">
      <c r="A101" s="454"/>
      <c r="B101" s="455"/>
      <c r="C101" s="456"/>
      <c r="D101" s="177"/>
      <c r="E101" s="106"/>
      <c r="F101" s="177"/>
      <c r="G101" s="106"/>
      <c r="H101" s="177"/>
      <c r="I101" s="106"/>
      <c r="J101" s="177"/>
      <c r="K101" s="106"/>
    </row>
    <row r="102" spans="1:15" x14ac:dyDescent="0.25">
      <c r="A102" s="451"/>
      <c r="B102" s="452"/>
      <c r="C102" s="453"/>
      <c r="D102" s="174"/>
      <c r="E102" s="104"/>
      <c r="F102" s="174"/>
      <c r="G102" s="104"/>
      <c r="H102" s="174"/>
      <c r="I102" s="104"/>
      <c r="J102" s="174"/>
      <c r="K102" s="104"/>
    </row>
    <row r="103" spans="1:15" x14ac:dyDescent="0.25">
      <c r="A103" s="451"/>
      <c r="B103" s="452"/>
      <c r="C103" s="453"/>
      <c r="D103" s="174"/>
      <c r="E103" s="104"/>
      <c r="F103" s="174"/>
      <c r="G103" s="104"/>
      <c r="H103" s="174"/>
      <c r="I103" s="104"/>
      <c r="J103" s="174"/>
      <c r="K103" s="104"/>
    </row>
    <row r="104" spans="1:15" x14ac:dyDescent="0.25">
      <c r="A104" s="454"/>
      <c r="B104" s="455"/>
      <c r="C104" s="456"/>
      <c r="D104" s="180"/>
      <c r="E104" s="181"/>
      <c r="F104" s="180"/>
      <c r="G104" s="181"/>
      <c r="H104" s="180"/>
      <c r="I104" s="181"/>
      <c r="J104" s="180"/>
      <c r="K104" s="181"/>
      <c r="L104" s="427"/>
      <c r="M104" s="427"/>
      <c r="N104" s="427"/>
      <c r="O104" s="427"/>
    </row>
    <row r="105" spans="1:15" x14ac:dyDescent="0.25">
      <c r="A105" s="454"/>
      <c r="B105" s="455"/>
      <c r="C105" s="456"/>
      <c r="D105" s="180"/>
      <c r="E105" s="181"/>
      <c r="F105" s="180"/>
      <c r="G105" s="181"/>
      <c r="H105" s="180"/>
      <c r="I105" s="181"/>
      <c r="J105" s="180"/>
      <c r="K105" s="181"/>
      <c r="L105" s="427"/>
      <c r="M105" s="427"/>
      <c r="N105" s="427"/>
      <c r="O105" s="427"/>
    </row>
    <row r="106" spans="1:15" x14ac:dyDescent="0.25">
      <c r="A106" s="454"/>
      <c r="B106" s="455"/>
      <c r="C106" s="456"/>
      <c r="D106" s="177"/>
      <c r="E106" s="106"/>
      <c r="F106" s="177"/>
      <c r="G106" s="106"/>
      <c r="H106" s="177"/>
      <c r="I106" s="106"/>
      <c r="J106" s="177"/>
      <c r="K106" s="106"/>
      <c r="L106" s="427"/>
      <c r="M106" s="427"/>
      <c r="N106" s="427"/>
      <c r="O106" s="427"/>
    </row>
    <row r="107" spans="1:15" x14ac:dyDescent="0.25">
      <c r="A107" s="473"/>
      <c r="B107" s="474"/>
      <c r="C107" s="475"/>
      <c r="D107" s="186"/>
      <c r="E107" s="334"/>
      <c r="F107" s="186"/>
      <c r="G107" s="334"/>
      <c r="H107" s="186"/>
      <c r="I107" s="334"/>
      <c r="J107" s="186"/>
      <c r="K107" s="334"/>
      <c r="L107" s="427"/>
      <c r="M107" s="427"/>
      <c r="N107" s="427"/>
      <c r="O107" s="427"/>
    </row>
    <row r="108" spans="1:15" x14ac:dyDescent="0.25">
      <c r="A108" s="451"/>
      <c r="B108" s="452"/>
      <c r="C108" s="453"/>
      <c r="D108" s="347"/>
      <c r="E108" s="104"/>
      <c r="F108" s="347"/>
      <c r="G108" s="104"/>
      <c r="H108" s="347"/>
      <c r="I108" s="104"/>
      <c r="J108" s="174"/>
      <c r="K108" s="104"/>
      <c r="L108" s="427"/>
      <c r="M108" s="427"/>
      <c r="N108" s="427"/>
      <c r="O108" s="427"/>
    </row>
    <row r="109" spans="1:15" x14ac:dyDescent="0.25">
      <c r="A109" s="451"/>
      <c r="B109" s="452"/>
      <c r="C109" s="453"/>
      <c r="D109" s="150"/>
      <c r="E109" s="104"/>
      <c r="F109" s="150"/>
      <c r="G109" s="104"/>
      <c r="H109" s="150"/>
      <c r="I109" s="104"/>
      <c r="J109" s="218"/>
      <c r="K109" s="104"/>
      <c r="L109" s="427"/>
      <c r="M109" s="427"/>
      <c r="N109" s="427"/>
      <c r="O109" s="427"/>
    </row>
    <row r="110" spans="1:15" x14ac:dyDescent="0.25">
      <c r="A110" s="451"/>
      <c r="B110" s="452"/>
      <c r="C110" s="453"/>
      <c r="D110" s="150"/>
      <c r="E110" s="104"/>
      <c r="F110" s="150"/>
      <c r="G110" s="104"/>
      <c r="H110" s="150"/>
      <c r="I110" s="104"/>
      <c r="J110" s="218"/>
      <c r="K110" s="104"/>
      <c r="L110" s="427"/>
      <c r="M110" s="427"/>
      <c r="N110" s="427"/>
      <c r="O110" s="427"/>
    </row>
    <row r="111" spans="1:15" x14ac:dyDescent="0.25">
      <c r="A111" s="451"/>
      <c r="B111" s="452"/>
      <c r="C111" s="453"/>
      <c r="D111" s="150"/>
      <c r="E111" s="104"/>
      <c r="F111" s="150"/>
      <c r="G111" s="104"/>
      <c r="H111" s="150"/>
      <c r="I111" s="104"/>
      <c r="J111" s="218"/>
      <c r="K111" s="104"/>
      <c r="L111" s="427"/>
      <c r="M111" s="427"/>
      <c r="N111" s="427"/>
      <c r="O111" s="427"/>
    </row>
    <row r="112" spans="1:15" x14ac:dyDescent="0.25">
      <c r="A112" s="454"/>
      <c r="B112" s="455"/>
      <c r="C112" s="456"/>
      <c r="D112" s="219"/>
      <c r="E112" s="181"/>
      <c r="F112" s="219"/>
      <c r="G112" s="181"/>
      <c r="H112" s="219"/>
      <c r="I112" s="181"/>
      <c r="J112" s="219"/>
      <c r="K112" s="181"/>
      <c r="L112" s="427"/>
      <c r="M112" s="427"/>
      <c r="N112" s="427"/>
      <c r="O112" s="427"/>
    </row>
    <row r="113" spans="1:15" x14ac:dyDescent="0.25">
      <c r="A113" s="454"/>
      <c r="B113" s="455"/>
      <c r="C113" s="456"/>
      <c r="D113" s="136"/>
      <c r="E113" s="106"/>
      <c r="F113" s="136"/>
      <c r="G113" s="106"/>
      <c r="H113" s="136"/>
      <c r="I113" s="106"/>
      <c r="J113" s="136"/>
      <c r="K113" s="106"/>
      <c r="L113" s="427"/>
      <c r="M113" s="427"/>
      <c r="N113" s="427"/>
      <c r="O113" s="427"/>
    </row>
    <row r="114" spans="1:15" x14ac:dyDescent="0.25">
      <c r="A114" s="451"/>
      <c r="B114" s="452"/>
      <c r="C114" s="453"/>
      <c r="D114" s="218"/>
      <c r="E114" s="104"/>
      <c r="F114" s="218"/>
      <c r="G114" s="104"/>
      <c r="H114" s="218"/>
      <c r="I114" s="104"/>
      <c r="J114" s="218"/>
      <c r="K114" s="104"/>
      <c r="L114" s="427"/>
      <c r="M114" s="427"/>
      <c r="N114" s="427"/>
      <c r="O114" s="427"/>
    </row>
    <row r="115" spans="1:15" x14ac:dyDescent="0.25">
      <c r="A115" s="451"/>
      <c r="B115" s="452"/>
      <c r="C115" s="453"/>
      <c r="D115" s="150"/>
      <c r="E115" s="104"/>
      <c r="F115" s="150"/>
      <c r="G115" s="104"/>
      <c r="H115" s="150"/>
      <c r="I115" s="104"/>
      <c r="J115" s="150"/>
      <c r="K115" s="104"/>
      <c r="L115" s="427"/>
      <c r="M115" s="427"/>
      <c r="N115" s="427"/>
      <c r="O115" s="427"/>
    </row>
    <row r="116" spans="1:15" x14ac:dyDescent="0.25">
      <c r="A116" s="451"/>
      <c r="B116" s="452"/>
      <c r="C116" s="453"/>
      <c r="D116" s="150"/>
      <c r="E116" s="104"/>
      <c r="F116" s="150"/>
      <c r="G116" s="104"/>
      <c r="H116" s="150"/>
      <c r="I116" s="104"/>
      <c r="J116" s="218"/>
      <c r="K116" s="104"/>
      <c r="L116" s="427"/>
      <c r="M116" s="427"/>
      <c r="N116" s="427"/>
      <c r="O116" s="427"/>
    </row>
    <row r="117" spans="1:15" x14ac:dyDescent="0.25">
      <c r="A117" s="451"/>
      <c r="B117" s="452"/>
      <c r="C117" s="453"/>
      <c r="D117" s="150"/>
      <c r="E117" s="104"/>
      <c r="F117" s="150"/>
      <c r="G117" s="104"/>
      <c r="H117" s="150"/>
      <c r="I117" s="104"/>
      <c r="J117" s="218"/>
      <c r="K117" s="104"/>
      <c r="L117" s="427"/>
      <c r="M117" s="427"/>
      <c r="N117" s="427"/>
      <c r="O117" s="427"/>
    </row>
    <row r="118" spans="1:15" x14ac:dyDescent="0.25">
      <c r="A118" s="442"/>
      <c r="B118" s="443"/>
      <c r="C118" s="444"/>
      <c r="D118" s="151"/>
      <c r="E118" s="108"/>
      <c r="F118" s="151"/>
      <c r="G118" s="108"/>
      <c r="H118" s="151"/>
      <c r="I118" s="108"/>
      <c r="J118" s="358"/>
      <c r="K118" s="108"/>
      <c r="L118" s="427"/>
      <c r="M118" s="427"/>
      <c r="N118" s="427"/>
      <c r="O118" s="427"/>
    </row>
    <row r="119" spans="1:15" x14ac:dyDescent="0.25">
      <c r="A119" s="482"/>
      <c r="B119" s="482"/>
      <c r="C119" s="482"/>
      <c r="H119" s="117"/>
    </row>
    <row r="120" spans="1:15" s="107" customFormat="1" x14ac:dyDescent="0.25">
      <c r="A120" s="470"/>
      <c r="B120" s="471"/>
      <c r="C120" s="471"/>
      <c r="D120" s="214"/>
      <c r="E120" s="213"/>
      <c r="F120" s="214"/>
      <c r="G120" s="213"/>
      <c r="H120" s="214"/>
      <c r="I120" s="213"/>
      <c r="J120" s="214"/>
      <c r="K120" s="213"/>
    </row>
    <row r="121" spans="1:15" x14ac:dyDescent="0.25">
      <c r="A121" s="451"/>
      <c r="B121" s="452"/>
      <c r="C121" s="453"/>
      <c r="D121" s="174"/>
      <c r="E121" s="104"/>
      <c r="F121" s="174"/>
      <c r="G121" s="104"/>
      <c r="H121" s="174"/>
      <c r="I121" s="104"/>
      <c r="J121" s="174"/>
      <c r="K121" s="104"/>
    </row>
    <row r="122" spans="1:15" x14ac:dyDescent="0.25">
      <c r="A122" s="451"/>
      <c r="B122" s="452"/>
      <c r="C122" s="453"/>
      <c r="D122" s="116"/>
      <c r="E122" s="104"/>
      <c r="F122" s="116"/>
      <c r="G122" s="104"/>
      <c r="H122" s="174"/>
      <c r="I122" s="104"/>
      <c r="J122" s="174"/>
      <c r="K122" s="104"/>
    </row>
    <row r="123" spans="1:15" x14ac:dyDescent="0.25">
      <c r="A123" s="476"/>
      <c r="B123" s="477"/>
      <c r="C123" s="478"/>
      <c r="D123" s="332"/>
      <c r="E123" s="333"/>
      <c r="F123" s="332"/>
      <c r="G123" s="333"/>
      <c r="H123" s="342"/>
      <c r="I123" s="333"/>
      <c r="J123" s="342"/>
      <c r="K123" s="333"/>
    </row>
    <row r="124" spans="1:15" x14ac:dyDescent="0.25">
      <c r="A124" s="451"/>
      <c r="B124" s="452"/>
      <c r="C124" s="453"/>
      <c r="D124" s="116"/>
      <c r="E124" s="104"/>
      <c r="F124" s="116"/>
      <c r="G124" s="104"/>
      <c r="H124" s="174"/>
      <c r="I124" s="104"/>
      <c r="J124" s="174"/>
      <c r="K124" s="104"/>
    </row>
    <row r="125" spans="1:15" x14ac:dyDescent="0.25">
      <c r="A125" s="451"/>
      <c r="B125" s="452"/>
      <c r="C125" s="453"/>
      <c r="D125" s="116"/>
      <c r="E125" s="104"/>
      <c r="F125" s="116"/>
      <c r="G125" s="104"/>
      <c r="H125" s="174"/>
      <c r="I125" s="104"/>
      <c r="J125" s="174"/>
      <c r="K125" s="104"/>
    </row>
    <row r="126" spans="1:15" x14ac:dyDescent="0.25">
      <c r="A126" s="476"/>
      <c r="B126" s="477"/>
      <c r="C126" s="478"/>
      <c r="D126" s="332"/>
      <c r="E126" s="333"/>
      <c r="F126" s="332"/>
      <c r="G126" s="333"/>
      <c r="H126" s="342"/>
      <c r="I126" s="333"/>
      <c r="J126" s="342"/>
      <c r="K126" s="333"/>
    </row>
    <row r="127" spans="1:15" x14ac:dyDescent="0.25">
      <c r="A127" s="451"/>
      <c r="B127" s="452"/>
      <c r="C127" s="453"/>
      <c r="D127" s="116"/>
      <c r="E127" s="104"/>
      <c r="F127" s="116"/>
      <c r="G127" s="104"/>
      <c r="H127" s="174"/>
      <c r="I127" s="104"/>
      <c r="J127" s="174"/>
      <c r="K127" s="104"/>
    </row>
    <row r="128" spans="1:15" x14ac:dyDescent="0.25">
      <c r="A128" s="451"/>
      <c r="B128" s="452"/>
      <c r="C128" s="453"/>
      <c r="D128" s="116"/>
      <c r="E128" s="104"/>
      <c r="F128" s="116"/>
      <c r="G128" s="104"/>
      <c r="H128" s="174"/>
      <c r="I128" s="104"/>
      <c r="J128" s="174"/>
      <c r="K128" s="104"/>
    </row>
    <row r="129" spans="1:11" x14ac:dyDescent="0.25">
      <c r="A129" s="476"/>
      <c r="B129" s="477"/>
      <c r="C129" s="478"/>
      <c r="D129" s="332"/>
      <c r="E129" s="333"/>
      <c r="F129" s="332"/>
      <c r="G129" s="333"/>
      <c r="H129" s="342"/>
      <c r="I129" s="333"/>
      <c r="J129" s="342"/>
      <c r="K129" s="333"/>
    </row>
    <row r="130" spans="1:11" x14ac:dyDescent="0.25">
      <c r="A130" s="451"/>
      <c r="B130" s="452"/>
      <c r="C130" s="453"/>
      <c r="D130" s="116"/>
      <c r="E130" s="104"/>
      <c r="F130" s="116"/>
      <c r="G130" s="104"/>
      <c r="H130" s="174"/>
      <c r="I130" s="104"/>
      <c r="J130" s="174"/>
      <c r="K130" s="104"/>
    </row>
    <row r="131" spans="1:11" x14ac:dyDescent="0.25">
      <c r="A131" s="451"/>
      <c r="B131" s="452"/>
      <c r="C131" s="453"/>
      <c r="D131" s="116"/>
      <c r="E131" s="104"/>
      <c r="F131" s="116"/>
      <c r="G131" s="104"/>
      <c r="H131" s="174"/>
      <c r="I131" s="104"/>
      <c r="J131" s="174"/>
      <c r="K131" s="104"/>
    </row>
    <row r="132" spans="1:11" x14ac:dyDescent="0.25">
      <c r="A132" s="451"/>
      <c r="B132" s="452"/>
      <c r="C132" s="453"/>
      <c r="D132" s="116"/>
      <c r="E132" s="104"/>
      <c r="F132" s="116"/>
      <c r="G132" s="104"/>
      <c r="H132" s="174"/>
      <c r="I132" s="104"/>
      <c r="J132" s="174"/>
      <c r="K132" s="104"/>
    </row>
    <row r="133" spans="1:11" x14ac:dyDescent="0.25">
      <c r="A133" s="479"/>
      <c r="B133" s="480"/>
      <c r="C133" s="481"/>
      <c r="D133" s="344"/>
      <c r="E133" s="345"/>
      <c r="F133" s="344"/>
      <c r="G133" s="345"/>
      <c r="H133" s="346"/>
      <c r="I133" s="345"/>
      <c r="J133" s="346"/>
      <c r="K133" s="345"/>
    </row>
    <row r="134" spans="1:11" x14ac:dyDescent="0.25">
      <c r="A134" s="451"/>
      <c r="B134" s="452"/>
      <c r="C134" s="453"/>
      <c r="D134" s="116"/>
      <c r="E134" s="104"/>
      <c r="F134" s="116"/>
      <c r="G134" s="104"/>
      <c r="H134" s="174"/>
      <c r="I134" s="104"/>
      <c r="J134" s="174"/>
      <c r="K134" s="104"/>
    </row>
    <row r="135" spans="1:11" x14ac:dyDescent="0.25">
      <c r="A135" s="451"/>
      <c r="B135" s="452"/>
      <c r="C135" s="453"/>
      <c r="D135" s="116"/>
      <c r="E135" s="104"/>
      <c r="F135" s="116"/>
      <c r="G135" s="104"/>
      <c r="H135" s="174"/>
      <c r="I135" s="104"/>
      <c r="J135" s="174"/>
      <c r="K135" s="104"/>
    </row>
    <row r="136" spans="1:11" x14ac:dyDescent="0.25">
      <c r="A136" s="476"/>
      <c r="B136" s="477"/>
      <c r="C136" s="478"/>
      <c r="D136" s="332"/>
      <c r="E136" s="333"/>
      <c r="F136" s="332"/>
      <c r="G136" s="333"/>
      <c r="H136" s="342"/>
      <c r="I136" s="333"/>
      <c r="J136" s="342"/>
      <c r="K136" s="333"/>
    </row>
    <row r="137" spans="1:11" x14ac:dyDescent="0.25">
      <c r="A137" s="451"/>
      <c r="B137" s="452"/>
      <c r="C137" s="453"/>
      <c r="D137" s="116"/>
      <c r="E137" s="104"/>
      <c r="F137" s="116"/>
      <c r="G137" s="104"/>
      <c r="H137" s="174"/>
      <c r="I137" s="104"/>
      <c r="J137" s="174"/>
      <c r="K137" s="104"/>
    </row>
    <row r="138" spans="1:11" x14ac:dyDescent="0.25">
      <c r="A138" s="451"/>
      <c r="B138" s="452"/>
      <c r="C138" s="453"/>
      <c r="D138" s="116"/>
      <c r="E138" s="104"/>
      <c r="F138" s="116"/>
      <c r="G138" s="104"/>
      <c r="H138" s="174"/>
      <c r="I138" s="104"/>
      <c r="J138" s="174"/>
      <c r="K138" s="104"/>
    </row>
    <row r="139" spans="1:11" x14ac:dyDescent="0.25">
      <c r="A139" s="476"/>
      <c r="B139" s="477"/>
      <c r="C139" s="478"/>
      <c r="D139" s="332"/>
      <c r="E139" s="333"/>
      <c r="F139" s="332"/>
      <c r="G139" s="333"/>
      <c r="H139" s="342"/>
      <c r="I139" s="333"/>
      <c r="J139" s="342"/>
      <c r="K139" s="333"/>
    </row>
    <row r="140" spans="1:11" x14ac:dyDescent="0.25">
      <c r="A140" s="419"/>
      <c r="B140" s="418"/>
      <c r="C140" s="420"/>
      <c r="D140" s="116"/>
      <c r="E140" s="104"/>
      <c r="F140" s="116"/>
      <c r="G140" s="104"/>
      <c r="H140" s="174"/>
      <c r="I140" s="104"/>
      <c r="J140" s="174"/>
      <c r="K140" s="104"/>
    </row>
    <row r="141" spans="1:11" x14ac:dyDescent="0.25">
      <c r="A141" s="451"/>
      <c r="B141" s="452"/>
      <c r="C141" s="453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76"/>
      <c r="B142" s="477"/>
      <c r="C142" s="478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51"/>
      <c r="B143" s="452"/>
      <c r="C143" s="453"/>
      <c r="D143" s="116"/>
      <c r="E143" s="104"/>
      <c r="F143" s="116"/>
      <c r="G143" s="104"/>
      <c r="H143" s="174"/>
      <c r="I143" s="104"/>
      <c r="J143" s="174"/>
      <c r="K143" s="104"/>
    </row>
    <row r="144" spans="1:11" x14ac:dyDescent="0.25">
      <c r="A144" s="451"/>
      <c r="B144" s="452"/>
      <c r="C144" s="453"/>
      <c r="D144" s="116"/>
      <c r="E144" s="104"/>
      <c r="F144" s="116"/>
      <c r="G144" s="104"/>
      <c r="H144" s="174"/>
      <c r="I144" s="104"/>
      <c r="J144" s="174"/>
      <c r="K144" s="104"/>
    </row>
    <row r="145" spans="1:11" x14ac:dyDescent="0.25">
      <c r="A145" s="476"/>
      <c r="B145" s="477"/>
      <c r="C145" s="478"/>
      <c r="D145" s="332"/>
      <c r="E145" s="333"/>
      <c r="F145" s="332"/>
      <c r="G145" s="333"/>
      <c r="H145" s="342"/>
      <c r="I145" s="333"/>
      <c r="J145" s="342"/>
      <c r="K145" s="333"/>
    </row>
    <row r="146" spans="1:11" x14ac:dyDescent="0.25">
      <c r="A146" s="451"/>
      <c r="B146" s="452"/>
      <c r="C146" s="453"/>
      <c r="D146" s="116"/>
      <c r="E146" s="104"/>
      <c r="F146" s="116"/>
      <c r="G146" s="104"/>
      <c r="H146" s="174"/>
      <c r="I146" s="104"/>
      <c r="J146" s="174"/>
      <c r="K146" s="104"/>
    </row>
    <row r="147" spans="1:11" x14ac:dyDescent="0.25">
      <c r="A147" s="451"/>
      <c r="B147" s="452"/>
      <c r="C147" s="453"/>
      <c r="D147" s="116"/>
      <c r="E147" s="104"/>
      <c r="F147" s="116"/>
      <c r="G147" s="104"/>
      <c r="H147" s="174"/>
      <c r="I147" s="104"/>
      <c r="J147" s="174"/>
      <c r="K147" s="104"/>
    </row>
    <row r="148" spans="1:11" x14ac:dyDescent="0.25">
      <c r="A148" s="473"/>
      <c r="B148" s="474"/>
      <c r="C148" s="475"/>
      <c r="D148" s="343"/>
      <c r="E148" s="334"/>
      <c r="F148" s="343"/>
      <c r="G148" s="334"/>
      <c r="H148" s="186"/>
      <c r="I148" s="334"/>
      <c r="J148" s="186"/>
      <c r="K148" s="334"/>
    </row>
    <row r="149" spans="1:11" x14ac:dyDescent="0.25">
      <c r="A149" s="451"/>
      <c r="B149" s="452"/>
      <c r="C149" s="453"/>
      <c r="D149" s="116"/>
      <c r="E149" s="104"/>
      <c r="F149" s="116"/>
      <c r="G149" s="104"/>
      <c r="H149" s="174"/>
      <c r="I149" s="104"/>
      <c r="J149" s="174"/>
      <c r="K149" s="104"/>
    </row>
    <row r="150" spans="1:11" x14ac:dyDescent="0.25">
      <c r="A150" s="451"/>
      <c r="B150" s="452"/>
      <c r="C150" s="453"/>
      <c r="D150" s="174"/>
      <c r="E150" s="104"/>
      <c r="F150" s="174"/>
      <c r="G150" s="104"/>
      <c r="H150" s="174"/>
      <c r="I150" s="104"/>
      <c r="J150" s="174"/>
      <c r="K150" s="104"/>
    </row>
    <row r="151" spans="1:11" x14ac:dyDescent="0.25">
      <c r="A151" s="451"/>
      <c r="B151" s="452"/>
      <c r="C151" s="453"/>
      <c r="D151" s="174"/>
      <c r="E151" s="104"/>
      <c r="F151" s="174"/>
      <c r="G151" s="104"/>
      <c r="H151" s="174"/>
      <c r="I151" s="104"/>
      <c r="J151" s="174"/>
      <c r="K151" s="104"/>
    </row>
    <row r="152" spans="1:11" x14ac:dyDescent="0.25">
      <c r="A152" s="451"/>
      <c r="B152" s="452"/>
      <c r="C152" s="453"/>
      <c r="D152" s="174"/>
      <c r="E152" s="104"/>
      <c r="F152" s="174"/>
      <c r="G152" s="104"/>
      <c r="H152" s="174"/>
      <c r="I152" s="104"/>
      <c r="J152" s="174"/>
      <c r="K152" s="104"/>
    </row>
    <row r="153" spans="1:11" x14ac:dyDescent="0.25">
      <c r="A153" s="473"/>
      <c r="B153" s="474"/>
      <c r="C153" s="475"/>
      <c r="D153" s="186"/>
      <c r="E153" s="334"/>
      <c r="F153" s="186"/>
      <c r="G153" s="334"/>
      <c r="H153" s="186"/>
      <c r="I153" s="334"/>
      <c r="J153" s="186"/>
      <c r="K153" s="334"/>
    </row>
    <row r="154" spans="1:11" x14ac:dyDescent="0.25">
      <c r="A154" s="451"/>
      <c r="B154" s="452"/>
      <c r="C154" s="453"/>
      <c r="D154" s="174"/>
      <c r="E154" s="104"/>
      <c r="F154" s="174"/>
      <c r="G154" s="104"/>
      <c r="H154" s="174"/>
      <c r="I154" s="104"/>
      <c r="J154" s="174"/>
      <c r="K154" s="104"/>
    </row>
    <row r="155" spans="1:11" x14ac:dyDescent="0.25">
      <c r="A155" s="442"/>
      <c r="B155" s="443"/>
      <c r="C155" s="444"/>
      <c r="D155" s="175"/>
      <c r="E155" s="204"/>
      <c r="F155" s="175"/>
      <c r="G155" s="204"/>
      <c r="H155" s="175"/>
      <c r="I155" s="204"/>
      <c r="J155" s="175"/>
      <c r="K155" s="204"/>
    </row>
    <row r="156" spans="1:11" s="427" customFormat="1" x14ac:dyDescent="0.25">
      <c r="D156" s="278"/>
      <c r="E156" s="190"/>
      <c r="F156" s="279"/>
      <c r="G156" s="190"/>
      <c r="H156" s="279"/>
      <c r="I156" s="190"/>
      <c r="J156" s="279"/>
      <c r="K156" s="190"/>
    </row>
    <row r="157" spans="1:11" s="107" customFormat="1" x14ac:dyDescent="0.25">
      <c r="A157" s="470"/>
      <c r="B157" s="471"/>
      <c r="C157" s="471"/>
      <c r="D157" s="214"/>
      <c r="E157" s="213"/>
      <c r="F157" s="214"/>
      <c r="G157" s="213"/>
      <c r="H157" s="214"/>
      <c r="I157" s="213"/>
      <c r="J157" s="214"/>
      <c r="K157" s="213"/>
    </row>
    <row r="158" spans="1:11" x14ac:dyDescent="0.25">
      <c r="A158" s="454"/>
      <c r="B158" s="455"/>
      <c r="C158" s="456"/>
      <c r="D158" s="216"/>
      <c r="E158" s="106"/>
      <c r="F158" s="177"/>
      <c r="G158" s="106"/>
      <c r="H158" s="177"/>
      <c r="I158" s="106"/>
      <c r="J158" s="177"/>
      <c r="K158" s="106"/>
    </row>
    <row r="159" spans="1:11" x14ac:dyDescent="0.25">
      <c r="A159" s="451"/>
      <c r="B159" s="452"/>
      <c r="C159" s="453"/>
      <c r="D159" s="116"/>
      <c r="E159" s="104"/>
      <c r="F159" s="174"/>
      <c r="G159" s="104"/>
      <c r="H159" s="174"/>
      <c r="I159" s="104"/>
      <c r="J159" s="174"/>
      <c r="K159" s="104"/>
    </row>
    <row r="160" spans="1:11" x14ac:dyDescent="0.25">
      <c r="A160" s="454"/>
      <c r="B160" s="455"/>
      <c r="C160" s="456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51"/>
      <c r="B161" s="452"/>
      <c r="C161" s="453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54"/>
      <c r="B162" s="455"/>
      <c r="C162" s="456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51"/>
      <c r="B163" s="452"/>
      <c r="C163" s="453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54"/>
      <c r="B164" s="455"/>
      <c r="C164" s="456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51"/>
      <c r="B165" s="452"/>
      <c r="C165" s="453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54"/>
      <c r="B166" s="455"/>
      <c r="C166" s="456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51"/>
      <c r="B167" s="452"/>
      <c r="C167" s="453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54"/>
      <c r="B168" s="455"/>
      <c r="C168" s="456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51"/>
      <c r="B169" s="452"/>
      <c r="C169" s="453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54"/>
      <c r="B170" s="455"/>
      <c r="C170" s="456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51"/>
      <c r="B171" s="452"/>
      <c r="C171" s="453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54"/>
      <c r="B172" s="455"/>
      <c r="C172" s="456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51"/>
      <c r="B173" s="452"/>
      <c r="C173" s="453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54"/>
      <c r="B174" s="455"/>
      <c r="C174" s="456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51"/>
      <c r="B175" s="452"/>
      <c r="C175" s="453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54"/>
      <c r="B176" s="455"/>
      <c r="C176" s="456"/>
      <c r="D176" s="116"/>
      <c r="E176" s="106"/>
      <c r="F176" s="177"/>
      <c r="G176" s="106"/>
      <c r="H176" s="177"/>
      <c r="I176" s="106"/>
      <c r="J176" s="177"/>
      <c r="K176" s="106"/>
    </row>
    <row r="177" spans="1:17" x14ac:dyDescent="0.25">
      <c r="A177" s="451"/>
      <c r="B177" s="452"/>
      <c r="C177" s="453"/>
      <c r="D177" s="116"/>
      <c r="E177" s="104"/>
      <c r="F177" s="174"/>
      <c r="G177" s="104"/>
      <c r="H177" s="174"/>
      <c r="I177" s="104"/>
      <c r="J177" s="174"/>
      <c r="K177" s="104"/>
    </row>
    <row r="178" spans="1:17" x14ac:dyDescent="0.25">
      <c r="A178" s="454"/>
      <c r="B178" s="455"/>
      <c r="C178" s="456"/>
      <c r="D178" s="116"/>
      <c r="E178" s="106"/>
      <c r="F178" s="177"/>
      <c r="G178" s="106"/>
      <c r="H178" s="177"/>
      <c r="I178" s="106"/>
      <c r="J178" s="177"/>
      <c r="K178" s="106"/>
    </row>
    <row r="179" spans="1:17" x14ac:dyDescent="0.25">
      <c r="A179" s="451"/>
      <c r="B179" s="452"/>
      <c r="C179" s="453"/>
      <c r="D179" s="116"/>
      <c r="E179" s="104"/>
      <c r="F179" s="174"/>
      <c r="G179" s="104"/>
      <c r="H179" s="174"/>
      <c r="I179" s="104"/>
      <c r="J179" s="174"/>
      <c r="K179" s="104"/>
    </row>
    <row r="180" spans="1:17" x14ac:dyDescent="0.25">
      <c r="A180" s="454"/>
      <c r="B180" s="455"/>
      <c r="C180" s="456"/>
      <c r="D180" s="177"/>
      <c r="E180" s="106"/>
      <c r="F180" s="177"/>
      <c r="G180" s="106"/>
      <c r="H180" s="177"/>
      <c r="I180" s="106"/>
      <c r="J180" s="177"/>
      <c r="K180" s="106"/>
    </row>
    <row r="181" spans="1:17" x14ac:dyDescent="0.25">
      <c r="A181" s="451"/>
      <c r="B181" s="452"/>
      <c r="C181" s="453"/>
      <c r="D181" s="116"/>
      <c r="E181" s="104"/>
      <c r="F181" s="174"/>
      <c r="G181" s="104"/>
      <c r="H181" s="174"/>
      <c r="I181" s="104"/>
      <c r="J181" s="174"/>
      <c r="K181" s="104"/>
    </row>
    <row r="182" spans="1:17" x14ac:dyDescent="0.25">
      <c r="A182" s="457"/>
      <c r="B182" s="458"/>
      <c r="C182" s="459"/>
      <c r="D182" s="178"/>
      <c r="E182" s="115"/>
      <c r="F182" s="178"/>
      <c r="G182" s="114"/>
      <c r="H182" s="178"/>
      <c r="I182" s="114"/>
      <c r="J182" s="178"/>
      <c r="K182" s="114"/>
    </row>
    <row r="183" spans="1:17" s="427" customFormat="1" x14ac:dyDescent="0.25">
      <c r="A183" s="469"/>
      <c r="B183" s="469"/>
      <c r="C183" s="469"/>
      <c r="E183" s="190"/>
      <c r="G183" s="190"/>
      <c r="I183" s="190"/>
      <c r="K183" s="190"/>
    </row>
    <row r="184" spans="1:17" s="107" customFormat="1" x14ac:dyDescent="0.25">
      <c r="A184" s="422"/>
      <c r="B184" s="423"/>
      <c r="C184" s="426"/>
      <c r="D184" s="214"/>
      <c r="E184" s="213"/>
      <c r="F184" s="214"/>
      <c r="G184" s="213"/>
      <c r="H184" s="214"/>
      <c r="I184" s="213"/>
      <c r="J184" s="214"/>
      <c r="K184" s="213"/>
    </row>
    <row r="185" spans="1:17" x14ac:dyDescent="0.25">
      <c r="A185" s="466"/>
      <c r="B185" s="467"/>
      <c r="C185" s="468"/>
      <c r="D185" s="173"/>
      <c r="E185" s="111"/>
      <c r="F185" s="173"/>
      <c r="G185" s="111"/>
      <c r="H185" s="173"/>
      <c r="I185" s="111"/>
      <c r="J185" s="173"/>
      <c r="K185" s="111"/>
    </row>
    <row r="186" spans="1:17" x14ac:dyDescent="0.25">
      <c r="A186" s="451"/>
      <c r="B186" s="452"/>
      <c r="C186" s="453"/>
      <c r="D186" s="174"/>
      <c r="E186" s="104"/>
      <c r="F186" s="174"/>
      <c r="G186" s="104"/>
      <c r="H186" s="174"/>
      <c r="I186" s="104"/>
      <c r="J186" s="174"/>
      <c r="K186" s="104"/>
    </row>
    <row r="187" spans="1:17" x14ac:dyDescent="0.25">
      <c r="A187" s="454"/>
      <c r="B187" s="455"/>
      <c r="C187" s="456"/>
      <c r="D187" s="177"/>
      <c r="E187" s="106"/>
      <c r="F187" s="177"/>
      <c r="G187" s="106"/>
      <c r="H187" s="177"/>
      <c r="I187" s="106"/>
      <c r="J187" s="177"/>
      <c r="K187" s="106"/>
    </row>
    <row r="188" spans="1:17" x14ac:dyDescent="0.25">
      <c r="A188" s="442"/>
      <c r="B188" s="443"/>
      <c r="C188" s="444"/>
      <c r="D188" s="179"/>
      <c r="E188" s="108"/>
      <c r="F188" s="179"/>
      <c r="G188" s="108"/>
      <c r="H188" s="179"/>
      <c r="I188" s="108"/>
      <c r="J188" s="179"/>
      <c r="K188" s="108"/>
    </row>
    <row r="189" spans="1:17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7" s="107" customFormat="1" x14ac:dyDescent="0.25">
      <c r="A190" s="470"/>
      <c r="B190" s="471"/>
      <c r="C190" s="471"/>
      <c r="D190" s="214"/>
      <c r="E190" s="213"/>
      <c r="F190" s="214"/>
      <c r="G190" s="213"/>
      <c r="H190" s="214"/>
      <c r="I190" s="213"/>
      <c r="J190" s="214"/>
      <c r="K190" s="213"/>
      <c r="L190" s="144"/>
      <c r="M190" s="144"/>
      <c r="N190" s="144"/>
      <c r="O190" s="144"/>
      <c r="P190" s="144"/>
      <c r="Q190" s="144"/>
    </row>
    <row r="191" spans="1:17" x14ac:dyDescent="0.25">
      <c r="A191" s="454"/>
      <c r="B191" s="455"/>
      <c r="C191" s="456"/>
      <c r="D191" s="177"/>
      <c r="E191" s="106"/>
      <c r="F191" s="177"/>
      <c r="G191" s="106"/>
      <c r="H191" s="177"/>
      <c r="I191" s="106"/>
      <c r="J191" s="177"/>
      <c r="K191" s="106"/>
    </row>
    <row r="192" spans="1:17" x14ac:dyDescent="0.25">
      <c r="A192" s="451"/>
      <c r="B192" s="452"/>
      <c r="C192" s="453"/>
      <c r="D192" s="174"/>
      <c r="E192" s="104"/>
      <c r="F192" s="174"/>
      <c r="G192" s="104"/>
      <c r="H192" s="174"/>
      <c r="I192" s="104"/>
      <c r="J192" s="174"/>
      <c r="K192" s="104"/>
    </row>
    <row r="193" spans="1:11" x14ac:dyDescent="0.25">
      <c r="A193" s="454"/>
      <c r="B193" s="455"/>
      <c r="C193" s="456"/>
      <c r="D193" s="177"/>
      <c r="E193" s="106"/>
      <c r="F193" s="177"/>
      <c r="G193" s="106"/>
      <c r="H193" s="177"/>
      <c r="I193" s="106"/>
      <c r="J193" s="177"/>
      <c r="K193" s="106"/>
    </row>
    <row r="194" spans="1:11" x14ac:dyDescent="0.25">
      <c r="A194" s="451"/>
      <c r="B194" s="452"/>
      <c r="C194" s="453"/>
      <c r="D194" s="174"/>
      <c r="E194" s="104"/>
      <c r="F194" s="174"/>
      <c r="G194" s="104"/>
      <c r="H194" s="174"/>
      <c r="I194" s="104"/>
      <c r="J194" s="174"/>
      <c r="K194" s="104"/>
    </row>
    <row r="195" spans="1:11" x14ac:dyDescent="0.25">
      <c r="A195" s="454"/>
      <c r="B195" s="455"/>
      <c r="C195" s="456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51"/>
      <c r="B196" s="452"/>
      <c r="C196" s="453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54"/>
      <c r="B197" s="455"/>
      <c r="C197" s="456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51"/>
      <c r="B198" s="452"/>
      <c r="C198" s="453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54"/>
      <c r="B199" s="455"/>
      <c r="C199" s="456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51"/>
      <c r="B200" s="452"/>
      <c r="C200" s="453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54"/>
      <c r="B201" s="455"/>
      <c r="C201" s="456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51"/>
      <c r="B202" s="452"/>
      <c r="C202" s="453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54"/>
      <c r="B203" s="455"/>
      <c r="C203" s="456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51"/>
      <c r="B204" s="452"/>
      <c r="C204" s="453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54"/>
      <c r="B205" s="455"/>
      <c r="C205" s="456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51"/>
      <c r="B206" s="452"/>
      <c r="C206" s="453"/>
      <c r="D206" s="174"/>
      <c r="E206" s="104"/>
      <c r="F206" s="174"/>
      <c r="G206" s="104"/>
      <c r="H206" s="174"/>
      <c r="I206" s="104"/>
      <c r="J206" s="174"/>
      <c r="K206" s="104"/>
    </row>
    <row r="207" spans="1:11" x14ac:dyDescent="0.25">
      <c r="A207" s="454"/>
      <c r="B207" s="455"/>
      <c r="C207" s="456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51"/>
      <c r="B208" s="452"/>
      <c r="C208" s="453"/>
      <c r="D208" s="174"/>
      <c r="E208" s="104"/>
      <c r="F208" s="174"/>
      <c r="G208" s="104"/>
      <c r="H208" s="174"/>
      <c r="I208" s="104"/>
      <c r="J208" s="174"/>
      <c r="K208" s="104"/>
    </row>
    <row r="209" spans="1:11" x14ac:dyDescent="0.25">
      <c r="A209" s="454"/>
      <c r="B209" s="455"/>
      <c r="C209" s="456"/>
      <c r="D209" s="177"/>
      <c r="E209" s="106"/>
      <c r="F209" s="177"/>
      <c r="G209" s="106"/>
      <c r="H209" s="177"/>
      <c r="I209" s="106"/>
      <c r="J209" s="177"/>
      <c r="K209" s="106"/>
    </row>
    <row r="210" spans="1:11" x14ac:dyDescent="0.25">
      <c r="A210" s="451"/>
      <c r="B210" s="452"/>
      <c r="C210" s="453"/>
      <c r="D210" s="174"/>
      <c r="E210" s="104"/>
      <c r="F210" s="174"/>
      <c r="G210" s="104"/>
      <c r="H210" s="174"/>
      <c r="I210" s="104"/>
      <c r="J210" s="174"/>
      <c r="K210" s="104"/>
    </row>
    <row r="211" spans="1:11" x14ac:dyDescent="0.25">
      <c r="A211" s="457"/>
      <c r="B211" s="458"/>
      <c r="C211" s="459"/>
      <c r="D211" s="178"/>
      <c r="E211" s="114"/>
      <c r="F211" s="178"/>
      <c r="G211" s="114"/>
      <c r="H211" s="178"/>
      <c r="I211" s="114"/>
      <c r="J211" s="178"/>
      <c r="K211" s="114"/>
    </row>
    <row r="212" spans="1:11" s="427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x14ac:dyDescent="0.25">
      <c r="A213" s="460" t="s">
        <v>1873</v>
      </c>
      <c r="B213" s="461"/>
      <c r="C213" s="461"/>
      <c r="D213" s="461"/>
      <c r="E213" s="461"/>
      <c r="F213" s="461"/>
      <c r="G213" s="461"/>
      <c r="H213" s="461"/>
      <c r="I213" s="461"/>
      <c r="J213" s="461"/>
      <c r="K213" s="462"/>
    </row>
    <row r="214" spans="1:11" s="427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427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427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427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427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427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427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427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427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427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427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427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s="427" customFormat="1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s="427" customFormat="1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s="427" customFormat="1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s="427" customFormat="1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s="107" customFormat="1" x14ac:dyDescent="0.25">
      <c r="A230" s="463"/>
      <c r="B230" s="464"/>
      <c r="C230" s="464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54"/>
      <c r="B231" s="455"/>
      <c r="C231" s="456"/>
      <c r="D231" s="177"/>
      <c r="E231" s="106"/>
      <c r="F231" s="177"/>
      <c r="G231" s="106"/>
      <c r="H231" s="177"/>
      <c r="I231" s="106"/>
      <c r="J231" s="177"/>
      <c r="K231" s="106"/>
    </row>
    <row r="232" spans="1:12" x14ac:dyDescent="0.25">
      <c r="A232" s="451"/>
      <c r="B232" s="452"/>
      <c r="C232" s="453"/>
      <c r="D232" s="183"/>
      <c r="E232" s="157"/>
      <c r="F232" s="183"/>
      <c r="G232" s="157"/>
      <c r="H232" s="183"/>
      <c r="I232" s="157"/>
      <c r="J232" s="183"/>
      <c r="K232" s="157"/>
    </row>
    <row r="233" spans="1:12" x14ac:dyDescent="0.25">
      <c r="A233" s="454"/>
      <c r="B233" s="455"/>
      <c r="C233" s="456"/>
      <c r="D233" s="177"/>
      <c r="E233" s="106"/>
      <c r="F233" s="177"/>
      <c r="G233" s="106"/>
      <c r="H233" s="177"/>
      <c r="I233" s="106"/>
      <c r="J233" s="177"/>
      <c r="K233" s="106"/>
    </row>
    <row r="234" spans="1:12" x14ac:dyDescent="0.25">
      <c r="A234" s="451"/>
      <c r="B234" s="452"/>
      <c r="C234" s="453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54"/>
      <c r="B235" s="455"/>
      <c r="C235" s="456"/>
      <c r="D235" s="177"/>
      <c r="E235" s="106"/>
      <c r="F235" s="177"/>
      <c r="G235" s="106"/>
      <c r="H235" s="177"/>
      <c r="I235" s="106"/>
      <c r="J235" s="177"/>
      <c r="K235" s="106"/>
    </row>
    <row r="236" spans="1:12" x14ac:dyDescent="0.25">
      <c r="A236" s="451"/>
      <c r="B236" s="452"/>
      <c r="C236" s="453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54"/>
      <c r="B237" s="455"/>
      <c r="C237" s="456"/>
      <c r="D237" s="136"/>
      <c r="E237" s="106"/>
      <c r="F237" s="136"/>
      <c r="G237" s="106"/>
      <c r="H237" s="136"/>
      <c r="I237" s="106"/>
      <c r="J237" s="136"/>
      <c r="K237" s="106"/>
    </row>
    <row r="238" spans="1:12" x14ac:dyDescent="0.25">
      <c r="A238" s="451"/>
      <c r="B238" s="452"/>
      <c r="C238" s="453"/>
      <c r="D238" s="109"/>
      <c r="E238" s="104"/>
      <c r="F238" s="109"/>
      <c r="G238" s="104"/>
      <c r="H238" s="109"/>
      <c r="I238" s="104"/>
      <c r="J238" s="174"/>
      <c r="K238" s="104"/>
      <c r="L238" s="427"/>
    </row>
    <row r="239" spans="1:12" x14ac:dyDescent="0.25">
      <c r="A239" s="454"/>
      <c r="B239" s="455"/>
      <c r="C239" s="456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51"/>
      <c r="B240" s="452"/>
      <c r="C240" s="453"/>
      <c r="D240" s="174"/>
      <c r="E240" s="104"/>
      <c r="F240" s="174"/>
      <c r="G240" s="104"/>
      <c r="H240" s="174"/>
      <c r="I240" s="104"/>
      <c r="J240" s="174"/>
      <c r="K240" s="104"/>
    </row>
    <row r="241" spans="1:11" x14ac:dyDescent="0.25">
      <c r="A241" s="454"/>
      <c r="B241" s="455"/>
      <c r="C241" s="456"/>
      <c r="D241" s="184"/>
      <c r="E241" s="106"/>
      <c r="F241" s="184"/>
      <c r="G241" s="106"/>
      <c r="H241" s="184"/>
      <c r="I241" s="106"/>
      <c r="J241" s="184"/>
      <c r="K241" s="106"/>
    </row>
    <row r="242" spans="1:11" x14ac:dyDescent="0.25">
      <c r="A242" s="457"/>
      <c r="B242" s="458"/>
      <c r="C242" s="459"/>
      <c r="D242" s="178"/>
      <c r="E242" s="114"/>
      <c r="F242" s="178"/>
      <c r="G242" s="114"/>
      <c r="H242" s="178"/>
      <c r="I242" s="114"/>
      <c r="J242" s="178"/>
      <c r="K242" s="114"/>
    </row>
    <row r="243" spans="1:11" x14ac:dyDescent="0.25">
      <c r="A243" s="421"/>
      <c r="B243" s="421"/>
      <c r="C243" s="421" t="s">
        <v>3251</v>
      </c>
      <c r="D243" s="185"/>
    </row>
    <row r="244" spans="1:11" ht="15" customHeight="1" x14ac:dyDescent="0.25"/>
  </sheetData>
  <mergeCells count="179">
    <mergeCell ref="A239:C239"/>
    <mergeCell ref="A240:C240"/>
    <mergeCell ref="A241:C241"/>
    <mergeCell ref="A242:C242"/>
    <mergeCell ref="A233:C233"/>
    <mergeCell ref="A234:C234"/>
    <mergeCell ref="A235:C235"/>
    <mergeCell ref="A236:C236"/>
    <mergeCell ref="A237:C237"/>
    <mergeCell ref="A238:C238"/>
    <mergeCell ref="A210:C210"/>
    <mergeCell ref="A211:C211"/>
    <mergeCell ref="A213:K213"/>
    <mergeCell ref="A230:C230"/>
    <mergeCell ref="A231:C231"/>
    <mergeCell ref="A232:C232"/>
    <mergeCell ref="A204:C204"/>
    <mergeCell ref="A205:C205"/>
    <mergeCell ref="A206:C206"/>
    <mergeCell ref="A207:C207"/>
    <mergeCell ref="A208:C208"/>
    <mergeCell ref="A209:C209"/>
    <mergeCell ref="A198:C198"/>
    <mergeCell ref="A199:C199"/>
    <mergeCell ref="A200:C200"/>
    <mergeCell ref="A201:C201"/>
    <mergeCell ref="A202:C202"/>
    <mergeCell ref="A203:C203"/>
    <mergeCell ref="A192:C192"/>
    <mergeCell ref="A193:C193"/>
    <mergeCell ref="A194:C194"/>
    <mergeCell ref="A195:C195"/>
    <mergeCell ref="A196:C196"/>
    <mergeCell ref="A197:C197"/>
    <mergeCell ref="A185:C185"/>
    <mergeCell ref="A186:C186"/>
    <mergeCell ref="A187:C187"/>
    <mergeCell ref="A188:C188"/>
    <mergeCell ref="A190:C190"/>
    <mergeCell ref="A191:C191"/>
    <mergeCell ref="A178:C178"/>
    <mergeCell ref="A179:C179"/>
    <mergeCell ref="A180:C180"/>
    <mergeCell ref="A181:C181"/>
    <mergeCell ref="A182:C182"/>
    <mergeCell ref="A183:C183"/>
    <mergeCell ref="A172:C172"/>
    <mergeCell ref="A173:C173"/>
    <mergeCell ref="A174:C174"/>
    <mergeCell ref="A175:C175"/>
    <mergeCell ref="A176:C176"/>
    <mergeCell ref="A177:C177"/>
    <mergeCell ref="A166:C166"/>
    <mergeCell ref="A167:C167"/>
    <mergeCell ref="A168:C168"/>
    <mergeCell ref="A169:C169"/>
    <mergeCell ref="A170:C170"/>
    <mergeCell ref="A171:C171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7:C157"/>
    <mergeCell ref="A158:C158"/>
    <mergeCell ref="A159:C159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34:C134"/>
    <mergeCell ref="A135:C135"/>
    <mergeCell ref="A136:C136"/>
    <mergeCell ref="A137:C137"/>
    <mergeCell ref="A138:C138"/>
    <mergeCell ref="A139:C139"/>
    <mergeCell ref="A128:C128"/>
    <mergeCell ref="A129:C129"/>
    <mergeCell ref="A130:C130"/>
    <mergeCell ref="A131:C131"/>
    <mergeCell ref="A132:C132"/>
    <mergeCell ref="A133:C133"/>
    <mergeCell ref="A122:C122"/>
    <mergeCell ref="A123:C123"/>
    <mergeCell ref="A124:C124"/>
    <mergeCell ref="A125:C125"/>
    <mergeCell ref="A126:C126"/>
    <mergeCell ref="A127:C127"/>
    <mergeCell ref="A116:C116"/>
    <mergeCell ref="A117:C117"/>
    <mergeCell ref="A118:C118"/>
    <mergeCell ref="A119:C119"/>
    <mergeCell ref="A120:C120"/>
    <mergeCell ref="A121:C121"/>
    <mergeCell ref="A110:C110"/>
    <mergeCell ref="A111:C111"/>
    <mergeCell ref="A112:C112"/>
    <mergeCell ref="A113:C113"/>
    <mergeCell ref="A114:C114"/>
    <mergeCell ref="A115:C115"/>
    <mergeCell ref="A104:C104"/>
    <mergeCell ref="A105:C105"/>
    <mergeCell ref="A106:C106"/>
    <mergeCell ref="A107:C107"/>
    <mergeCell ref="A108:C108"/>
    <mergeCell ref="A109:C109"/>
    <mergeCell ref="B81:D81"/>
    <mergeCell ref="A98:K98"/>
    <mergeCell ref="A100:C100"/>
    <mergeCell ref="A101:C101"/>
    <mergeCell ref="A102:C102"/>
    <mergeCell ref="A103:C103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5:D55"/>
    <mergeCell ref="B43:D43"/>
    <mergeCell ref="B44:D44"/>
    <mergeCell ref="B45:D45"/>
    <mergeCell ref="B46:D46"/>
    <mergeCell ref="B47:D47"/>
    <mergeCell ref="B49:D49"/>
    <mergeCell ref="A8:C8"/>
    <mergeCell ref="B38:D38"/>
    <mergeCell ref="B39:D39"/>
    <mergeCell ref="B40:D40"/>
    <mergeCell ref="B41:D41"/>
    <mergeCell ref="B42:D42"/>
    <mergeCell ref="B6:D6"/>
    <mergeCell ref="F6:H6"/>
    <mergeCell ref="J6:K6"/>
    <mergeCell ref="B7:D7"/>
    <mergeCell ref="F7:H7"/>
    <mergeCell ref="J7:K7"/>
    <mergeCell ref="A3:K3"/>
    <mergeCell ref="B4:D4"/>
    <mergeCell ref="F4:H4"/>
    <mergeCell ref="J4:K4"/>
    <mergeCell ref="B5:D5"/>
    <mergeCell ref="F5:H5"/>
    <mergeCell ref="J5:K5"/>
  </mergeCells>
  <conditionalFormatting sqref="B39:D40 B42:E54 F58:G80 F39:G54">
    <cfRule type="expression" dxfId="129" priority="13">
      <formula>MOD(ROW(),2)=1</formula>
    </cfRule>
    <cfRule type="expression" dxfId="128" priority="14">
      <formula>MOD(ROW(),2)=0</formula>
    </cfRule>
  </conditionalFormatting>
  <conditionalFormatting sqref="B58:D80">
    <cfRule type="expression" dxfId="127" priority="11">
      <formula>MOD(ROW(),2)=1</formula>
    </cfRule>
    <cfRule type="expression" dxfId="126" priority="12">
      <formula>MOD(ROW(),2)=0</formula>
    </cfRule>
  </conditionalFormatting>
  <conditionalFormatting sqref="B41:D41">
    <cfRule type="expression" dxfId="125" priority="9">
      <formula>MOD(ROW(),2)=1</formula>
    </cfRule>
    <cfRule type="expression" dxfId="124" priority="10">
      <formula>MOD(ROW(),2)=0</formula>
    </cfRule>
  </conditionalFormatting>
  <conditionalFormatting sqref="E39:E40">
    <cfRule type="expression" dxfId="123" priority="7">
      <formula>MOD(ROW(),2)=1</formula>
    </cfRule>
    <cfRule type="expression" dxfId="122" priority="8">
      <formula>MOD(ROW(),2)=0</formula>
    </cfRule>
  </conditionalFormatting>
  <conditionalFormatting sqref="E41">
    <cfRule type="expression" dxfId="121" priority="5">
      <formula>MOD(ROW(),2)=1</formula>
    </cfRule>
    <cfRule type="expression" dxfId="120" priority="6">
      <formula>MOD(ROW(),2)=0</formula>
    </cfRule>
  </conditionalFormatting>
  <conditionalFormatting sqref="E58:E80">
    <cfRule type="expression" dxfId="119" priority="3">
      <formula>MOD(ROW(),2)=1</formula>
    </cfRule>
    <cfRule type="expression" dxfId="118" priority="4">
      <formula>MOD(ROW(),2)=0</formula>
    </cfRule>
  </conditionalFormatting>
  <conditionalFormatting sqref="A101:K118 A121:K155 A158:K182 A185:K188 A191:K211 A231:K242">
    <cfRule type="expression" dxfId="117" priority="1">
      <formula>MOD(ROW(),2)=1</formula>
    </cfRule>
    <cfRule type="expression" dxfId="116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8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B49"/>
  <sheetViews>
    <sheetView topLeftCell="A13" zoomScale="80" zoomScaleNormal="80" workbookViewId="0">
      <selection activeCell="H10" sqref="H10"/>
    </sheetView>
  </sheetViews>
  <sheetFormatPr defaultRowHeight="15" x14ac:dyDescent="0.25"/>
  <cols>
    <col min="1" max="1" width="51.5703125" style="384" bestFit="1" customWidth="1"/>
    <col min="2" max="3" width="9.140625" style="385"/>
    <col min="4" max="5" width="9.140625" style="386"/>
    <col min="6" max="7" width="9.140625" style="387"/>
    <col min="8" max="9" width="9.140625" style="384" customWidth="1"/>
    <col min="10" max="12" width="9.140625" style="384"/>
    <col min="13" max="13" width="9.140625" style="385"/>
    <col min="14" max="14" width="9.140625" style="386"/>
    <col min="15" max="15" width="9.140625" style="387"/>
    <col min="16" max="16" width="9.140625" style="392"/>
    <col min="17" max="20" width="9.140625" style="384"/>
    <col min="21" max="24" width="9.140625" style="48"/>
    <col min="25" max="26" width="9.140625" style="384"/>
    <col min="27" max="27" width="9.140625" style="399"/>
    <col min="28" max="16384" width="9.140625" style="384"/>
  </cols>
  <sheetData>
    <row r="2" spans="1:28" x14ac:dyDescent="0.25">
      <c r="A2" s="10" t="s">
        <v>1772</v>
      </c>
    </row>
    <row r="3" spans="1:28" x14ac:dyDescent="0.25">
      <c r="A3" s="188" t="s">
        <v>3297</v>
      </c>
      <c r="J3" s="384" t="s">
        <v>1882</v>
      </c>
      <c r="K3" s="384" t="s">
        <v>1883</v>
      </c>
      <c r="L3" s="384">
        <v>157</v>
      </c>
      <c r="N3" s="386">
        <v>3</v>
      </c>
      <c r="O3" s="387">
        <v>3</v>
      </c>
      <c r="P3" s="392" t="s">
        <v>1903</v>
      </c>
    </row>
    <row r="4" spans="1:28" x14ac:dyDescent="0.25">
      <c r="A4" s="48" t="s">
        <v>42</v>
      </c>
      <c r="B4" s="50"/>
      <c r="C4" s="50" t="s">
        <v>3299</v>
      </c>
      <c r="D4" s="70"/>
      <c r="E4" s="70" t="s">
        <v>3299</v>
      </c>
      <c r="F4" s="49"/>
      <c r="G4" s="49" t="s">
        <v>3299</v>
      </c>
      <c r="H4" s="48"/>
      <c r="I4" s="48" t="e">
        <f ca="1">AI_BA(Assets!$A$24,ACQ,1)</f>
        <v>#NAME?</v>
      </c>
      <c r="J4" s="48" t="s">
        <v>1901</v>
      </c>
      <c r="K4" s="48" t="s">
        <v>2503</v>
      </c>
      <c r="L4" s="384">
        <v>57</v>
      </c>
      <c r="P4" s="392" t="s">
        <v>1903</v>
      </c>
      <c r="R4" s="48">
        <v>1</v>
      </c>
      <c r="S4" s="48" t="s">
        <v>2307</v>
      </c>
      <c r="T4" s="48" t="s">
        <v>2700</v>
      </c>
      <c r="U4" s="388" t="s">
        <v>2353</v>
      </c>
      <c r="V4" s="388" t="s">
        <v>3028</v>
      </c>
      <c r="W4" s="48" t="s">
        <v>2261</v>
      </c>
      <c r="X4" s="48" t="s">
        <v>3074</v>
      </c>
      <c r="Z4" s="384" t="str">
        <f>$AB$4&amp;AA4</f>
        <v>BI1101</v>
      </c>
      <c r="AA4" s="399">
        <v>1101</v>
      </c>
      <c r="AB4" s="384" t="s">
        <v>3298</v>
      </c>
    </row>
    <row r="5" spans="1:28" x14ac:dyDescent="0.25">
      <c r="A5" s="48" t="s">
        <v>66</v>
      </c>
      <c r="B5" s="50"/>
      <c r="C5" s="50" t="s">
        <v>3300</v>
      </c>
      <c r="D5" s="70"/>
      <c r="E5" s="70" t="s">
        <v>3300</v>
      </c>
      <c r="F5" s="49"/>
      <c r="G5" s="49" t="s">
        <v>3300</v>
      </c>
      <c r="H5" s="48"/>
      <c r="I5" s="48" t="e">
        <f ca="1">AI_BA(Assets!$A$24,ACQ,2)</f>
        <v>#NAME?</v>
      </c>
      <c r="J5" s="48"/>
      <c r="K5" s="48"/>
      <c r="R5" s="48">
        <v>2</v>
      </c>
      <c r="S5" s="48" t="s">
        <v>2330</v>
      </c>
      <c r="T5" s="48" t="s">
        <v>2701</v>
      </c>
      <c r="U5" s="389" t="s">
        <v>2376</v>
      </c>
      <c r="V5" s="389" t="s">
        <v>3029</v>
      </c>
      <c r="W5" s="48" t="s">
        <v>2262</v>
      </c>
      <c r="X5" s="48" t="s">
        <v>3075</v>
      </c>
      <c r="Z5" s="384" t="str">
        <f t="shared" ref="Z5:Z46" si="0">$AB$4&amp;AA5</f>
        <v>BI1102</v>
      </c>
      <c r="AA5" s="399">
        <f>AA4+1</f>
        <v>1102</v>
      </c>
    </row>
    <row r="6" spans="1:28" x14ac:dyDescent="0.25">
      <c r="A6" s="48" t="s">
        <v>43</v>
      </c>
      <c r="B6" s="50"/>
      <c r="C6" s="50" t="s">
        <v>3301</v>
      </c>
      <c r="D6" s="70"/>
      <c r="E6" s="70" t="s">
        <v>3301</v>
      </c>
      <c r="F6" s="49"/>
      <c r="G6" s="49" t="s">
        <v>3301</v>
      </c>
      <c r="H6" s="48"/>
      <c r="I6" s="48" t="e">
        <f ca="1">AI_BA(Assets!$A$24,ACQ,3)</f>
        <v>#NAME?</v>
      </c>
      <c r="J6" s="48"/>
      <c r="K6" s="48"/>
      <c r="P6" s="392" t="s">
        <v>1903</v>
      </c>
      <c r="R6" s="48">
        <v>3</v>
      </c>
      <c r="S6" s="48" t="s">
        <v>2308</v>
      </c>
      <c r="T6" s="48" t="s">
        <v>2702</v>
      </c>
      <c r="U6" s="389" t="s">
        <v>2354</v>
      </c>
      <c r="V6" s="389" t="s">
        <v>3030</v>
      </c>
      <c r="W6" s="48" t="s">
        <v>2263</v>
      </c>
      <c r="X6" s="48" t="s">
        <v>3076</v>
      </c>
      <c r="Y6" s="384">
        <v>7</v>
      </c>
      <c r="Z6" s="384" t="str">
        <f t="shared" si="0"/>
        <v>BI1103</v>
      </c>
      <c r="AA6" s="399">
        <f t="shared" ref="AA6:AA46" si="1">AA5+1</f>
        <v>1103</v>
      </c>
    </row>
    <row r="7" spans="1:28" x14ac:dyDescent="0.25">
      <c r="A7" s="48" t="s">
        <v>67</v>
      </c>
      <c r="B7" s="50"/>
      <c r="C7" s="50" t="s">
        <v>3302</v>
      </c>
      <c r="D7" s="70"/>
      <c r="E7" s="70" t="s">
        <v>3302</v>
      </c>
      <c r="F7" s="49"/>
      <c r="G7" s="49" t="s">
        <v>3302</v>
      </c>
      <c r="H7" s="48"/>
      <c r="I7" s="48" t="e">
        <f ca="1">AI_BA(Assets!$A$24,ACQ,4)</f>
        <v>#NAME?</v>
      </c>
      <c r="J7" s="48"/>
      <c r="K7" s="48"/>
      <c r="R7" s="48">
        <v>4</v>
      </c>
      <c r="S7" s="48" t="s">
        <v>2331</v>
      </c>
      <c r="T7" s="48" t="s">
        <v>2703</v>
      </c>
      <c r="U7" s="389" t="s">
        <v>2377</v>
      </c>
      <c r="V7" s="389" t="s">
        <v>3031</v>
      </c>
      <c r="W7" s="48" t="s">
        <v>2264</v>
      </c>
      <c r="X7" s="48" t="s">
        <v>3077</v>
      </c>
      <c r="Z7" s="384" t="str">
        <f t="shared" si="0"/>
        <v>BI1104</v>
      </c>
      <c r="AA7" s="399">
        <f t="shared" si="1"/>
        <v>1104</v>
      </c>
    </row>
    <row r="8" spans="1:28" x14ac:dyDescent="0.25">
      <c r="A8" s="48" t="s">
        <v>44</v>
      </c>
      <c r="B8" s="50"/>
      <c r="C8" s="50" t="s">
        <v>3303</v>
      </c>
      <c r="D8" s="70"/>
      <c r="E8" s="70" t="s">
        <v>3303</v>
      </c>
      <c r="F8" s="49"/>
      <c r="G8" s="49" t="s">
        <v>3303</v>
      </c>
      <c r="H8" s="48"/>
      <c r="I8" s="48" t="e">
        <f ca="1">AI_BA(Assets!$A$24,ACQ,5)</f>
        <v>#NAME?</v>
      </c>
      <c r="J8" s="48"/>
      <c r="K8" s="48"/>
      <c r="P8" s="392" t="s">
        <v>1903</v>
      </c>
      <c r="R8" s="48">
        <v>5</v>
      </c>
      <c r="S8" s="48" t="s">
        <v>2309</v>
      </c>
      <c r="T8" s="48" t="s">
        <v>2704</v>
      </c>
      <c r="U8" s="389" t="s">
        <v>2355</v>
      </c>
      <c r="V8" s="389" t="s">
        <v>3032</v>
      </c>
      <c r="W8" s="48" t="s">
        <v>2265</v>
      </c>
      <c r="X8" s="48" t="s">
        <v>3078</v>
      </c>
      <c r="Y8" s="384">
        <v>7</v>
      </c>
      <c r="Z8" s="384" t="str">
        <f t="shared" si="0"/>
        <v>BI1105</v>
      </c>
      <c r="AA8" s="399">
        <f t="shared" si="1"/>
        <v>1105</v>
      </c>
    </row>
    <row r="9" spans="1:28" x14ac:dyDescent="0.25">
      <c r="A9" s="48" t="s">
        <v>68</v>
      </c>
      <c r="B9" s="50"/>
      <c r="C9" s="50" t="s">
        <v>3304</v>
      </c>
      <c r="D9" s="70"/>
      <c r="E9" s="70" t="s">
        <v>3304</v>
      </c>
      <c r="F9" s="49"/>
      <c r="G9" s="49" t="s">
        <v>3304</v>
      </c>
      <c r="H9" s="48"/>
      <c r="I9" s="48" t="e">
        <f ca="1">AI_BA(Assets!$A$24,ACQ,6)</f>
        <v>#NAME?</v>
      </c>
      <c r="J9" s="48"/>
      <c r="K9" s="48"/>
      <c r="R9" s="48">
        <v>6</v>
      </c>
      <c r="S9" s="48" t="s">
        <v>2332</v>
      </c>
      <c r="T9" s="48" t="s">
        <v>2705</v>
      </c>
      <c r="U9" s="389" t="s">
        <v>2378</v>
      </c>
      <c r="V9" s="389" t="s">
        <v>3033</v>
      </c>
      <c r="W9" s="48" t="s">
        <v>2266</v>
      </c>
      <c r="X9" s="48" t="s">
        <v>3079</v>
      </c>
      <c r="Z9" s="384" t="str">
        <f t="shared" si="0"/>
        <v>BI1106</v>
      </c>
      <c r="AA9" s="399">
        <f t="shared" si="1"/>
        <v>1106</v>
      </c>
    </row>
    <row r="10" spans="1:28" x14ac:dyDescent="0.25">
      <c r="A10" s="48" t="s">
        <v>45</v>
      </c>
      <c r="B10" s="50"/>
      <c r="C10" s="50" t="s">
        <v>3305</v>
      </c>
      <c r="D10" s="70"/>
      <c r="E10" s="70" t="s">
        <v>3305</v>
      </c>
      <c r="F10" s="49"/>
      <c r="G10" s="49" t="s">
        <v>3305</v>
      </c>
      <c r="H10" s="48"/>
      <c r="I10" s="48" t="e">
        <f ca="1">AI_BA(Assets!$A$24,ACQ,7)</f>
        <v>#NAME?</v>
      </c>
      <c r="J10" s="48"/>
      <c r="K10" s="48"/>
      <c r="P10" s="392" t="s">
        <v>1903</v>
      </c>
      <c r="R10" s="48">
        <v>7</v>
      </c>
      <c r="S10" s="48" t="s">
        <v>2310</v>
      </c>
      <c r="T10" s="48" t="s">
        <v>2706</v>
      </c>
      <c r="U10" s="389" t="s">
        <v>2356</v>
      </c>
      <c r="V10" s="389" t="s">
        <v>3034</v>
      </c>
      <c r="W10" s="48" t="s">
        <v>2267</v>
      </c>
      <c r="X10" s="48" t="s">
        <v>3080</v>
      </c>
      <c r="Y10" s="384">
        <v>7</v>
      </c>
      <c r="Z10" s="384" t="str">
        <f t="shared" si="0"/>
        <v>BI1107</v>
      </c>
      <c r="AA10" s="399">
        <f t="shared" si="1"/>
        <v>1107</v>
      </c>
    </row>
    <row r="11" spans="1:28" x14ac:dyDescent="0.25">
      <c r="A11" s="48" t="s">
        <v>69</v>
      </c>
      <c r="B11" s="50"/>
      <c r="C11" s="50" t="s">
        <v>3306</v>
      </c>
      <c r="D11" s="70"/>
      <c r="E11" s="70" t="s">
        <v>3306</v>
      </c>
      <c r="F11" s="49"/>
      <c r="G11" s="49" t="s">
        <v>3306</v>
      </c>
      <c r="H11" s="48"/>
      <c r="I11" s="48" t="e">
        <f ca="1">AI_BA(Assets!$A$24,ACQ,8)</f>
        <v>#NAME?</v>
      </c>
      <c r="J11" s="48"/>
      <c r="K11" s="48"/>
      <c r="R11" s="48">
        <v>8</v>
      </c>
      <c r="S11" s="48" t="s">
        <v>2333</v>
      </c>
      <c r="T11" s="48" t="s">
        <v>2707</v>
      </c>
      <c r="U11" s="389" t="s">
        <v>2379</v>
      </c>
      <c r="V11" s="389" t="s">
        <v>3035</v>
      </c>
      <c r="W11" s="48" t="s">
        <v>2268</v>
      </c>
      <c r="X11" s="48" t="s">
        <v>3081</v>
      </c>
      <c r="Z11" s="384" t="str">
        <f t="shared" si="0"/>
        <v>BI1108</v>
      </c>
      <c r="AA11" s="399">
        <f t="shared" si="1"/>
        <v>1108</v>
      </c>
    </row>
    <row r="12" spans="1:28" x14ac:dyDescent="0.25">
      <c r="A12" s="48" t="s">
        <v>46</v>
      </c>
      <c r="B12" s="50"/>
      <c r="C12" s="50" t="s">
        <v>3307</v>
      </c>
      <c r="D12" s="70"/>
      <c r="E12" s="70" t="s">
        <v>3307</v>
      </c>
      <c r="F12" s="49"/>
      <c r="G12" s="49" t="s">
        <v>3307</v>
      </c>
      <c r="H12" s="48"/>
      <c r="I12" s="48" t="e">
        <f ca="1">AI_BA(Assets!$A$24,ACQ,9)</f>
        <v>#NAME?</v>
      </c>
      <c r="J12" s="48"/>
      <c r="K12" s="48"/>
      <c r="P12" s="392" t="s">
        <v>1903</v>
      </c>
      <c r="R12" s="48">
        <v>9</v>
      </c>
      <c r="S12" s="48" t="s">
        <v>2311</v>
      </c>
      <c r="T12" s="48" t="s">
        <v>2708</v>
      </c>
      <c r="U12" s="389" t="s">
        <v>2357</v>
      </c>
      <c r="V12" s="389" t="s">
        <v>3036</v>
      </c>
      <c r="W12" s="48" t="s">
        <v>2269</v>
      </c>
      <c r="X12" s="48" t="s">
        <v>3082</v>
      </c>
      <c r="Y12" s="384">
        <v>7</v>
      </c>
      <c r="Z12" s="384" t="str">
        <f t="shared" si="0"/>
        <v>BI1109</v>
      </c>
      <c r="AA12" s="399">
        <f t="shared" si="1"/>
        <v>1109</v>
      </c>
    </row>
    <row r="13" spans="1:28" x14ac:dyDescent="0.25">
      <c r="A13" s="48" t="s">
        <v>70</v>
      </c>
      <c r="B13" s="50"/>
      <c r="C13" s="50" t="s">
        <v>3308</v>
      </c>
      <c r="D13" s="70"/>
      <c r="E13" s="70" t="s">
        <v>3308</v>
      </c>
      <c r="F13" s="49"/>
      <c r="G13" s="49" t="s">
        <v>3308</v>
      </c>
      <c r="H13" s="48"/>
      <c r="I13" s="48" t="e">
        <f ca="1">AI_BA(Assets!$A$24,ACQ,10)</f>
        <v>#NAME?</v>
      </c>
      <c r="J13" s="48"/>
      <c r="K13" s="48"/>
      <c r="R13" s="48">
        <v>10</v>
      </c>
      <c r="S13" s="48" t="s">
        <v>2334</v>
      </c>
      <c r="T13" s="48" t="s">
        <v>2709</v>
      </c>
      <c r="U13" s="389" t="s">
        <v>2380</v>
      </c>
      <c r="V13" s="389" t="s">
        <v>3037</v>
      </c>
      <c r="W13" s="48" t="s">
        <v>2270</v>
      </c>
      <c r="X13" s="48" t="s">
        <v>3083</v>
      </c>
      <c r="Z13" s="384" t="str">
        <f t="shared" si="0"/>
        <v>BI1110</v>
      </c>
      <c r="AA13" s="399">
        <f t="shared" si="1"/>
        <v>1110</v>
      </c>
    </row>
    <row r="14" spans="1:28" x14ac:dyDescent="0.25">
      <c r="A14" s="48" t="s">
        <v>47</v>
      </c>
      <c r="B14" s="50"/>
      <c r="C14" s="50" t="s">
        <v>3309</v>
      </c>
      <c r="D14" s="70"/>
      <c r="E14" s="70" t="s">
        <v>3309</v>
      </c>
      <c r="F14" s="49"/>
      <c r="G14" s="49" t="s">
        <v>3309</v>
      </c>
      <c r="H14" s="48"/>
      <c r="I14" s="48" t="e">
        <f ca="1">AI_BA(Assets!$A$24,ACQ,11)</f>
        <v>#NAME?</v>
      </c>
      <c r="J14" s="48"/>
      <c r="K14" s="48"/>
      <c r="P14" s="392" t="s">
        <v>1903</v>
      </c>
      <c r="R14" s="48">
        <v>11</v>
      </c>
      <c r="S14" s="48" t="s">
        <v>2312</v>
      </c>
      <c r="T14" s="48" t="s">
        <v>2710</v>
      </c>
      <c r="U14" s="389" t="s">
        <v>2358</v>
      </c>
      <c r="V14" s="389" t="s">
        <v>3038</v>
      </c>
      <c r="W14" s="48" t="s">
        <v>2271</v>
      </c>
      <c r="X14" s="48" t="s">
        <v>3084</v>
      </c>
      <c r="Y14" s="384">
        <v>7</v>
      </c>
      <c r="Z14" s="384" t="str">
        <f t="shared" si="0"/>
        <v>BI1111</v>
      </c>
      <c r="AA14" s="399">
        <f t="shared" si="1"/>
        <v>1111</v>
      </c>
    </row>
    <row r="15" spans="1:28" x14ac:dyDescent="0.25">
      <c r="A15" s="48" t="s">
        <v>71</v>
      </c>
      <c r="B15" s="50"/>
      <c r="C15" s="50" t="s">
        <v>3310</v>
      </c>
      <c r="D15" s="70"/>
      <c r="E15" s="70" t="s">
        <v>3310</v>
      </c>
      <c r="F15" s="49"/>
      <c r="G15" s="49" t="s">
        <v>3310</v>
      </c>
      <c r="H15" s="48"/>
      <c r="I15" s="48" t="e">
        <f ca="1">AI_BA(Assets!$A$24,ACQ,12)</f>
        <v>#NAME?</v>
      </c>
      <c r="J15" s="48"/>
      <c r="K15" s="48"/>
      <c r="R15" s="48">
        <v>12</v>
      </c>
      <c r="S15" s="48" t="s">
        <v>2335</v>
      </c>
      <c r="T15" s="48" t="s">
        <v>2711</v>
      </c>
      <c r="U15" s="389" t="s">
        <v>2381</v>
      </c>
      <c r="V15" s="389" t="s">
        <v>3039</v>
      </c>
      <c r="W15" s="48" t="s">
        <v>2272</v>
      </c>
      <c r="X15" s="48" t="s">
        <v>3085</v>
      </c>
      <c r="Z15" s="384" t="str">
        <f t="shared" si="0"/>
        <v>BI1112</v>
      </c>
      <c r="AA15" s="399">
        <f t="shared" si="1"/>
        <v>1112</v>
      </c>
    </row>
    <row r="16" spans="1:28" x14ac:dyDescent="0.25">
      <c r="A16" s="48" t="s">
        <v>48</v>
      </c>
      <c r="B16" s="50"/>
      <c r="C16" s="50" t="s">
        <v>3311</v>
      </c>
      <c r="D16" s="70"/>
      <c r="E16" s="70" t="s">
        <v>3311</v>
      </c>
      <c r="F16" s="49"/>
      <c r="G16" s="49" t="s">
        <v>3311</v>
      </c>
      <c r="H16" s="48"/>
      <c r="I16" s="48" t="e">
        <f ca="1">AI_BA(Assets!$A$24,ACQ,13)</f>
        <v>#NAME?</v>
      </c>
      <c r="J16" s="48"/>
      <c r="K16" s="48"/>
      <c r="P16" s="392" t="s">
        <v>1903</v>
      </c>
      <c r="R16" s="48">
        <v>13</v>
      </c>
      <c r="S16" s="48" t="s">
        <v>2313</v>
      </c>
      <c r="T16" s="48" t="s">
        <v>2712</v>
      </c>
      <c r="U16" s="389" t="s">
        <v>2359</v>
      </c>
      <c r="V16" s="389" t="s">
        <v>3040</v>
      </c>
      <c r="W16" s="48" t="s">
        <v>2273</v>
      </c>
      <c r="X16" s="48" t="s">
        <v>3086</v>
      </c>
      <c r="Y16" s="384">
        <v>7</v>
      </c>
      <c r="Z16" s="384" t="str">
        <f t="shared" si="0"/>
        <v>BI1113</v>
      </c>
      <c r="AA16" s="399">
        <f t="shared" si="1"/>
        <v>1113</v>
      </c>
    </row>
    <row r="17" spans="1:27" x14ac:dyDescent="0.25">
      <c r="A17" s="48" t="s">
        <v>72</v>
      </c>
      <c r="B17" s="50"/>
      <c r="C17" s="50" t="s">
        <v>3312</v>
      </c>
      <c r="D17" s="70"/>
      <c r="E17" s="70" t="s">
        <v>3312</v>
      </c>
      <c r="F17" s="49"/>
      <c r="G17" s="49" t="s">
        <v>3312</v>
      </c>
      <c r="H17" s="48"/>
      <c r="I17" s="48" t="e">
        <f ca="1">AI_BA(Assets!$A$24,ACQ,14)</f>
        <v>#NAME?</v>
      </c>
      <c r="J17" s="48"/>
      <c r="K17" s="48"/>
      <c r="R17" s="48">
        <v>14</v>
      </c>
      <c r="S17" s="48" t="s">
        <v>2336</v>
      </c>
      <c r="T17" s="48" t="s">
        <v>2713</v>
      </c>
      <c r="U17" s="389" t="s">
        <v>2382</v>
      </c>
      <c r="V17" s="389" t="s">
        <v>3041</v>
      </c>
      <c r="W17" s="48" t="s">
        <v>2274</v>
      </c>
      <c r="X17" s="48" t="s">
        <v>3087</v>
      </c>
      <c r="Z17" s="384" t="str">
        <f t="shared" si="0"/>
        <v>BI1114</v>
      </c>
      <c r="AA17" s="399">
        <f t="shared" si="1"/>
        <v>1114</v>
      </c>
    </row>
    <row r="18" spans="1:27" x14ac:dyDescent="0.25">
      <c r="A18" s="48" t="s">
        <v>49</v>
      </c>
      <c r="B18" s="50"/>
      <c r="C18" s="50" t="s">
        <v>3313</v>
      </c>
      <c r="D18" s="70"/>
      <c r="E18" s="70" t="s">
        <v>3313</v>
      </c>
      <c r="F18" s="49"/>
      <c r="G18" s="49" t="s">
        <v>3313</v>
      </c>
      <c r="H18" s="48"/>
      <c r="I18" s="48" t="e">
        <f ca="1">AI_BA(Assets!$A$24,ACQ,15)</f>
        <v>#NAME?</v>
      </c>
      <c r="J18" s="48"/>
      <c r="K18" s="48"/>
      <c r="P18" s="392" t="s">
        <v>1903</v>
      </c>
      <c r="R18" s="48">
        <v>15</v>
      </c>
      <c r="S18" s="48" t="s">
        <v>2314</v>
      </c>
      <c r="T18" s="48" t="s">
        <v>2714</v>
      </c>
      <c r="U18" s="389" t="s">
        <v>2360</v>
      </c>
      <c r="V18" s="389" t="s">
        <v>3042</v>
      </c>
      <c r="W18" s="48" t="s">
        <v>2275</v>
      </c>
      <c r="X18" s="48" t="s">
        <v>3088</v>
      </c>
      <c r="Y18" s="384">
        <v>7</v>
      </c>
      <c r="Z18" s="384" t="str">
        <f t="shared" si="0"/>
        <v>BI1115</v>
      </c>
      <c r="AA18" s="399">
        <f t="shared" si="1"/>
        <v>1115</v>
      </c>
    </row>
    <row r="19" spans="1:27" x14ac:dyDescent="0.25">
      <c r="A19" s="48" t="s">
        <v>73</v>
      </c>
      <c r="B19" s="50"/>
      <c r="C19" s="50" t="s">
        <v>3314</v>
      </c>
      <c r="D19" s="70"/>
      <c r="E19" s="70" t="s">
        <v>3314</v>
      </c>
      <c r="F19" s="49"/>
      <c r="G19" s="49" t="s">
        <v>3314</v>
      </c>
      <c r="H19" s="48"/>
      <c r="I19" s="48" t="e">
        <f ca="1">AI_BA(Assets!$A$24,ACQ,16)</f>
        <v>#NAME?</v>
      </c>
      <c r="J19" s="48"/>
      <c r="K19" s="48"/>
      <c r="R19" s="48">
        <v>16</v>
      </c>
      <c r="S19" s="48" t="s">
        <v>2337</v>
      </c>
      <c r="T19" s="48" t="s">
        <v>2715</v>
      </c>
      <c r="U19" s="389" t="s">
        <v>2383</v>
      </c>
      <c r="V19" s="389" t="s">
        <v>3043</v>
      </c>
      <c r="W19" s="48" t="s">
        <v>2276</v>
      </c>
      <c r="X19" s="48" t="s">
        <v>3089</v>
      </c>
      <c r="Z19" s="384" t="str">
        <f t="shared" si="0"/>
        <v>BI1116</v>
      </c>
      <c r="AA19" s="399">
        <f t="shared" si="1"/>
        <v>1116</v>
      </c>
    </row>
    <row r="20" spans="1:27" x14ac:dyDescent="0.25">
      <c r="A20" s="48" t="s">
        <v>50</v>
      </c>
      <c r="B20" s="50"/>
      <c r="C20" s="50" t="s">
        <v>3315</v>
      </c>
      <c r="D20" s="70"/>
      <c r="E20" s="70" t="s">
        <v>3315</v>
      </c>
      <c r="F20" s="49"/>
      <c r="G20" s="49" t="s">
        <v>3315</v>
      </c>
      <c r="H20" s="48"/>
      <c r="I20" s="48" t="e">
        <f ca="1">AI_BA(Assets!$A$24,ACQ,17)</f>
        <v>#NAME?</v>
      </c>
      <c r="J20" s="48"/>
      <c r="K20" s="48"/>
      <c r="P20" s="392" t="s">
        <v>1903</v>
      </c>
      <c r="R20" s="48">
        <v>17</v>
      </c>
      <c r="S20" s="48" t="s">
        <v>2315</v>
      </c>
      <c r="T20" s="48" t="s">
        <v>2716</v>
      </c>
      <c r="U20" s="389" t="s">
        <v>2361</v>
      </c>
      <c r="V20" s="389" t="s">
        <v>3044</v>
      </c>
      <c r="W20" s="48" t="s">
        <v>2277</v>
      </c>
      <c r="X20" s="48" t="s">
        <v>3090</v>
      </c>
      <c r="Y20" s="384">
        <v>7</v>
      </c>
      <c r="Z20" s="384" t="str">
        <f t="shared" si="0"/>
        <v>BI1117</v>
      </c>
      <c r="AA20" s="399">
        <f t="shared" si="1"/>
        <v>1117</v>
      </c>
    </row>
    <row r="21" spans="1:27" x14ac:dyDescent="0.25">
      <c r="A21" s="48" t="s">
        <v>74</v>
      </c>
      <c r="B21" s="50"/>
      <c r="C21" s="50" t="s">
        <v>3316</v>
      </c>
      <c r="D21" s="70"/>
      <c r="E21" s="70" t="s">
        <v>3316</v>
      </c>
      <c r="F21" s="49"/>
      <c r="G21" s="49" t="s">
        <v>3316</v>
      </c>
      <c r="H21" s="48"/>
      <c r="I21" s="48" t="e">
        <f ca="1">AI_BA(Assets!$A$24,ACQ,18)</f>
        <v>#NAME?</v>
      </c>
      <c r="J21" s="48"/>
      <c r="K21" s="48"/>
      <c r="R21" s="48">
        <v>18</v>
      </c>
      <c r="S21" s="48" t="s">
        <v>2338</v>
      </c>
      <c r="T21" s="48" t="s">
        <v>2717</v>
      </c>
      <c r="U21" s="389" t="s">
        <v>2384</v>
      </c>
      <c r="V21" s="389" t="s">
        <v>3045</v>
      </c>
      <c r="W21" s="48" t="s">
        <v>2278</v>
      </c>
      <c r="X21" s="48" t="s">
        <v>3091</v>
      </c>
      <c r="Z21" s="384" t="str">
        <f t="shared" si="0"/>
        <v>BI1118</v>
      </c>
      <c r="AA21" s="399">
        <f t="shared" si="1"/>
        <v>1118</v>
      </c>
    </row>
    <row r="22" spans="1:27" x14ac:dyDescent="0.25">
      <c r="A22" s="48" t="s">
        <v>51</v>
      </c>
      <c r="B22" s="50"/>
      <c r="C22" s="50" t="s">
        <v>3317</v>
      </c>
      <c r="D22" s="70"/>
      <c r="E22" s="70" t="s">
        <v>3317</v>
      </c>
      <c r="F22" s="49"/>
      <c r="G22" s="49" t="s">
        <v>3317</v>
      </c>
      <c r="H22" s="48"/>
      <c r="I22" s="48" t="e">
        <f ca="1">AI_BA(Assets!$A$24,ACQ,19)</f>
        <v>#NAME?</v>
      </c>
      <c r="J22" s="48"/>
      <c r="K22" s="48"/>
      <c r="P22" s="392" t="s">
        <v>1903</v>
      </c>
      <c r="R22" s="48">
        <v>19</v>
      </c>
      <c r="S22" s="48" t="s">
        <v>2316</v>
      </c>
      <c r="T22" s="48" t="s">
        <v>2718</v>
      </c>
      <c r="U22" s="389" t="s">
        <v>2362</v>
      </c>
      <c r="V22" s="389" t="s">
        <v>3046</v>
      </c>
      <c r="W22" s="48" t="s">
        <v>2279</v>
      </c>
      <c r="X22" s="48" t="s">
        <v>3092</v>
      </c>
      <c r="Y22" s="384">
        <v>7</v>
      </c>
      <c r="Z22" s="384" t="str">
        <f t="shared" si="0"/>
        <v>BI1119</v>
      </c>
      <c r="AA22" s="399">
        <f t="shared" si="1"/>
        <v>1119</v>
      </c>
    </row>
    <row r="23" spans="1:27" x14ac:dyDescent="0.25">
      <c r="A23" s="48" t="s">
        <v>75</v>
      </c>
      <c r="B23" s="50"/>
      <c r="C23" s="50" t="s">
        <v>3318</v>
      </c>
      <c r="D23" s="70"/>
      <c r="E23" s="70" t="s">
        <v>3318</v>
      </c>
      <c r="F23" s="49"/>
      <c r="G23" s="49" t="s">
        <v>3318</v>
      </c>
      <c r="H23" s="48"/>
      <c r="I23" s="48" t="e">
        <f ca="1">AI_BA(Assets!$A$24,ACQ,20)</f>
        <v>#NAME?</v>
      </c>
      <c r="J23" s="48"/>
      <c r="K23" s="48"/>
      <c r="R23" s="48">
        <v>20</v>
      </c>
      <c r="S23" s="48" t="s">
        <v>2339</v>
      </c>
      <c r="T23" s="48" t="s">
        <v>2719</v>
      </c>
      <c r="U23" s="389" t="s">
        <v>2385</v>
      </c>
      <c r="V23" s="389" t="s">
        <v>3047</v>
      </c>
      <c r="W23" s="48" t="s">
        <v>2280</v>
      </c>
      <c r="X23" s="48" t="s">
        <v>3093</v>
      </c>
      <c r="Z23" s="384" t="str">
        <f t="shared" si="0"/>
        <v>BI1120</v>
      </c>
      <c r="AA23" s="399">
        <f t="shared" si="1"/>
        <v>1120</v>
      </c>
    </row>
    <row r="24" spans="1:27" x14ac:dyDescent="0.25">
      <c r="A24" s="48" t="s">
        <v>52</v>
      </c>
      <c r="B24" s="50"/>
      <c r="C24" s="50" t="s">
        <v>3319</v>
      </c>
      <c r="D24" s="70"/>
      <c r="E24" s="70" t="s">
        <v>3319</v>
      </c>
      <c r="F24" s="49"/>
      <c r="G24" s="49" t="s">
        <v>3319</v>
      </c>
      <c r="H24" s="48"/>
      <c r="I24" s="48" t="e">
        <f ca="1">AI_BA(Assets!$A$24,ACQ,21)</f>
        <v>#NAME?</v>
      </c>
      <c r="J24" s="48"/>
      <c r="K24" s="48"/>
      <c r="P24" s="392" t="s">
        <v>1903</v>
      </c>
      <c r="R24" s="48">
        <v>21</v>
      </c>
      <c r="S24" s="48" t="s">
        <v>2317</v>
      </c>
      <c r="T24" s="48" t="s">
        <v>2720</v>
      </c>
      <c r="U24" s="389" t="s">
        <v>2363</v>
      </c>
      <c r="V24" s="389" t="s">
        <v>3048</v>
      </c>
      <c r="W24" s="48" t="s">
        <v>2281</v>
      </c>
      <c r="X24" s="48" t="s">
        <v>3094</v>
      </c>
      <c r="Y24" s="384">
        <v>7</v>
      </c>
      <c r="Z24" s="384" t="str">
        <f t="shared" si="0"/>
        <v>BI1121</v>
      </c>
      <c r="AA24" s="399">
        <f t="shared" si="1"/>
        <v>1121</v>
      </c>
    </row>
    <row r="25" spans="1:27" x14ac:dyDescent="0.25">
      <c r="A25" s="48" t="s">
        <v>76</v>
      </c>
      <c r="B25" s="50"/>
      <c r="C25" s="50" t="s">
        <v>3320</v>
      </c>
      <c r="D25" s="70"/>
      <c r="E25" s="70" t="s">
        <v>3320</v>
      </c>
      <c r="F25" s="49"/>
      <c r="G25" s="49" t="s">
        <v>3320</v>
      </c>
      <c r="H25" s="48"/>
      <c r="I25" s="48" t="e">
        <f ca="1">AI_BA(Assets!$A$24,ACQ,22)</f>
        <v>#NAME?</v>
      </c>
      <c r="J25" s="48"/>
      <c r="K25" s="48"/>
      <c r="R25" s="48">
        <v>22</v>
      </c>
      <c r="S25" s="48" t="s">
        <v>2340</v>
      </c>
      <c r="T25" s="48" t="s">
        <v>2721</v>
      </c>
      <c r="U25" s="389" t="s">
        <v>2386</v>
      </c>
      <c r="V25" s="389" t="s">
        <v>3049</v>
      </c>
      <c r="W25" s="48" t="s">
        <v>2282</v>
      </c>
      <c r="X25" s="48" t="s">
        <v>3095</v>
      </c>
      <c r="Z25" s="384" t="str">
        <f t="shared" si="0"/>
        <v>BI1122</v>
      </c>
      <c r="AA25" s="399">
        <f t="shared" si="1"/>
        <v>1122</v>
      </c>
    </row>
    <row r="26" spans="1:27" x14ac:dyDescent="0.25">
      <c r="A26" s="48" t="s">
        <v>53</v>
      </c>
      <c r="B26" s="50"/>
      <c r="C26" s="50" t="s">
        <v>3321</v>
      </c>
      <c r="D26" s="70"/>
      <c r="E26" s="70" t="s">
        <v>3321</v>
      </c>
      <c r="F26" s="49"/>
      <c r="G26" s="49" t="s">
        <v>3321</v>
      </c>
      <c r="H26" s="48"/>
      <c r="I26" s="48" t="e">
        <f ca="1">AI_BA(Assets!$A$24,ACQ,23)</f>
        <v>#NAME?</v>
      </c>
      <c r="J26" s="48"/>
      <c r="K26" s="48"/>
      <c r="P26" s="392" t="s">
        <v>1903</v>
      </c>
      <c r="R26" s="48">
        <v>23</v>
      </c>
      <c r="S26" s="48" t="s">
        <v>2318</v>
      </c>
      <c r="T26" s="48" t="s">
        <v>2722</v>
      </c>
      <c r="U26" s="389" t="s">
        <v>2364</v>
      </c>
      <c r="V26" s="389" t="s">
        <v>3050</v>
      </c>
      <c r="W26" s="48" t="s">
        <v>2283</v>
      </c>
      <c r="X26" s="48" t="s">
        <v>3096</v>
      </c>
      <c r="Y26" s="384">
        <v>7</v>
      </c>
      <c r="Z26" s="384" t="str">
        <f t="shared" si="0"/>
        <v>BI1123</v>
      </c>
      <c r="AA26" s="399">
        <f t="shared" si="1"/>
        <v>1123</v>
      </c>
    </row>
    <row r="27" spans="1:27" x14ac:dyDescent="0.25">
      <c r="A27" s="48" t="s">
        <v>77</v>
      </c>
      <c r="B27" s="50"/>
      <c r="C27" s="50" t="s">
        <v>3322</v>
      </c>
      <c r="D27" s="70"/>
      <c r="E27" s="70" t="s">
        <v>3322</v>
      </c>
      <c r="F27" s="49"/>
      <c r="G27" s="49" t="s">
        <v>3322</v>
      </c>
      <c r="H27" s="48"/>
      <c r="I27" s="48" t="e">
        <f ca="1">AI_BA(Assets!$A$24,ACQ,24)</f>
        <v>#NAME?</v>
      </c>
      <c r="J27" s="48"/>
      <c r="K27" s="48"/>
      <c r="R27" s="48">
        <v>24</v>
      </c>
      <c r="S27" s="48" t="s">
        <v>2341</v>
      </c>
      <c r="T27" s="48" t="s">
        <v>2723</v>
      </c>
      <c r="U27" s="389" t="s">
        <v>2387</v>
      </c>
      <c r="V27" s="389" t="s">
        <v>3051</v>
      </c>
      <c r="W27" s="48" t="s">
        <v>2284</v>
      </c>
      <c r="X27" s="48" t="s">
        <v>3097</v>
      </c>
      <c r="Z27" s="384" t="str">
        <f t="shared" si="0"/>
        <v>BI1124</v>
      </c>
      <c r="AA27" s="399">
        <f t="shared" si="1"/>
        <v>1124</v>
      </c>
    </row>
    <row r="28" spans="1:27" x14ac:dyDescent="0.25">
      <c r="A28" s="48" t="s">
        <v>54</v>
      </c>
      <c r="B28" s="50"/>
      <c r="C28" s="50" t="s">
        <v>3323</v>
      </c>
      <c r="D28" s="70"/>
      <c r="E28" s="70" t="s">
        <v>3323</v>
      </c>
      <c r="F28" s="49"/>
      <c r="G28" s="49" t="s">
        <v>3323</v>
      </c>
      <c r="H28" s="48"/>
      <c r="I28" s="48" t="e">
        <f ca="1">AI_BA(Assets!$A$24,ACQ,25)</f>
        <v>#NAME?</v>
      </c>
      <c r="J28" s="48"/>
      <c r="K28" s="48"/>
      <c r="P28" s="392" t="s">
        <v>1903</v>
      </c>
      <c r="R28" s="48">
        <v>25</v>
      </c>
      <c r="S28" s="48" t="s">
        <v>2319</v>
      </c>
      <c r="T28" s="48" t="s">
        <v>2724</v>
      </c>
      <c r="U28" s="389" t="s">
        <v>2365</v>
      </c>
      <c r="V28" s="389" t="s">
        <v>3052</v>
      </c>
      <c r="W28" s="48" t="s">
        <v>2285</v>
      </c>
      <c r="X28" s="48" t="s">
        <v>3098</v>
      </c>
      <c r="Y28" s="384">
        <v>7</v>
      </c>
      <c r="Z28" s="384" t="str">
        <f t="shared" si="0"/>
        <v>BI1125</v>
      </c>
      <c r="AA28" s="399">
        <f t="shared" si="1"/>
        <v>1125</v>
      </c>
    </row>
    <row r="29" spans="1:27" x14ac:dyDescent="0.25">
      <c r="A29" s="48" t="s">
        <v>78</v>
      </c>
      <c r="B29" s="50"/>
      <c r="C29" s="50" t="s">
        <v>3324</v>
      </c>
      <c r="D29" s="70"/>
      <c r="E29" s="70" t="s">
        <v>3324</v>
      </c>
      <c r="F29" s="49"/>
      <c r="G29" s="49" t="s">
        <v>3324</v>
      </c>
      <c r="H29" s="48"/>
      <c r="I29" s="48" t="e">
        <f ca="1">AI_BA(Assets!$A$24,ACQ,26)</f>
        <v>#NAME?</v>
      </c>
      <c r="J29" s="48"/>
      <c r="K29" s="48"/>
      <c r="R29" s="48">
        <v>26</v>
      </c>
      <c r="S29" s="48" t="s">
        <v>2342</v>
      </c>
      <c r="T29" s="48" t="s">
        <v>2725</v>
      </c>
      <c r="U29" s="389" t="s">
        <v>2388</v>
      </c>
      <c r="V29" s="389" t="s">
        <v>3053</v>
      </c>
      <c r="W29" s="48" t="s">
        <v>2286</v>
      </c>
      <c r="X29" s="48" t="s">
        <v>3099</v>
      </c>
      <c r="Z29" s="384" t="str">
        <f t="shared" si="0"/>
        <v>BI1126</v>
      </c>
      <c r="AA29" s="399">
        <f t="shared" si="1"/>
        <v>1126</v>
      </c>
    </row>
    <row r="30" spans="1:27" x14ac:dyDescent="0.25">
      <c r="A30" s="48" t="s">
        <v>55</v>
      </c>
      <c r="B30" s="50"/>
      <c r="C30" s="50" t="s">
        <v>3325</v>
      </c>
      <c r="D30" s="70"/>
      <c r="E30" s="70" t="s">
        <v>3325</v>
      </c>
      <c r="F30" s="49"/>
      <c r="G30" s="49" t="s">
        <v>3325</v>
      </c>
      <c r="H30" s="48"/>
      <c r="I30" s="48" t="e">
        <f ca="1">AI_BA(Assets!$A$24,ACQ,27)</f>
        <v>#NAME?</v>
      </c>
      <c r="J30" s="48"/>
      <c r="K30" s="48"/>
      <c r="P30" s="392" t="s">
        <v>1903</v>
      </c>
      <c r="R30" s="48">
        <v>27</v>
      </c>
      <c r="S30" s="48" t="s">
        <v>2320</v>
      </c>
      <c r="T30" s="48" t="s">
        <v>2726</v>
      </c>
      <c r="U30" s="389" t="s">
        <v>2366</v>
      </c>
      <c r="V30" s="389" t="s">
        <v>3054</v>
      </c>
      <c r="W30" s="48" t="s">
        <v>2287</v>
      </c>
      <c r="X30" s="48" t="s">
        <v>3100</v>
      </c>
      <c r="Y30" s="384">
        <v>7</v>
      </c>
      <c r="Z30" s="384" t="str">
        <f t="shared" si="0"/>
        <v>BI1127</v>
      </c>
      <c r="AA30" s="399">
        <f t="shared" si="1"/>
        <v>1127</v>
      </c>
    </row>
    <row r="31" spans="1:27" x14ac:dyDescent="0.25">
      <c r="A31" s="48" t="s">
        <v>79</v>
      </c>
      <c r="B31" s="50"/>
      <c r="C31" s="50" t="s">
        <v>3326</v>
      </c>
      <c r="D31" s="70"/>
      <c r="E31" s="70" t="s">
        <v>3326</v>
      </c>
      <c r="F31" s="49"/>
      <c r="G31" s="49" t="s">
        <v>3326</v>
      </c>
      <c r="H31" s="48"/>
      <c r="I31" s="48" t="e">
        <f ca="1">AI_BA(Assets!$A$24,ACQ,28)</f>
        <v>#NAME?</v>
      </c>
      <c r="J31" s="48"/>
      <c r="K31" s="48"/>
      <c r="R31" s="48">
        <v>28</v>
      </c>
      <c r="S31" s="48" t="s">
        <v>2343</v>
      </c>
      <c r="T31" s="48" t="s">
        <v>2727</v>
      </c>
      <c r="U31" s="389" t="s">
        <v>2389</v>
      </c>
      <c r="V31" s="389" t="s">
        <v>3055</v>
      </c>
      <c r="W31" s="48" t="s">
        <v>2288</v>
      </c>
      <c r="X31" s="48" t="s">
        <v>3101</v>
      </c>
      <c r="Z31" s="384" t="str">
        <f t="shared" si="0"/>
        <v>BI1128</v>
      </c>
      <c r="AA31" s="399">
        <f t="shared" si="1"/>
        <v>1128</v>
      </c>
    </row>
    <row r="32" spans="1:27" x14ac:dyDescent="0.25">
      <c r="A32" s="48" t="s">
        <v>56</v>
      </c>
      <c r="B32" s="50"/>
      <c r="C32" s="50" t="s">
        <v>3327</v>
      </c>
      <c r="D32" s="70"/>
      <c r="E32" s="70" t="s">
        <v>3327</v>
      </c>
      <c r="F32" s="49"/>
      <c r="G32" s="49" t="s">
        <v>3327</v>
      </c>
      <c r="H32" s="48"/>
      <c r="I32" s="48" t="e">
        <f ca="1">AI_BA(Assets!$A$24,ACQ,29)</f>
        <v>#NAME?</v>
      </c>
      <c r="J32" s="48"/>
      <c r="K32" s="48"/>
      <c r="P32" s="392" t="s">
        <v>1903</v>
      </c>
      <c r="R32" s="48">
        <v>29</v>
      </c>
      <c r="S32" s="48" t="s">
        <v>2321</v>
      </c>
      <c r="T32" s="48" t="s">
        <v>2728</v>
      </c>
      <c r="U32" s="389" t="s">
        <v>2367</v>
      </c>
      <c r="V32" s="389" t="s">
        <v>3056</v>
      </c>
      <c r="W32" s="48" t="s">
        <v>2289</v>
      </c>
      <c r="X32" s="48" t="s">
        <v>3102</v>
      </c>
      <c r="Y32" s="384">
        <v>7</v>
      </c>
      <c r="Z32" s="384" t="str">
        <f t="shared" si="0"/>
        <v>BI1129</v>
      </c>
      <c r="AA32" s="399">
        <f t="shared" si="1"/>
        <v>1129</v>
      </c>
    </row>
    <row r="33" spans="1:27" x14ac:dyDescent="0.25">
      <c r="A33" s="48" t="s">
        <v>80</v>
      </c>
      <c r="B33" s="50"/>
      <c r="C33" s="50" t="s">
        <v>3328</v>
      </c>
      <c r="D33" s="70"/>
      <c r="E33" s="70" t="s">
        <v>3328</v>
      </c>
      <c r="F33" s="49"/>
      <c r="G33" s="49" t="s">
        <v>3328</v>
      </c>
      <c r="H33" s="48"/>
      <c r="I33" s="48" t="e">
        <f ca="1">AI_BA(Assets!$A$24,ACQ,30)</f>
        <v>#NAME?</v>
      </c>
      <c r="J33" s="48"/>
      <c r="K33" s="48"/>
      <c r="R33" s="48">
        <v>30</v>
      </c>
      <c r="S33" s="48" t="s">
        <v>2344</v>
      </c>
      <c r="T33" s="48" t="s">
        <v>2729</v>
      </c>
      <c r="U33" s="389" t="s">
        <v>2390</v>
      </c>
      <c r="V33" s="389" t="s">
        <v>3057</v>
      </c>
      <c r="W33" s="48" t="s">
        <v>2290</v>
      </c>
      <c r="X33" s="48" t="s">
        <v>3103</v>
      </c>
      <c r="Z33" s="384" t="str">
        <f t="shared" si="0"/>
        <v>BI1130</v>
      </c>
      <c r="AA33" s="399">
        <f t="shared" si="1"/>
        <v>1130</v>
      </c>
    </row>
    <row r="34" spans="1:27" x14ac:dyDescent="0.25">
      <c r="A34" s="48" t="s">
        <v>57</v>
      </c>
      <c r="B34" s="50"/>
      <c r="C34" s="50" t="s">
        <v>3329</v>
      </c>
      <c r="D34" s="70"/>
      <c r="E34" s="70" t="s">
        <v>3329</v>
      </c>
      <c r="F34" s="49"/>
      <c r="G34" s="49" t="s">
        <v>3329</v>
      </c>
      <c r="H34" s="48"/>
      <c r="I34" s="48" t="e">
        <f ca="1">AI_BA(Assets!$A$24,ACQ,31)</f>
        <v>#NAME?</v>
      </c>
      <c r="J34" s="48"/>
      <c r="K34" s="48"/>
      <c r="P34" s="392" t="s">
        <v>1903</v>
      </c>
      <c r="R34" s="48">
        <v>31</v>
      </c>
      <c r="S34" s="48" t="s">
        <v>2322</v>
      </c>
      <c r="T34" s="48" t="s">
        <v>2730</v>
      </c>
      <c r="U34" s="389" t="s">
        <v>2368</v>
      </c>
      <c r="V34" s="389" t="s">
        <v>3058</v>
      </c>
      <c r="W34" s="48" t="s">
        <v>2291</v>
      </c>
      <c r="X34" s="48" t="s">
        <v>3104</v>
      </c>
      <c r="Y34" s="384">
        <v>7</v>
      </c>
      <c r="Z34" s="384" t="str">
        <f t="shared" si="0"/>
        <v>BI1131</v>
      </c>
      <c r="AA34" s="399">
        <f t="shared" si="1"/>
        <v>1131</v>
      </c>
    </row>
    <row r="35" spans="1:27" x14ac:dyDescent="0.25">
      <c r="A35" s="48" t="s">
        <v>81</v>
      </c>
      <c r="B35" s="50"/>
      <c r="C35" s="50" t="s">
        <v>3330</v>
      </c>
      <c r="D35" s="70"/>
      <c r="E35" s="70" t="s">
        <v>3330</v>
      </c>
      <c r="F35" s="49"/>
      <c r="G35" s="49" t="s">
        <v>3330</v>
      </c>
      <c r="H35" s="48"/>
      <c r="I35" s="48" t="e">
        <f ca="1">AI_BA(Assets!$A$24,ACQ,32)</f>
        <v>#NAME?</v>
      </c>
      <c r="J35" s="48"/>
      <c r="K35" s="48"/>
      <c r="R35" s="48">
        <v>32</v>
      </c>
      <c r="S35" s="48" t="s">
        <v>2345</v>
      </c>
      <c r="T35" s="48" t="s">
        <v>2731</v>
      </c>
      <c r="U35" s="389" t="s">
        <v>2391</v>
      </c>
      <c r="V35" s="389" t="s">
        <v>3059</v>
      </c>
      <c r="W35" s="48" t="s">
        <v>2292</v>
      </c>
      <c r="X35" s="48" t="s">
        <v>3105</v>
      </c>
      <c r="Z35" s="384" t="str">
        <f t="shared" si="0"/>
        <v>BI1132</v>
      </c>
      <c r="AA35" s="399">
        <f t="shared" si="1"/>
        <v>1132</v>
      </c>
    </row>
    <row r="36" spans="1:27" x14ac:dyDescent="0.25">
      <c r="A36" s="48" t="s">
        <v>58</v>
      </c>
      <c r="B36" s="50"/>
      <c r="C36" s="50" t="s">
        <v>3331</v>
      </c>
      <c r="D36" s="70"/>
      <c r="E36" s="70" t="s">
        <v>3331</v>
      </c>
      <c r="F36" s="49"/>
      <c r="G36" s="49" t="s">
        <v>3331</v>
      </c>
      <c r="H36" s="48"/>
      <c r="I36" s="48" t="e">
        <f ca="1">AI_BA(Assets!$A$24,ACQ,33)</f>
        <v>#NAME?</v>
      </c>
      <c r="J36" s="48"/>
      <c r="K36" s="48"/>
      <c r="P36" s="392" t="s">
        <v>1903</v>
      </c>
      <c r="R36" s="48">
        <v>33</v>
      </c>
      <c r="S36" s="48" t="s">
        <v>2323</v>
      </c>
      <c r="T36" s="48" t="s">
        <v>2732</v>
      </c>
      <c r="U36" s="389" t="s">
        <v>2369</v>
      </c>
      <c r="V36" s="389" t="s">
        <v>3060</v>
      </c>
      <c r="W36" s="48" t="s">
        <v>2293</v>
      </c>
      <c r="X36" s="48" t="s">
        <v>3106</v>
      </c>
      <c r="Y36" s="384">
        <v>7</v>
      </c>
      <c r="Z36" s="384" t="str">
        <f t="shared" si="0"/>
        <v>BI1133</v>
      </c>
      <c r="AA36" s="399">
        <f t="shared" si="1"/>
        <v>1133</v>
      </c>
    </row>
    <row r="37" spans="1:27" x14ac:dyDescent="0.25">
      <c r="A37" s="48" t="s">
        <v>82</v>
      </c>
      <c r="B37" s="50"/>
      <c r="C37" s="50" t="s">
        <v>3332</v>
      </c>
      <c r="D37" s="70"/>
      <c r="E37" s="70" t="s">
        <v>3332</v>
      </c>
      <c r="F37" s="49"/>
      <c r="G37" s="49" t="s">
        <v>3332</v>
      </c>
      <c r="H37" s="48"/>
      <c r="I37" s="48" t="e">
        <f ca="1">AI_BA(Assets!$A$24,ACQ,34)</f>
        <v>#NAME?</v>
      </c>
      <c r="J37" s="48"/>
      <c r="K37" s="48"/>
      <c r="R37" s="48">
        <v>34</v>
      </c>
      <c r="S37" s="48" t="s">
        <v>2346</v>
      </c>
      <c r="T37" s="48" t="s">
        <v>2733</v>
      </c>
      <c r="U37" s="389" t="s">
        <v>2392</v>
      </c>
      <c r="V37" s="389" t="s">
        <v>3061</v>
      </c>
      <c r="W37" s="48" t="s">
        <v>2294</v>
      </c>
      <c r="X37" s="48" t="s">
        <v>3107</v>
      </c>
      <c r="Z37" s="384" t="str">
        <f t="shared" si="0"/>
        <v>BI1134</v>
      </c>
      <c r="AA37" s="399">
        <f t="shared" si="1"/>
        <v>1134</v>
      </c>
    </row>
    <row r="38" spans="1:27" x14ac:dyDescent="0.25">
      <c r="A38" s="48" t="s">
        <v>59</v>
      </c>
      <c r="B38" s="50"/>
      <c r="C38" s="50" t="s">
        <v>3333</v>
      </c>
      <c r="D38" s="70"/>
      <c r="E38" s="70" t="s">
        <v>3333</v>
      </c>
      <c r="F38" s="49"/>
      <c r="G38" s="49" t="s">
        <v>3333</v>
      </c>
      <c r="H38" s="48"/>
      <c r="I38" s="48" t="e">
        <f ca="1">AI_BA(Assets!$A$24,ACQ,35)</f>
        <v>#NAME?</v>
      </c>
      <c r="J38" s="48"/>
      <c r="K38" s="48"/>
      <c r="P38" s="392" t="s">
        <v>1903</v>
      </c>
      <c r="R38" s="48">
        <v>35</v>
      </c>
      <c r="S38" s="48" t="s">
        <v>2324</v>
      </c>
      <c r="T38" s="48" t="s">
        <v>2734</v>
      </c>
      <c r="U38" s="389" t="s">
        <v>2370</v>
      </c>
      <c r="V38" s="389" t="s">
        <v>3062</v>
      </c>
      <c r="W38" s="48" t="s">
        <v>2295</v>
      </c>
      <c r="X38" s="48" t="s">
        <v>3108</v>
      </c>
      <c r="Y38" s="384">
        <v>7</v>
      </c>
      <c r="Z38" s="384" t="str">
        <f t="shared" si="0"/>
        <v>BI1135</v>
      </c>
      <c r="AA38" s="399">
        <f t="shared" si="1"/>
        <v>1135</v>
      </c>
    </row>
    <row r="39" spans="1:27" x14ac:dyDescent="0.25">
      <c r="A39" s="48" t="s">
        <v>83</v>
      </c>
      <c r="B39" s="50"/>
      <c r="C39" s="50" t="s">
        <v>3334</v>
      </c>
      <c r="D39" s="70"/>
      <c r="E39" s="70" t="s">
        <v>3334</v>
      </c>
      <c r="F39" s="49"/>
      <c r="G39" s="49" t="s">
        <v>3334</v>
      </c>
      <c r="H39" s="48"/>
      <c r="I39" s="48" t="e">
        <f ca="1">AI_BA(Assets!$A$24,ACQ,36)</f>
        <v>#NAME?</v>
      </c>
      <c r="J39" s="48"/>
      <c r="K39" s="48"/>
      <c r="R39" s="48">
        <v>36</v>
      </c>
      <c r="S39" s="48" t="s">
        <v>2347</v>
      </c>
      <c r="T39" s="48" t="s">
        <v>2735</v>
      </c>
      <c r="U39" s="389" t="s">
        <v>2393</v>
      </c>
      <c r="V39" s="389" t="s">
        <v>3063</v>
      </c>
      <c r="W39" s="48" t="s">
        <v>2296</v>
      </c>
      <c r="X39" s="48" t="s">
        <v>3109</v>
      </c>
      <c r="Z39" s="384" t="str">
        <f t="shared" si="0"/>
        <v>BI1136</v>
      </c>
      <c r="AA39" s="399">
        <f t="shared" si="1"/>
        <v>1136</v>
      </c>
    </row>
    <row r="40" spans="1:27" x14ac:dyDescent="0.25">
      <c r="A40" s="48" t="s">
        <v>60</v>
      </c>
      <c r="B40" s="50"/>
      <c r="C40" s="50" t="s">
        <v>3335</v>
      </c>
      <c r="D40" s="70"/>
      <c r="E40" s="70" t="s">
        <v>3335</v>
      </c>
      <c r="F40" s="49"/>
      <c r="G40" s="49" t="s">
        <v>3335</v>
      </c>
      <c r="H40" s="48"/>
      <c r="I40" s="48" t="e">
        <f ca="1">AI_BA(Assets!$A$24,ACQ,37)</f>
        <v>#NAME?</v>
      </c>
      <c r="J40" s="48"/>
      <c r="K40" s="48"/>
      <c r="P40" s="392" t="s">
        <v>1903</v>
      </c>
      <c r="R40" s="48">
        <v>37</v>
      </c>
      <c r="S40" s="48" t="s">
        <v>2325</v>
      </c>
      <c r="T40" s="48" t="s">
        <v>2736</v>
      </c>
      <c r="U40" s="389" t="s">
        <v>2371</v>
      </c>
      <c r="V40" s="389" t="s">
        <v>3064</v>
      </c>
      <c r="W40" s="48" t="s">
        <v>2297</v>
      </c>
      <c r="X40" s="48" t="s">
        <v>3110</v>
      </c>
      <c r="Y40" s="384">
        <v>7</v>
      </c>
      <c r="Z40" s="384" t="str">
        <f t="shared" si="0"/>
        <v>BI1137</v>
      </c>
      <c r="AA40" s="399">
        <f t="shared" si="1"/>
        <v>1137</v>
      </c>
    </row>
    <row r="41" spans="1:27" x14ac:dyDescent="0.25">
      <c r="A41" s="48" t="s">
        <v>84</v>
      </c>
      <c r="B41" s="50"/>
      <c r="C41" s="50" t="s">
        <v>3336</v>
      </c>
      <c r="D41" s="70"/>
      <c r="E41" s="70" t="s">
        <v>3336</v>
      </c>
      <c r="F41" s="49"/>
      <c r="G41" s="49" t="s">
        <v>3336</v>
      </c>
      <c r="H41" s="48"/>
      <c r="I41" s="48" t="e">
        <f ca="1">AI_BA(Assets!$A$24,ACQ,38)</f>
        <v>#NAME?</v>
      </c>
      <c r="J41" s="48"/>
      <c r="K41" s="48"/>
      <c r="R41" s="48">
        <v>38</v>
      </c>
      <c r="S41" s="48" t="s">
        <v>2348</v>
      </c>
      <c r="T41" s="48" t="s">
        <v>2737</v>
      </c>
      <c r="U41" s="389" t="s">
        <v>2394</v>
      </c>
      <c r="V41" s="389" t="s">
        <v>3065</v>
      </c>
      <c r="W41" s="48" t="s">
        <v>2298</v>
      </c>
      <c r="X41" s="48" t="s">
        <v>3111</v>
      </c>
      <c r="Z41" s="384" t="str">
        <f t="shared" si="0"/>
        <v>BI1138</v>
      </c>
      <c r="AA41" s="399">
        <f t="shared" si="1"/>
        <v>1138</v>
      </c>
    </row>
    <row r="42" spans="1:27" x14ac:dyDescent="0.25">
      <c r="A42" s="48" t="s">
        <v>61</v>
      </c>
      <c r="B42" s="50"/>
      <c r="C42" s="50" t="s">
        <v>3337</v>
      </c>
      <c r="D42" s="70"/>
      <c r="E42" s="70" t="s">
        <v>3337</v>
      </c>
      <c r="F42" s="49"/>
      <c r="G42" s="49" t="s">
        <v>3337</v>
      </c>
      <c r="H42" s="48"/>
      <c r="I42" s="48" t="e">
        <f ca="1">AI_BA(Assets!$A$24,ACQ,39)</f>
        <v>#NAME?</v>
      </c>
      <c r="J42" s="48"/>
      <c r="K42" s="48"/>
      <c r="P42" s="392" t="s">
        <v>1903</v>
      </c>
      <c r="R42" s="48">
        <v>39</v>
      </c>
      <c r="S42" s="48" t="s">
        <v>2326</v>
      </c>
      <c r="T42" s="48" t="s">
        <v>2738</v>
      </c>
      <c r="U42" s="389" t="s">
        <v>2372</v>
      </c>
      <c r="V42" s="389" t="s">
        <v>3066</v>
      </c>
      <c r="W42" s="48" t="s">
        <v>2299</v>
      </c>
      <c r="X42" s="48" t="s">
        <v>3112</v>
      </c>
      <c r="Y42" s="384">
        <v>7</v>
      </c>
      <c r="Z42" s="384" t="str">
        <f t="shared" si="0"/>
        <v>BI1139</v>
      </c>
      <c r="AA42" s="399">
        <f t="shared" si="1"/>
        <v>1139</v>
      </c>
    </row>
    <row r="43" spans="1:27" x14ac:dyDescent="0.25">
      <c r="A43" s="48" t="s">
        <v>85</v>
      </c>
      <c r="B43" s="50"/>
      <c r="C43" s="50" t="s">
        <v>3338</v>
      </c>
      <c r="D43" s="70"/>
      <c r="E43" s="70" t="s">
        <v>3338</v>
      </c>
      <c r="F43" s="49"/>
      <c r="G43" s="49" t="s">
        <v>3338</v>
      </c>
      <c r="H43" s="48"/>
      <c r="I43" s="48" t="e">
        <f ca="1">AI_BA(Assets!$A$24,ACQ,40)</f>
        <v>#NAME?</v>
      </c>
      <c r="J43" s="48"/>
      <c r="K43" s="48"/>
      <c r="R43" s="48">
        <v>40</v>
      </c>
      <c r="S43" s="48" t="s">
        <v>2349</v>
      </c>
      <c r="T43" s="48" t="s">
        <v>2739</v>
      </c>
      <c r="U43" s="389" t="s">
        <v>2395</v>
      </c>
      <c r="V43" s="389" t="s">
        <v>3067</v>
      </c>
      <c r="W43" s="48" t="s">
        <v>2300</v>
      </c>
      <c r="X43" s="48" t="s">
        <v>3113</v>
      </c>
      <c r="Z43" s="384" t="str">
        <f t="shared" si="0"/>
        <v>BI1140</v>
      </c>
      <c r="AA43" s="399">
        <f t="shared" si="1"/>
        <v>1140</v>
      </c>
    </row>
    <row r="44" spans="1:27" x14ac:dyDescent="0.25">
      <c r="A44" s="48" t="s">
        <v>62</v>
      </c>
      <c r="B44" s="50"/>
      <c r="C44" s="50" t="s">
        <v>3339</v>
      </c>
      <c r="D44" s="70"/>
      <c r="E44" s="70" t="s">
        <v>3339</v>
      </c>
      <c r="F44" s="49"/>
      <c r="G44" s="49" t="s">
        <v>3339</v>
      </c>
      <c r="H44" s="48"/>
      <c r="I44" s="48" t="e">
        <f ca="1">AI_BA(Assets!$A$24,ACQ,41)</f>
        <v>#NAME?</v>
      </c>
      <c r="J44" s="48"/>
      <c r="K44" s="48"/>
      <c r="P44" s="392" t="s">
        <v>1903</v>
      </c>
      <c r="R44" s="48">
        <v>41</v>
      </c>
      <c r="S44" s="48" t="s">
        <v>2327</v>
      </c>
      <c r="T44" s="48" t="s">
        <v>2740</v>
      </c>
      <c r="U44" s="389" t="s">
        <v>2373</v>
      </c>
      <c r="V44" s="389" t="s">
        <v>3068</v>
      </c>
      <c r="W44" s="48" t="s">
        <v>2301</v>
      </c>
      <c r="X44" s="48" t="s">
        <v>3114</v>
      </c>
      <c r="Y44" s="384">
        <v>7</v>
      </c>
      <c r="Z44" s="384" t="str">
        <f t="shared" si="0"/>
        <v>BI1141</v>
      </c>
      <c r="AA44" s="399">
        <f t="shared" si="1"/>
        <v>1141</v>
      </c>
    </row>
    <row r="45" spans="1:27" x14ac:dyDescent="0.25">
      <c r="A45" s="48" t="s">
        <v>63</v>
      </c>
      <c r="B45" s="50"/>
      <c r="C45" s="50" t="s">
        <v>3340</v>
      </c>
      <c r="D45" s="70"/>
      <c r="E45" s="70" t="s">
        <v>3340</v>
      </c>
      <c r="F45" s="49"/>
      <c r="G45" s="49" t="s">
        <v>3340</v>
      </c>
      <c r="H45" s="48"/>
      <c r="I45" s="48" t="e">
        <f ca="1">AI_BA(Assets!$A$24,ACQ,42)</f>
        <v>#NAME?</v>
      </c>
      <c r="J45" s="48"/>
      <c r="K45" s="48"/>
      <c r="P45" s="392" t="s">
        <v>1903</v>
      </c>
      <c r="R45" s="48">
        <v>42</v>
      </c>
      <c r="S45" s="48" t="s">
        <v>2328</v>
      </c>
      <c r="T45" s="48" t="s">
        <v>2741</v>
      </c>
      <c r="U45" s="389" t="s">
        <v>2374</v>
      </c>
      <c r="V45" s="389" t="s">
        <v>3069</v>
      </c>
      <c r="W45" s="48" t="s">
        <v>2302</v>
      </c>
      <c r="X45" s="48" t="s">
        <v>3115</v>
      </c>
      <c r="Y45" s="384">
        <v>7</v>
      </c>
      <c r="Z45" s="384" t="str">
        <f t="shared" si="0"/>
        <v>BI1142</v>
      </c>
      <c r="AA45" s="399">
        <f t="shared" si="1"/>
        <v>1142</v>
      </c>
    </row>
    <row r="46" spans="1:27" x14ac:dyDescent="0.25">
      <c r="A46" s="48" t="s">
        <v>86</v>
      </c>
      <c r="B46" s="50"/>
      <c r="C46" s="50" t="s">
        <v>3341</v>
      </c>
      <c r="D46" s="70"/>
      <c r="E46" s="70" t="s">
        <v>3341</v>
      </c>
      <c r="F46" s="49"/>
      <c r="G46" s="49" t="s">
        <v>3341</v>
      </c>
      <c r="H46" s="48"/>
      <c r="I46" s="48" t="e">
        <f ca="1">AI_BA(Assets!$A$24,ACQ,43)</f>
        <v>#NAME?</v>
      </c>
      <c r="J46" s="48"/>
      <c r="K46" s="48"/>
      <c r="R46" s="48">
        <v>43</v>
      </c>
      <c r="S46" s="48" t="s">
        <v>2350</v>
      </c>
      <c r="T46" s="48" t="s">
        <v>2742</v>
      </c>
      <c r="U46" s="389" t="s">
        <v>2396</v>
      </c>
      <c r="V46" s="389" t="s">
        <v>3070</v>
      </c>
      <c r="W46" s="48" t="s">
        <v>2303</v>
      </c>
      <c r="X46" s="48" t="s">
        <v>3116</v>
      </c>
      <c r="Z46" s="384" t="str">
        <f t="shared" si="0"/>
        <v>BI1143</v>
      </c>
      <c r="AA46" s="399">
        <f t="shared" si="1"/>
        <v>1143</v>
      </c>
    </row>
    <row r="47" spans="1:27" x14ac:dyDescent="0.25">
      <c r="A47" s="48" t="s">
        <v>64</v>
      </c>
      <c r="B47" s="50"/>
      <c r="C47" s="50"/>
      <c r="D47" s="70"/>
      <c r="E47" s="70"/>
      <c r="F47" s="49"/>
      <c r="G47" s="49"/>
      <c r="H47" s="48"/>
      <c r="I47" s="48"/>
      <c r="J47" s="48"/>
      <c r="K47" s="48"/>
      <c r="P47" s="392" t="s">
        <v>1903</v>
      </c>
      <c r="R47" s="48">
        <v>44</v>
      </c>
      <c r="S47" s="48" t="s">
        <v>2329</v>
      </c>
      <c r="T47" s="48" t="s">
        <v>2743</v>
      </c>
      <c r="U47" s="389" t="s">
        <v>2375</v>
      </c>
      <c r="V47" s="389" t="s">
        <v>3071</v>
      </c>
      <c r="W47" s="48" t="s">
        <v>2304</v>
      </c>
      <c r="X47" s="48" t="s">
        <v>3117</v>
      </c>
      <c r="Y47" s="384">
        <v>7</v>
      </c>
    </row>
    <row r="48" spans="1:27" x14ac:dyDescent="0.25">
      <c r="A48" s="48" t="s">
        <v>87</v>
      </c>
      <c r="B48" s="50"/>
      <c r="C48" s="50"/>
      <c r="D48" s="70"/>
      <c r="E48" s="70"/>
      <c r="F48" s="49"/>
      <c r="G48" s="49"/>
      <c r="H48" s="48"/>
      <c r="I48" s="48"/>
      <c r="J48" s="48"/>
      <c r="K48" s="48"/>
      <c r="P48" s="392" t="s">
        <v>1905</v>
      </c>
      <c r="R48" s="48">
        <v>45</v>
      </c>
      <c r="S48" s="48" t="s">
        <v>2351</v>
      </c>
      <c r="T48" s="48" t="s">
        <v>2744</v>
      </c>
      <c r="U48" s="390" t="s">
        <v>2397</v>
      </c>
      <c r="V48" s="390" t="s">
        <v>3072</v>
      </c>
      <c r="W48" s="48" t="s">
        <v>2305</v>
      </c>
      <c r="X48" s="48" t="s">
        <v>3118</v>
      </c>
      <c r="Y48" s="384">
        <v>1</v>
      </c>
    </row>
    <row r="49" spans="1:25" x14ac:dyDescent="0.25">
      <c r="A49" s="48" t="s">
        <v>65</v>
      </c>
      <c r="B49" s="50"/>
      <c r="C49" s="50"/>
      <c r="D49" s="70"/>
      <c r="E49" s="70"/>
      <c r="F49" s="49"/>
      <c r="G49" s="49"/>
      <c r="H49" s="48"/>
      <c r="I49" s="48"/>
      <c r="J49" s="48"/>
      <c r="K49" s="48"/>
      <c r="P49" s="392" t="s">
        <v>1905</v>
      </c>
      <c r="R49" s="48">
        <v>46</v>
      </c>
      <c r="S49" s="48" t="s">
        <v>2352</v>
      </c>
      <c r="T49" s="48" t="s">
        <v>2745</v>
      </c>
      <c r="U49" s="391" t="s">
        <v>2398</v>
      </c>
      <c r="V49" s="391" t="s">
        <v>3073</v>
      </c>
      <c r="W49" s="48" t="s">
        <v>2306</v>
      </c>
      <c r="X49" s="48" t="s">
        <v>3119</v>
      </c>
      <c r="Y49" s="384">
        <v>3</v>
      </c>
    </row>
  </sheetData>
  <autoFilter ref="A2:AC49" xr:uid="{00000000-0009-0000-0000-00000E000000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9CF1-435E-474B-8BCE-16EBAB4ECEA2}">
  <dimension ref="A2:AA60"/>
  <sheetViews>
    <sheetView topLeftCell="A25" zoomScale="80" zoomScaleNormal="80" workbookViewId="0">
      <selection activeCell="J35" sqref="J35"/>
    </sheetView>
  </sheetViews>
  <sheetFormatPr defaultRowHeight="15" customHeight="1" x14ac:dyDescent="0.2"/>
  <cols>
    <col min="1" max="1" width="50.7109375" style="243" customWidth="1"/>
    <col min="2" max="7" width="9.140625" style="243"/>
    <col min="8" max="9" width="11.140625" style="243" customWidth="1"/>
    <col min="10" max="16384" width="9.140625" style="243"/>
  </cols>
  <sheetData>
    <row r="2" spans="1:27" s="20" customFormat="1" ht="15" customHeight="1" x14ac:dyDescent="0.25">
      <c r="A2" s="20" t="s">
        <v>1774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J2" s="20" t="s">
        <v>1884</v>
      </c>
      <c r="K2" s="20" t="s">
        <v>1885</v>
      </c>
      <c r="L2" s="20" t="s">
        <v>1886</v>
      </c>
      <c r="M2" s="22"/>
      <c r="N2" s="26"/>
      <c r="O2" s="29"/>
      <c r="P2" s="48"/>
      <c r="Q2" s="48"/>
    </row>
    <row r="3" spans="1:27" s="101" customFormat="1" ht="15" customHeight="1" x14ac:dyDescent="0.25">
      <c r="A3" s="46" t="s">
        <v>1880</v>
      </c>
      <c r="B3" s="75"/>
      <c r="C3" s="98"/>
      <c r="D3" s="70" t="s">
        <v>171</v>
      </c>
      <c r="E3" s="99"/>
      <c r="F3" s="49" t="s">
        <v>172</v>
      </c>
      <c r="G3" s="100"/>
      <c r="J3" s="77" t="s">
        <v>1882</v>
      </c>
      <c r="K3" s="101" t="s">
        <v>1883</v>
      </c>
      <c r="L3" s="101">
        <v>120</v>
      </c>
      <c r="M3" s="98">
        <v>3</v>
      </c>
      <c r="N3" s="99">
        <v>3</v>
      </c>
      <c r="O3" s="100">
        <v>3</v>
      </c>
      <c r="P3" s="162"/>
    </row>
    <row r="4" spans="1:27" s="101" customFormat="1" ht="15" customHeight="1" x14ac:dyDescent="0.25">
      <c r="A4" s="20" t="s">
        <v>1768</v>
      </c>
      <c r="B4" s="97"/>
      <c r="C4" s="98" t="s">
        <v>3444</v>
      </c>
      <c r="D4" s="70"/>
      <c r="E4" s="99" t="s">
        <v>3444</v>
      </c>
      <c r="F4" s="49"/>
      <c r="G4" s="100" t="s">
        <v>3444</v>
      </c>
      <c r="I4" s="101" t="e">
        <f ca="1">AI_LIQ(Assets!$A$24,ACQ,ALL,1)</f>
        <v>#NAME?</v>
      </c>
      <c r="J4" s="77" t="s">
        <v>1901</v>
      </c>
      <c r="K4" s="101" t="s">
        <v>2503</v>
      </c>
      <c r="L4" s="101">
        <v>38</v>
      </c>
      <c r="M4" s="98"/>
      <c r="N4" s="99"/>
      <c r="O4" s="100"/>
      <c r="P4" s="162" t="s">
        <v>1901</v>
      </c>
      <c r="Q4" s="46">
        <v>7</v>
      </c>
      <c r="R4" s="31" t="s">
        <v>3245</v>
      </c>
      <c r="S4" s="102">
        <v>1301</v>
      </c>
      <c r="T4" s="79" t="s">
        <v>3298</v>
      </c>
      <c r="U4" s="102" t="str">
        <f>$T$4&amp;S4</f>
        <v>BI1301</v>
      </c>
      <c r="V4" s="79"/>
      <c r="W4" s="102"/>
    </row>
    <row r="5" spans="1:27" s="101" customFormat="1" ht="15" customHeight="1" x14ac:dyDescent="0.25">
      <c r="A5" s="20" t="s">
        <v>2515</v>
      </c>
      <c r="B5" s="97"/>
      <c r="C5" s="98" t="s">
        <v>3445</v>
      </c>
      <c r="D5" s="70"/>
      <c r="E5" s="99" t="s">
        <v>3445</v>
      </c>
      <c r="F5" s="49"/>
      <c r="G5" s="100" t="s">
        <v>3445</v>
      </c>
      <c r="I5" s="101" t="e">
        <f ca="1">AI_LIQ(Assets!$A$24,ACQ,ALL,6)</f>
        <v>#NAME?</v>
      </c>
      <c r="J5" s="77"/>
      <c r="M5" s="98"/>
      <c r="N5" s="99"/>
      <c r="O5" s="100"/>
      <c r="P5" s="162"/>
      <c r="Q5" s="46"/>
      <c r="R5" s="31" t="s">
        <v>3245</v>
      </c>
      <c r="S5" s="102">
        <f>S4+1</f>
        <v>1302</v>
      </c>
      <c r="T5" s="79"/>
      <c r="U5" s="102" t="str">
        <f t="shared" ref="U5:U60" si="0">$T$4&amp;S5</f>
        <v>BI1302</v>
      </c>
      <c r="V5" s="79"/>
      <c r="W5" s="102"/>
    </row>
    <row r="6" spans="1:27" s="101" customFormat="1" ht="15" customHeight="1" x14ac:dyDescent="0.25">
      <c r="A6" s="20" t="s">
        <v>3260</v>
      </c>
      <c r="B6" s="97"/>
      <c r="C6" s="98" t="s">
        <v>3446</v>
      </c>
      <c r="D6" s="70"/>
      <c r="E6" s="99" t="s">
        <v>3446</v>
      </c>
      <c r="F6" s="49"/>
      <c r="G6" s="100" t="s">
        <v>3446</v>
      </c>
      <c r="I6" s="101" t="e">
        <f ca="1">AI_IG_LIQ(Assets!A24,ACQ,EM,6)</f>
        <v>#NAME?</v>
      </c>
      <c r="J6" s="77"/>
      <c r="M6" s="98"/>
      <c r="N6" s="99"/>
      <c r="O6" s="100"/>
      <c r="P6" s="162"/>
      <c r="Q6" s="46"/>
      <c r="R6" s="31" t="s">
        <v>3246</v>
      </c>
      <c r="S6" s="102">
        <f t="shared" ref="S6:S60" si="1">S5+1</f>
        <v>1303</v>
      </c>
      <c r="T6" s="79"/>
      <c r="U6" s="102" t="str">
        <f t="shared" si="0"/>
        <v>BI1303</v>
      </c>
      <c r="V6" s="79"/>
      <c r="W6" s="102"/>
    </row>
    <row r="7" spans="1:27" s="101" customFormat="1" ht="15" customHeight="1" x14ac:dyDescent="0.25">
      <c r="A7" s="20" t="s">
        <v>3261</v>
      </c>
      <c r="B7" s="97"/>
      <c r="C7" s="98" t="s">
        <v>3447</v>
      </c>
      <c r="D7" s="70"/>
      <c r="E7" s="99" t="s">
        <v>3447</v>
      </c>
      <c r="F7" s="49"/>
      <c r="G7" s="100" t="s">
        <v>3447</v>
      </c>
      <c r="I7" s="101" t="e">
        <f ca="1">AI_HY_LIQ(Assets!$A$24,ACQ,EM,6)</f>
        <v>#NAME?</v>
      </c>
      <c r="J7" s="77"/>
      <c r="M7" s="98"/>
      <c r="N7" s="99"/>
      <c r="O7" s="100"/>
      <c r="P7" s="162"/>
      <c r="Q7" s="46"/>
      <c r="R7" s="31" t="s">
        <v>3246</v>
      </c>
      <c r="S7" s="102">
        <f t="shared" si="1"/>
        <v>1304</v>
      </c>
      <c r="T7" s="79"/>
      <c r="U7" s="102" t="str">
        <f t="shared" si="0"/>
        <v>BI1304</v>
      </c>
      <c r="V7" s="79"/>
      <c r="W7" s="102"/>
    </row>
    <row r="8" spans="1:27" s="101" customFormat="1" ht="15" customHeight="1" x14ac:dyDescent="0.25">
      <c r="A8" s="20" t="s">
        <v>3262</v>
      </c>
      <c r="B8" s="97"/>
      <c r="C8" s="98" t="s">
        <v>3470</v>
      </c>
      <c r="D8" s="70"/>
      <c r="E8" s="99" t="s">
        <v>3470</v>
      </c>
      <c r="F8" s="49"/>
      <c r="G8" s="100" t="s">
        <v>3470</v>
      </c>
      <c r="I8" s="101" t="e">
        <f ca="1">AI_SUM(A6,A7)</f>
        <v>#NAME?</v>
      </c>
      <c r="J8" s="77"/>
      <c r="M8" s="98"/>
      <c r="N8" s="99"/>
      <c r="O8" s="100"/>
      <c r="P8" s="162" t="s">
        <v>1901</v>
      </c>
      <c r="Q8" s="46">
        <v>7</v>
      </c>
      <c r="R8" s="31"/>
      <c r="S8" s="102">
        <f t="shared" si="1"/>
        <v>1305</v>
      </c>
      <c r="T8" s="79"/>
      <c r="U8" s="102" t="str">
        <f t="shared" si="0"/>
        <v>BI1305</v>
      </c>
      <c r="V8" s="79"/>
      <c r="W8" s="102"/>
    </row>
    <row r="9" spans="1:27" s="101" customFormat="1" ht="15" customHeight="1" x14ac:dyDescent="0.25">
      <c r="A9" s="20" t="s">
        <v>2523</v>
      </c>
      <c r="B9" s="97"/>
      <c r="C9" s="98" t="s">
        <v>3480</v>
      </c>
      <c r="D9" s="70"/>
      <c r="E9" s="99" t="s">
        <v>3480</v>
      </c>
      <c r="F9" s="49"/>
      <c r="G9" s="100" t="s">
        <v>3480</v>
      </c>
      <c r="I9" s="101" t="e">
        <f ca="1">AI_DIFF(A5,A8)</f>
        <v>#NAME?</v>
      </c>
      <c r="J9" s="96"/>
      <c r="M9" s="98"/>
      <c r="N9" s="99"/>
      <c r="O9" s="100"/>
      <c r="P9" s="162" t="s">
        <v>1901</v>
      </c>
      <c r="Q9" s="20">
        <v>7</v>
      </c>
      <c r="R9" s="30" t="s">
        <v>3245</v>
      </c>
      <c r="S9" s="102">
        <f t="shared" si="1"/>
        <v>1306</v>
      </c>
      <c r="T9" s="79"/>
      <c r="U9" s="102" t="str">
        <f t="shared" si="0"/>
        <v>BI1306</v>
      </c>
      <c r="V9" s="79"/>
      <c r="W9" s="102"/>
    </row>
    <row r="10" spans="1:27" s="101" customFormat="1" ht="15" customHeight="1" x14ac:dyDescent="0.25">
      <c r="A10" s="20" t="s">
        <v>3263</v>
      </c>
      <c r="B10" s="97"/>
      <c r="C10" s="98" t="s">
        <v>3448</v>
      </c>
      <c r="D10" s="70"/>
      <c r="E10" s="99" t="s">
        <v>3448</v>
      </c>
      <c r="F10" s="49"/>
      <c r="G10" s="100" t="s">
        <v>3448</v>
      </c>
      <c r="I10" s="101" t="e">
        <f ca="1">AI_IG_LIQ(Assets!$A$24,ACQ,US,32)</f>
        <v>#NAME?</v>
      </c>
      <c r="J10" s="96"/>
      <c r="M10" s="98"/>
      <c r="N10" s="99"/>
      <c r="O10" s="100"/>
      <c r="P10" s="162" t="s">
        <v>1901</v>
      </c>
      <c r="Q10" s="20">
        <v>5</v>
      </c>
      <c r="R10" s="30"/>
      <c r="S10" s="102">
        <f t="shared" si="1"/>
        <v>1307</v>
      </c>
      <c r="T10" s="79"/>
      <c r="U10" s="102" t="str">
        <f t="shared" si="0"/>
        <v>BI1307</v>
      </c>
      <c r="V10" s="79"/>
      <c r="W10" s="102"/>
    </row>
    <row r="11" spans="1:27" s="101" customFormat="1" ht="15" customHeight="1" x14ac:dyDescent="0.25">
      <c r="A11" s="20" t="s">
        <v>3264</v>
      </c>
      <c r="B11" s="97"/>
      <c r="C11" s="98" t="s">
        <v>3449</v>
      </c>
      <c r="D11" s="70"/>
      <c r="E11" s="99" t="s">
        <v>3449</v>
      </c>
      <c r="F11" s="49"/>
      <c r="G11" s="100" t="s">
        <v>3449</v>
      </c>
      <c r="I11" s="101" t="e">
        <f ca="1">AI_HY_LIQ(Assets!$A$24,ACQ,US,32)</f>
        <v>#NAME?</v>
      </c>
      <c r="J11" s="96"/>
      <c r="M11" s="98"/>
      <c r="N11" s="99"/>
      <c r="O11" s="100"/>
      <c r="P11" s="162" t="s">
        <v>1901</v>
      </c>
      <c r="Q11" s="20">
        <v>7</v>
      </c>
      <c r="R11" s="30"/>
      <c r="S11" s="102">
        <f t="shared" si="1"/>
        <v>1308</v>
      </c>
      <c r="T11" s="79"/>
      <c r="U11" s="102" t="str">
        <f t="shared" si="0"/>
        <v>BI1308</v>
      </c>
      <c r="V11" s="79"/>
      <c r="W11" s="102"/>
    </row>
    <row r="12" spans="1:27" s="101" customFormat="1" ht="15" customHeight="1" x14ac:dyDescent="0.25">
      <c r="A12" s="20" t="s">
        <v>3265</v>
      </c>
      <c r="B12" s="97"/>
      <c r="C12" s="98" t="s">
        <v>3471</v>
      </c>
      <c r="D12" s="70"/>
      <c r="E12" s="99" t="s">
        <v>3471</v>
      </c>
      <c r="F12" s="49"/>
      <c r="G12" s="100" t="s">
        <v>3471</v>
      </c>
      <c r="I12" s="101" t="e">
        <f ca="1">AI_SUM(A10,A11)</f>
        <v>#NAME?</v>
      </c>
      <c r="J12" s="96"/>
      <c r="M12" s="98"/>
      <c r="N12" s="99"/>
      <c r="O12" s="100"/>
      <c r="P12" s="162" t="s">
        <v>1901</v>
      </c>
      <c r="Q12" s="20">
        <v>7</v>
      </c>
      <c r="R12" s="30"/>
      <c r="S12" s="102">
        <f t="shared" si="1"/>
        <v>1309</v>
      </c>
      <c r="T12" s="79"/>
      <c r="U12" s="102" t="str">
        <f t="shared" si="0"/>
        <v>BI1309</v>
      </c>
      <c r="V12" s="79"/>
      <c r="W12" s="102"/>
    </row>
    <row r="13" spans="1:27" s="101" customFormat="1" ht="15" customHeight="1" x14ac:dyDescent="0.25">
      <c r="A13" s="20" t="s">
        <v>3266</v>
      </c>
      <c r="B13" s="97"/>
      <c r="C13" s="98" t="s">
        <v>3450</v>
      </c>
      <c r="D13" s="70"/>
      <c r="E13" s="99" t="s">
        <v>3450</v>
      </c>
      <c r="F13" s="49"/>
      <c r="G13" s="100" t="s">
        <v>3450</v>
      </c>
      <c r="I13" s="101" t="e">
        <f ca="1">AI_IG_LIQ(Assets!$A$24,ACQ,OTHER,32)</f>
        <v>#NAME?</v>
      </c>
      <c r="J13" s="96"/>
      <c r="M13" s="98"/>
      <c r="N13" s="99"/>
      <c r="O13" s="100"/>
      <c r="P13" s="162" t="s">
        <v>1901</v>
      </c>
      <c r="Q13" s="20">
        <v>5</v>
      </c>
      <c r="R13" s="30"/>
      <c r="S13" s="102">
        <f t="shared" si="1"/>
        <v>1310</v>
      </c>
      <c r="T13" s="79"/>
      <c r="U13" s="102" t="str">
        <f t="shared" si="0"/>
        <v>BI1310</v>
      </c>
      <c r="V13" s="79"/>
      <c r="W13" s="102"/>
    </row>
    <row r="14" spans="1:27" s="101" customFormat="1" ht="15" customHeight="1" x14ac:dyDescent="0.25">
      <c r="A14" s="20" t="s">
        <v>3267</v>
      </c>
      <c r="B14" s="97"/>
      <c r="C14" s="98" t="s">
        <v>3451</v>
      </c>
      <c r="D14" s="70"/>
      <c r="E14" s="99" t="s">
        <v>3451</v>
      </c>
      <c r="F14" s="49"/>
      <c r="G14" s="100" t="s">
        <v>3451</v>
      </c>
      <c r="I14" s="101" t="e">
        <f ca="1">AI_HY_LIQ(Assets!$A$24,ACQ,OTHER,32)</f>
        <v>#NAME?</v>
      </c>
      <c r="J14" s="96"/>
      <c r="M14" s="98"/>
      <c r="N14" s="99"/>
      <c r="O14" s="100"/>
      <c r="P14" s="162" t="s">
        <v>1901</v>
      </c>
      <c r="Q14" s="20">
        <v>5</v>
      </c>
      <c r="R14" s="30"/>
      <c r="S14" s="102">
        <f t="shared" si="1"/>
        <v>1311</v>
      </c>
      <c r="T14" s="79"/>
      <c r="U14" s="102" t="str">
        <f t="shared" si="0"/>
        <v>BI1311</v>
      </c>
      <c r="V14" s="79"/>
      <c r="W14" s="102"/>
    </row>
    <row r="15" spans="1:27" s="101" customFormat="1" ht="15" customHeight="1" x14ac:dyDescent="0.25">
      <c r="A15" s="20" t="s">
        <v>3268</v>
      </c>
      <c r="B15" s="97"/>
      <c r="C15" s="98" t="s">
        <v>3472</v>
      </c>
      <c r="D15" s="70"/>
      <c r="E15" s="99" t="s">
        <v>3472</v>
      </c>
      <c r="F15" s="49"/>
      <c r="G15" s="100" t="s">
        <v>3472</v>
      </c>
      <c r="I15" s="101" t="e">
        <f ca="1">AI_SUM(A13,A14)</f>
        <v>#NAME?</v>
      </c>
      <c r="J15" s="96"/>
      <c r="M15" s="98"/>
      <c r="N15" s="99"/>
      <c r="O15" s="100"/>
      <c r="P15" s="162" t="s">
        <v>1901</v>
      </c>
      <c r="Q15" s="20">
        <v>7</v>
      </c>
      <c r="R15" s="30"/>
      <c r="S15" s="102">
        <f t="shared" si="1"/>
        <v>1312</v>
      </c>
      <c r="T15" s="79"/>
      <c r="U15" s="102" t="str">
        <f t="shared" si="0"/>
        <v>BI1312</v>
      </c>
      <c r="V15" s="79"/>
      <c r="W15" s="102"/>
    </row>
    <row r="16" spans="1:27" s="101" customFormat="1" ht="15" customHeight="1" x14ac:dyDescent="0.25">
      <c r="A16" s="20" t="s">
        <v>3269</v>
      </c>
      <c r="B16" s="97"/>
      <c r="C16" s="98" t="s">
        <v>3452</v>
      </c>
      <c r="D16" s="70"/>
      <c r="E16" s="99" t="s">
        <v>3452</v>
      </c>
      <c r="F16" s="49"/>
      <c r="G16" s="100" t="s">
        <v>3452</v>
      </c>
      <c r="I16" s="101" t="e">
        <f ca="1">AI_IG_LIQ(Assets!$A$24,ACQ,EM,32)</f>
        <v>#NAME?</v>
      </c>
      <c r="J16" s="96"/>
      <c r="M16" s="98"/>
      <c r="N16" s="99"/>
      <c r="O16" s="100"/>
      <c r="P16" s="162" t="s">
        <v>1901</v>
      </c>
      <c r="Q16" s="20">
        <v>5</v>
      </c>
      <c r="R16" s="30"/>
      <c r="S16" s="102">
        <f t="shared" si="1"/>
        <v>1313</v>
      </c>
      <c r="T16" s="30"/>
      <c r="U16" s="102" t="str">
        <f t="shared" si="0"/>
        <v>BI1313</v>
      </c>
      <c r="V16" s="79"/>
      <c r="W16" s="102"/>
      <c r="X16" s="79"/>
      <c r="Y16" s="102"/>
      <c r="Z16" s="102"/>
      <c r="AA16" s="102"/>
    </row>
    <row r="17" spans="1:27" s="101" customFormat="1" ht="15" customHeight="1" x14ac:dyDescent="0.25">
      <c r="A17" s="20" t="s">
        <v>3270</v>
      </c>
      <c r="B17" s="97"/>
      <c r="C17" s="98" t="s">
        <v>3453</v>
      </c>
      <c r="D17" s="70"/>
      <c r="E17" s="99" t="s">
        <v>3453</v>
      </c>
      <c r="F17" s="49"/>
      <c r="G17" s="100" t="s">
        <v>3453</v>
      </c>
      <c r="I17" s="101" t="e">
        <f ca="1">AI_HY_LIQ(Assets!$A$24,ACQ,EM,32)</f>
        <v>#NAME?</v>
      </c>
      <c r="J17" s="96"/>
      <c r="M17" s="98"/>
      <c r="N17" s="99"/>
      <c r="O17" s="100"/>
      <c r="P17" s="162" t="s">
        <v>1901</v>
      </c>
      <c r="Q17" s="20">
        <v>5</v>
      </c>
      <c r="R17" s="30"/>
      <c r="S17" s="102">
        <f t="shared" si="1"/>
        <v>1314</v>
      </c>
      <c r="T17" s="30"/>
      <c r="U17" s="102" t="str">
        <f t="shared" si="0"/>
        <v>BI1314</v>
      </c>
      <c r="V17" s="79"/>
      <c r="W17" s="102"/>
      <c r="X17" s="79"/>
      <c r="Y17" s="102"/>
      <c r="Z17" s="102"/>
      <c r="AA17" s="102"/>
    </row>
    <row r="18" spans="1:27" s="101" customFormat="1" ht="15" customHeight="1" x14ac:dyDescent="0.25">
      <c r="A18" s="20" t="s">
        <v>3271</v>
      </c>
      <c r="B18" s="97"/>
      <c r="C18" s="98" t="s">
        <v>3473</v>
      </c>
      <c r="D18" s="70"/>
      <c r="E18" s="99" t="s">
        <v>3473</v>
      </c>
      <c r="F18" s="49"/>
      <c r="G18" s="100" t="s">
        <v>3473</v>
      </c>
      <c r="I18" s="101" t="e">
        <f ca="1">AI_SUM(A16,A17)</f>
        <v>#NAME?</v>
      </c>
      <c r="J18" s="96"/>
      <c r="M18" s="98"/>
      <c r="N18" s="99"/>
      <c r="O18" s="100"/>
      <c r="P18" s="162" t="s">
        <v>1901</v>
      </c>
      <c r="Q18" s="20">
        <v>7</v>
      </c>
      <c r="R18" s="30"/>
      <c r="S18" s="102">
        <f t="shared" si="1"/>
        <v>1315</v>
      </c>
      <c r="T18" s="30"/>
      <c r="U18" s="102" t="str">
        <f t="shared" si="0"/>
        <v>BI1315</v>
      </c>
      <c r="V18" s="79"/>
      <c r="W18" s="102"/>
      <c r="X18" s="79"/>
      <c r="Y18" s="102"/>
      <c r="Z18" s="102"/>
      <c r="AA18" s="102"/>
    </row>
    <row r="19" spans="1:27" s="101" customFormat="1" ht="15" customHeight="1" x14ac:dyDescent="0.25">
      <c r="A19" s="20" t="s">
        <v>1803</v>
      </c>
      <c r="B19" s="97"/>
      <c r="C19" s="98"/>
      <c r="D19" s="70"/>
      <c r="E19" s="99"/>
      <c r="F19" s="49"/>
      <c r="G19" s="100"/>
      <c r="J19" s="96"/>
      <c r="M19" s="98"/>
      <c r="N19" s="99"/>
      <c r="O19" s="100"/>
      <c r="P19" s="162" t="s">
        <v>1901</v>
      </c>
      <c r="Q19" s="20">
        <v>4</v>
      </c>
      <c r="R19" s="30"/>
      <c r="S19" s="102">
        <f t="shared" si="1"/>
        <v>1316</v>
      </c>
      <c r="T19" s="79"/>
      <c r="U19" s="102" t="str">
        <f t="shared" si="0"/>
        <v>BI1316</v>
      </c>
      <c r="V19" s="79"/>
      <c r="W19" s="102"/>
    </row>
    <row r="20" spans="1:27" ht="15" customHeight="1" x14ac:dyDescent="0.2">
      <c r="A20" s="101" t="s">
        <v>3283</v>
      </c>
      <c r="B20" s="98"/>
      <c r="C20" s="98" t="s">
        <v>3454</v>
      </c>
      <c r="D20" s="99"/>
      <c r="E20" s="99" t="s">
        <v>3454</v>
      </c>
      <c r="F20" s="100"/>
      <c r="G20" s="100" t="s">
        <v>3454</v>
      </c>
      <c r="H20" s="101"/>
      <c r="I20" s="101" t="e">
        <f ca="1">AI_LIQ(Assets!$A$24,ACQ,ALL,32)</f>
        <v>#NAME?</v>
      </c>
      <c r="J20" s="101"/>
      <c r="K20" s="101"/>
      <c r="L20" s="101"/>
      <c r="M20" s="98"/>
      <c r="N20" s="99"/>
      <c r="O20" s="100"/>
      <c r="P20" s="162" t="s">
        <v>1901</v>
      </c>
      <c r="Q20" s="243">
        <v>1</v>
      </c>
      <c r="S20" s="102">
        <f t="shared" si="1"/>
        <v>1317</v>
      </c>
      <c r="U20" s="102" t="str">
        <f t="shared" si="0"/>
        <v>BI1317</v>
      </c>
    </row>
    <row r="21" spans="1:27" s="101" customFormat="1" ht="15" customHeight="1" x14ac:dyDescent="0.25">
      <c r="A21" s="20" t="s">
        <v>3272</v>
      </c>
      <c r="B21" s="97"/>
      <c r="C21" s="98" t="s">
        <v>3455</v>
      </c>
      <c r="D21" s="70"/>
      <c r="E21" s="99" t="s">
        <v>3455</v>
      </c>
      <c r="F21" s="49"/>
      <c r="G21" s="100" t="s">
        <v>3455</v>
      </c>
      <c r="I21" s="101" t="e">
        <f ca="1">AI_IG_LIQ(Assets!$A$24,ACQ,ALL,11,18,25)</f>
        <v>#NAME?</v>
      </c>
      <c r="J21" s="96"/>
      <c r="M21" s="98"/>
      <c r="N21" s="99"/>
      <c r="O21" s="100"/>
      <c r="P21" s="162" t="s">
        <v>1901</v>
      </c>
      <c r="Q21" s="20">
        <v>5</v>
      </c>
      <c r="R21" s="30"/>
      <c r="S21" s="102">
        <f t="shared" si="1"/>
        <v>1318</v>
      </c>
      <c r="T21" s="79"/>
      <c r="U21" s="102" t="str">
        <f t="shared" si="0"/>
        <v>BI1318</v>
      </c>
      <c r="V21" s="79"/>
      <c r="W21" s="102"/>
    </row>
    <row r="22" spans="1:27" s="101" customFormat="1" ht="15" customHeight="1" x14ac:dyDescent="0.25">
      <c r="A22" s="20" t="s">
        <v>3273</v>
      </c>
      <c r="B22" s="97"/>
      <c r="C22" s="98" t="s">
        <v>3456</v>
      </c>
      <c r="D22" s="70"/>
      <c r="E22" s="99" t="s">
        <v>3456</v>
      </c>
      <c r="F22" s="49"/>
      <c r="G22" s="100" t="s">
        <v>3456</v>
      </c>
      <c r="I22" s="101" t="e">
        <f ca="1">AI_HY_LIQ(Assets!$A$24,ACQ,ALL,11,18,25)</f>
        <v>#NAME?</v>
      </c>
      <c r="M22" s="98"/>
      <c r="N22" s="99"/>
      <c r="O22" s="100"/>
      <c r="P22" s="162" t="s">
        <v>1901</v>
      </c>
      <c r="Q22" s="20">
        <v>5</v>
      </c>
      <c r="R22" s="30"/>
      <c r="S22" s="102">
        <f t="shared" si="1"/>
        <v>1319</v>
      </c>
      <c r="T22" s="79"/>
      <c r="U22" s="102" t="str">
        <f t="shared" si="0"/>
        <v>BI1319</v>
      </c>
      <c r="V22" s="79"/>
      <c r="W22" s="102"/>
    </row>
    <row r="23" spans="1:27" s="101" customFormat="1" ht="15" customHeight="1" x14ac:dyDescent="0.25">
      <c r="A23" s="20" t="s">
        <v>1787</v>
      </c>
      <c r="B23" s="97"/>
      <c r="C23" s="98" t="s">
        <v>3474</v>
      </c>
      <c r="D23" s="70"/>
      <c r="E23" s="99" t="s">
        <v>3474</v>
      </c>
      <c r="F23" s="49"/>
      <c r="G23" s="100" t="s">
        <v>3474</v>
      </c>
      <c r="I23" s="101" t="e">
        <f ca="1">AI_SUM(A21,A22)</f>
        <v>#NAME?</v>
      </c>
      <c r="J23" s="96"/>
      <c r="M23" s="98"/>
      <c r="N23" s="99"/>
      <c r="O23" s="100"/>
      <c r="P23" s="162" t="s">
        <v>1901</v>
      </c>
      <c r="Q23" s="20">
        <v>7</v>
      </c>
      <c r="R23" s="30"/>
      <c r="S23" s="102">
        <f t="shared" si="1"/>
        <v>1320</v>
      </c>
      <c r="T23" s="79"/>
      <c r="U23" s="102" t="str">
        <f t="shared" si="0"/>
        <v>BI1320</v>
      </c>
      <c r="V23" s="79"/>
      <c r="W23" s="102"/>
    </row>
    <row r="24" spans="1:27" s="101" customFormat="1" ht="15" customHeight="1" x14ac:dyDescent="0.25">
      <c r="A24" s="20" t="s">
        <v>3274</v>
      </c>
      <c r="B24" s="97"/>
      <c r="C24" s="98" t="s">
        <v>3457</v>
      </c>
      <c r="D24" s="70"/>
      <c r="E24" s="99" t="s">
        <v>3457</v>
      </c>
      <c r="F24" s="49"/>
      <c r="G24" s="100" t="s">
        <v>3457</v>
      </c>
      <c r="I24" s="101" t="e">
        <f ca="1">AI_IG_LIQ(Assets!$A$24,ACQ,ALL,2,3,7,8,12,13,19,20,26,27,33,34,43,44)</f>
        <v>#NAME?</v>
      </c>
      <c r="J24" s="96"/>
      <c r="M24" s="98"/>
      <c r="N24" s="99"/>
      <c r="O24" s="100"/>
      <c r="P24" s="162" t="s">
        <v>1901</v>
      </c>
      <c r="Q24" s="20">
        <v>5</v>
      </c>
      <c r="R24" s="30"/>
      <c r="S24" s="102">
        <f t="shared" si="1"/>
        <v>1321</v>
      </c>
      <c r="T24" s="79"/>
      <c r="U24" s="102" t="str">
        <f t="shared" si="0"/>
        <v>BI1321</v>
      </c>
      <c r="V24" s="79"/>
      <c r="W24" s="102"/>
    </row>
    <row r="25" spans="1:27" s="101" customFormat="1" ht="12.75" x14ac:dyDescent="0.25">
      <c r="A25" s="20" t="s">
        <v>3275</v>
      </c>
      <c r="B25" s="97"/>
      <c r="C25" s="98" t="s">
        <v>3458</v>
      </c>
      <c r="D25" s="70"/>
      <c r="E25" s="99" t="s">
        <v>3458</v>
      </c>
      <c r="F25" s="49"/>
      <c r="G25" s="100" t="s">
        <v>3458</v>
      </c>
      <c r="I25" s="101" t="e">
        <f ca="1">AI_HY_LIQ(Assets!$A$24,ACQ,ALL,2,3,7,8,12,13,19,20,26,27,33,34,43,44)</f>
        <v>#NAME?</v>
      </c>
      <c r="J25" s="96"/>
      <c r="M25" s="98"/>
      <c r="N25" s="99"/>
      <c r="O25" s="100"/>
      <c r="P25" s="162" t="s">
        <v>1901</v>
      </c>
      <c r="Q25" s="20">
        <v>5</v>
      </c>
      <c r="R25" s="30"/>
      <c r="S25" s="102">
        <f t="shared" si="1"/>
        <v>1322</v>
      </c>
      <c r="T25" s="79"/>
      <c r="U25" s="102" t="str">
        <f t="shared" si="0"/>
        <v>BI1322</v>
      </c>
      <c r="V25" s="79"/>
      <c r="W25" s="102"/>
    </row>
    <row r="26" spans="1:27" s="395" customFormat="1" ht="12.75" x14ac:dyDescent="0.25">
      <c r="A26" s="393" t="s">
        <v>1791</v>
      </c>
      <c r="B26" s="394"/>
      <c r="D26" s="396"/>
      <c r="F26" s="396"/>
      <c r="P26" s="395" t="s">
        <v>1901</v>
      </c>
      <c r="Q26" s="393">
        <v>6</v>
      </c>
      <c r="R26" s="393"/>
      <c r="S26" s="102">
        <f t="shared" si="1"/>
        <v>1323</v>
      </c>
      <c r="T26" s="396"/>
      <c r="U26" s="102" t="str">
        <f t="shared" si="0"/>
        <v>BI1323</v>
      </c>
      <c r="V26" s="396"/>
    </row>
    <row r="27" spans="1:27" s="101" customFormat="1" ht="15" customHeight="1" x14ac:dyDescent="0.25">
      <c r="A27" s="20" t="s">
        <v>3276</v>
      </c>
      <c r="B27" s="97"/>
      <c r="C27" s="98" t="s">
        <v>3475</v>
      </c>
      <c r="D27" s="70"/>
      <c r="E27" s="99" t="s">
        <v>3475</v>
      </c>
      <c r="F27" s="49"/>
      <c r="G27" s="100" t="s">
        <v>3475</v>
      </c>
      <c r="I27" s="101" t="e">
        <f ca="1">AI_SUM(A24,A25)</f>
        <v>#NAME?</v>
      </c>
      <c r="M27" s="98"/>
      <c r="N27" s="99"/>
      <c r="O27" s="100"/>
      <c r="P27" s="162"/>
      <c r="Q27" s="20">
        <v>1</v>
      </c>
      <c r="R27" s="30"/>
      <c r="S27" s="102">
        <f t="shared" si="1"/>
        <v>1324</v>
      </c>
      <c r="T27" s="79"/>
      <c r="U27" s="102" t="str">
        <f t="shared" si="0"/>
        <v>BI1324</v>
      </c>
      <c r="V27" s="79"/>
      <c r="W27" s="102"/>
    </row>
    <row r="28" spans="1:27" s="101" customFormat="1" ht="15" customHeight="1" x14ac:dyDescent="0.25">
      <c r="A28" s="20" t="s">
        <v>3277</v>
      </c>
      <c r="B28" s="97"/>
      <c r="C28" s="98" t="s">
        <v>3459</v>
      </c>
      <c r="D28" s="70"/>
      <c r="E28" s="99" t="s">
        <v>3459</v>
      </c>
      <c r="F28" s="49"/>
      <c r="G28" s="100" t="s">
        <v>3459</v>
      </c>
      <c r="I28" s="101" t="e">
        <f ca="1">AI_IG_LIQ(Assets!$A$24,ACQ,ALL,4,9,14,21,28,35,45)</f>
        <v>#NAME?</v>
      </c>
      <c r="J28" s="96"/>
      <c r="M28" s="98"/>
      <c r="N28" s="99"/>
      <c r="O28" s="100"/>
      <c r="P28" s="162" t="s">
        <v>1901</v>
      </c>
      <c r="Q28" s="20">
        <v>5</v>
      </c>
      <c r="R28" s="30"/>
      <c r="S28" s="102">
        <f t="shared" si="1"/>
        <v>1325</v>
      </c>
      <c r="T28" s="79"/>
      <c r="U28" s="102" t="str">
        <f t="shared" si="0"/>
        <v>BI1325</v>
      </c>
      <c r="V28" s="79"/>
      <c r="W28" s="102"/>
    </row>
    <row r="29" spans="1:27" s="101" customFormat="1" ht="15" customHeight="1" x14ac:dyDescent="0.25">
      <c r="A29" s="20" t="s">
        <v>3278</v>
      </c>
      <c r="B29" s="97"/>
      <c r="C29" s="98" t="s">
        <v>3460</v>
      </c>
      <c r="D29" s="70"/>
      <c r="E29" s="99" t="s">
        <v>3460</v>
      </c>
      <c r="F29" s="49"/>
      <c r="G29" s="100" t="s">
        <v>3460</v>
      </c>
      <c r="I29" s="101" t="e">
        <f ca="1">AI_HY_LIQ(Assets!$A$24,ACQ,ALL,4,9,14,21,28,35,45)</f>
        <v>#NAME?</v>
      </c>
      <c r="J29" s="96"/>
      <c r="M29" s="98"/>
      <c r="N29" s="99"/>
      <c r="O29" s="100"/>
      <c r="P29" s="162" t="s">
        <v>1901</v>
      </c>
      <c r="Q29" s="20">
        <v>5</v>
      </c>
      <c r="R29" s="30"/>
      <c r="S29" s="102">
        <f t="shared" si="1"/>
        <v>1326</v>
      </c>
      <c r="T29" s="79"/>
      <c r="U29" s="102" t="str">
        <f t="shared" si="0"/>
        <v>BI1326</v>
      </c>
      <c r="V29" s="79"/>
      <c r="W29" s="102"/>
    </row>
    <row r="30" spans="1:27" s="395" customFormat="1" ht="15" customHeight="1" x14ac:dyDescent="0.25">
      <c r="A30" s="393" t="s">
        <v>1793</v>
      </c>
      <c r="B30" s="394"/>
      <c r="D30" s="396"/>
      <c r="F30" s="396"/>
      <c r="P30" s="395" t="s">
        <v>1901</v>
      </c>
      <c r="Q30" s="393">
        <v>6</v>
      </c>
      <c r="R30" s="393"/>
      <c r="S30" s="102">
        <f t="shared" si="1"/>
        <v>1327</v>
      </c>
      <c r="T30" s="396"/>
      <c r="U30" s="102" t="str">
        <f t="shared" si="0"/>
        <v>BI1327</v>
      </c>
      <c r="V30" s="396"/>
    </row>
    <row r="31" spans="1:27" s="101" customFormat="1" ht="15" customHeight="1" x14ac:dyDescent="0.25">
      <c r="A31" s="20" t="s">
        <v>3279</v>
      </c>
      <c r="B31" s="97"/>
      <c r="C31" s="98" t="s">
        <v>3476</v>
      </c>
      <c r="D31" s="70"/>
      <c r="E31" s="99" t="s">
        <v>3476</v>
      </c>
      <c r="F31" s="49"/>
      <c r="G31" s="100" t="s">
        <v>3476</v>
      </c>
      <c r="I31" s="101" t="e">
        <f ca="1">AI_SUM(A28,A29)</f>
        <v>#NAME?</v>
      </c>
      <c r="M31" s="98"/>
      <c r="N31" s="99"/>
      <c r="O31" s="100"/>
      <c r="P31" s="162"/>
      <c r="Q31" s="20">
        <v>1</v>
      </c>
      <c r="R31" s="30"/>
      <c r="S31" s="102">
        <f t="shared" si="1"/>
        <v>1328</v>
      </c>
      <c r="T31" s="79"/>
      <c r="U31" s="102" t="str">
        <f t="shared" si="0"/>
        <v>BI1328</v>
      </c>
      <c r="V31" s="79"/>
      <c r="W31" s="102"/>
    </row>
    <row r="32" spans="1:27" s="101" customFormat="1" ht="15" customHeight="1" x14ac:dyDescent="0.25">
      <c r="A32" s="20" t="s">
        <v>3280</v>
      </c>
      <c r="B32" s="97"/>
      <c r="C32" s="98" t="s">
        <v>3461</v>
      </c>
      <c r="D32" s="70"/>
      <c r="E32" s="99" t="s">
        <v>3461</v>
      </c>
      <c r="F32" s="49"/>
      <c r="G32" s="100" t="s">
        <v>3461</v>
      </c>
      <c r="I32" s="101" t="e">
        <f ca="1">AI_IG_LIQ(Assets!$A$24,ACQ,ALL,42)</f>
        <v>#NAME?</v>
      </c>
      <c r="J32" s="96"/>
      <c r="M32" s="98"/>
      <c r="N32" s="99"/>
      <c r="O32" s="100"/>
      <c r="P32" s="162" t="s">
        <v>1901</v>
      </c>
      <c r="Q32" s="20">
        <v>5</v>
      </c>
      <c r="R32" s="30"/>
      <c r="S32" s="102">
        <f t="shared" si="1"/>
        <v>1329</v>
      </c>
      <c r="T32" s="79"/>
      <c r="U32" s="102" t="str">
        <f t="shared" si="0"/>
        <v>BI1329</v>
      </c>
      <c r="V32" s="79"/>
      <c r="W32" s="102"/>
    </row>
    <row r="33" spans="1:23" s="101" customFormat="1" ht="15" customHeight="1" x14ac:dyDescent="0.25">
      <c r="A33" s="20" t="s">
        <v>3281</v>
      </c>
      <c r="B33" s="97"/>
      <c r="C33" s="98" t="s">
        <v>3462</v>
      </c>
      <c r="D33" s="70"/>
      <c r="E33" s="99" t="s">
        <v>3462</v>
      </c>
      <c r="F33" s="49"/>
      <c r="G33" s="100" t="s">
        <v>3462</v>
      </c>
      <c r="I33" s="101" t="e">
        <f ca="1">AI_HY_LIQ(Assets!$A$24,ACQ,ALL,42)</f>
        <v>#NAME?</v>
      </c>
      <c r="J33" s="96"/>
      <c r="M33" s="98"/>
      <c r="N33" s="99"/>
      <c r="O33" s="100"/>
      <c r="P33" s="162" t="s">
        <v>1901</v>
      </c>
      <c r="Q33" s="20">
        <v>5</v>
      </c>
      <c r="R33" s="30"/>
      <c r="S33" s="102">
        <f t="shared" si="1"/>
        <v>1330</v>
      </c>
      <c r="T33" s="79"/>
      <c r="U33" s="102" t="str">
        <f t="shared" si="0"/>
        <v>BI1330</v>
      </c>
      <c r="V33" s="79"/>
      <c r="W33" s="102"/>
    </row>
    <row r="34" spans="1:23" s="101" customFormat="1" ht="15" customHeight="1" x14ac:dyDescent="0.25">
      <c r="A34" s="20" t="s">
        <v>1796</v>
      </c>
      <c r="B34" s="97"/>
      <c r="C34" s="98" t="s">
        <v>3477</v>
      </c>
      <c r="D34" s="70"/>
      <c r="E34" s="99" t="s">
        <v>3477</v>
      </c>
      <c r="F34" s="49"/>
      <c r="G34" s="100" t="s">
        <v>3477</v>
      </c>
      <c r="I34" s="101" t="e">
        <f ca="1">AI_SUM(A32,A33)</f>
        <v>#NAME?</v>
      </c>
      <c r="J34" s="96"/>
      <c r="M34" s="98"/>
      <c r="N34" s="99"/>
      <c r="O34" s="100"/>
      <c r="P34" s="162" t="s">
        <v>1901</v>
      </c>
      <c r="Q34" s="20">
        <v>7</v>
      </c>
      <c r="R34" s="30"/>
      <c r="S34" s="102">
        <f t="shared" si="1"/>
        <v>1331</v>
      </c>
      <c r="T34" s="79"/>
      <c r="U34" s="102" t="str">
        <f t="shared" si="0"/>
        <v>BI1331</v>
      </c>
      <c r="V34" s="79"/>
      <c r="W34" s="102"/>
    </row>
    <row r="35" spans="1:23" s="101" customFormat="1" ht="15" customHeight="1" x14ac:dyDescent="0.25">
      <c r="A35" s="48" t="s">
        <v>2825</v>
      </c>
      <c r="B35" s="50"/>
      <c r="C35" s="50" t="s">
        <v>3463</v>
      </c>
      <c r="D35" s="322"/>
      <c r="E35" s="322" t="s">
        <v>3463</v>
      </c>
      <c r="F35" s="49"/>
      <c r="G35" s="49" t="s">
        <v>3463</v>
      </c>
      <c r="H35" s="48"/>
      <c r="I35" s="101" t="e">
        <f ca="1">AI_LIQ(Assets!$A$24,ACQ,ALL,58)</f>
        <v>#NAME?</v>
      </c>
      <c r="J35" s="48"/>
      <c r="K35" s="48"/>
      <c r="L35" s="48"/>
      <c r="M35" s="50"/>
      <c r="N35" s="70"/>
      <c r="O35" s="49"/>
      <c r="P35" s="245"/>
      <c r="Q35" s="101">
        <v>5</v>
      </c>
      <c r="S35" s="102">
        <f t="shared" si="1"/>
        <v>1332</v>
      </c>
      <c r="U35" s="102" t="str">
        <f t="shared" si="0"/>
        <v>BI1332</v>
      </c>
    </row>
    <row r="36" spans="1:23" s="101" customFormat="1" ht="15" customHeight="1" x14ac:dyDescent="0.25">
      <c r="A36" s="48" t="s">
        <v>2826</v>
      </c>
      <c r="B36" s="50"/>
      <c r="C36" s="50" t="s">
        <v>3464</v>
      </c>
      <c r="D36" s="322"/>
      <c r="E36" s="322" t="s">
        <v>3464</v>
      </c>
      <c r="F36" s="49"/>
      <c r="G36" s="49" t="s">
        <v>3464</v>
      </c>
      <c r="H36" s="48"/>
      <c r="I36" s="101" t="e">
        <f ca="1">AI_LIQ(Assets!$A$24,ACQ,ALL,59)</f>
        <v>#NAME?</v>
      </c>
      <c r="J36" s="48"/>
      <c r="K36" s="48"/>
      <c r="L36" s="48"/>
      <c r="M36" s="50"/>
      <c r="N36" s="70"/>
      <c r="O36" s="49"/>
      <c r="P36" s="245"/>
      <c r="Q36" s="101">
        <v>5</v>
      </c>
      <c r="S36" s="102">
        <f t="shared" si="1"/>
        <v>1333</v>
      </c>
      <c r="U36" s="102" t="str">
        <f t="shared" si="0"/>
        <v>BI1333</v>
      </c>
    </row>
    <row r="37" spans="1:23" s="101" customFormat="1" ht="15" customHeight="1" x14ac:dyDescent="0.25">
      <c r="A37" s="20" t="s">
        <v>2763</v>
      </c>
      <c r="B37" s="97"/>
      <c r="C37" s="98" t="s">
        <v>3560</v>
      </c>
      <c r="D37" s="70"/>
      <c r="E37" s="99" t="s">
        <v>3560</v>
      </c>
      <c r="F37" s="49"/>
      <c r="G37" s="100" t="s">
        <v>3560</v>
      </c>
      <c r="I37" s="101" t="e">
        <f ca="1">AI_LIQ(Assets!$A$24,ACQ,ALL,49)</f>
        <v>#NAME?</v>
      </c>
      <c r="J37" s="96"/>
      <c r="M37" s="98"/>
      <c r="N37" s="99"/>
      <c r="O37" s="100"/>
      <c r="P37" s="162"/>
      <c r="Q37" s="20"/>
      <c r="R37" s="30"/>
      <c r="S37" s="102">
        <f t="shared" si="1"/>
        <v>1334</v>
      </c>
      <c r="T37" s="79"/>
      <c r="U37" s="102" t="str">
        <f t="shared" si="0"/>
        <v>BI1334</v>
      </c>
      <c r="V37" s="79"/>
      <c r="W37" s="102"/>
    </row>
    <row r="38" spans="1:23" s="101" customFormat="1" ht="15" customHeight="1" x14ac:dyDescent="0.25">
      <c r="A38" s="20" t="s">
        <v>2764</v>
      </c>
      <c r="B38" s="97"/>
      <c r="C38" s="98"/>
      <c r="D38" s="70"/>
      <c r="E38" s="99"/>
      <c r="F38" s="49"/>
      <c r="G38" s="100"/>
      <c r="J38" s="96"/>
      <c r="M38" s="98"/>
      <c r="N38" s="99"/>
      <c r="O38" s="100"/>
      <c r="P38" s="162"/>
      <c r="Q38" s="20"/>
      <c r="R38" s="30"/>
      <c r="S38" s="102">
        <f t="shared" si="1"/>
        <v>1335</v>
      </c>
      <c r="T38" s="79"/>
      <c r="U38" s="102" t="str">
        <f t="shared" si="0"/>
        <v>BI1335</v>
      </c>
      <c r="V38" s="79"/>
      <c r="W38" s="102"/>
    </row>
    <row r="39" spans="1:23" s="101" customFormat="1" ht="15" customHeight="1" x14ac:dyDescent="0.25">
      <c r="A39" s="20" t="s">
        <v>3282</v>
      </c>
      <c r="B39" s="97"/>
      <c r="C39" s="98"/>
      <c r="D39" s="70"/>
      <c r="E39" s="99"/>
      <c r="F39" s="49"/>
      <c r="G39" s="100"/>
      <c r="J39" s="96"/>
      <c r="M39" s="98"/>
      <c r="N39" s="99"/>
      <c r="O39" s="100"/>
      <c r="P39" s="162"/>
      <c r="Q39" s="20">
        <v>4</v>
      </c>
      <c r="R39" s="30"/>
      <c r="S39" s="102">
        <f t="shared" si="1"/>
        <v>1336</v>
      </c>
      <c r="T39" s="79"/>
      <c r="U39" s="102" t="str">
        <f t="shared" si="0"/>
        <v>BI1336</v>
      </c>
      <c r="V39" s="79"/>
      <c r="W39" s="102"/>
    </row>
    <row r="40" spans="1:23" ht="15" customHeight="1" x14ac:dyDescent="0.2">
      <c r="A40" s="101" t="s">
        <v>3284</v>
      </c>
      <c r="B40" s="98"/>
      <c r="C40" s="98" t="s">
        <v>3465</v>
      </c>
      <c r="D40" s="99"/>
      <c r="E40" s="99" t="s">
        <v>3465</v>
      </c>
      <c r="F40" s="100"/>
      <c r="G40" s="100" t="s">
        <v>3465</v>
      </c>
      <c r="H40" s="101"/>
      <c r="I40" s="101" t="e">
        <f ca="1">AI_LIQ(Assets!$A$24,ACQ,ALL,1,2,3,4,6,7,8,9,11,12,13,14,18,19,20,21,25,26,27,28,32,33,34,35,42,43,44,45,58,59)</f>
        <v>#NAME?</v>
      </c>
      <c r="J40" s="101"/>
      <c r="K40" s="101"/>
      <c r="L40" s="101"/>
      <c r="M40" s="98"/>
      <c r="N40" s="99"/>
      <c r="O40" s="100"/>
      <c r="P40" s="162"/>
      <c r="Q40" s="243">
        <v>1</v>
      </c>
      <c r="S40" s="102">
        <f t="shared" si="1"/>
        <v>1337</v>
      </c>
      <c r="U40" s="102" t="str">
        <f t="shared" si="0"/>
        <v>BI1337</v>
      </c>
    </row>
    <row r="41" spans="1:23" s="101" customFormat="1" ht="15" customHeight="1" x14ac:dyDescent="0.25">
      <c r="A41" s="20" t="s">
        <v>1797</v>
      </c>
      <c r="B41" s="97"/>
      <c r="C41" s="98"/>
      <c r="D41" s="70"/>
      <c r="E41" s="99"/>
      <c r="F41" s="49"/>
      <c r="G41" s="100"/>
      <c r="J41" s="96"/>
      <c r="M41" s="98"/>
      <c r="N41" s="99"/>
      <c r="O41" s="100"/>
      <c r="P41" s="162" t="s">
        <v>1902</v>
      </c>
      <c r="Q41" s="20">
        <v>6</v>
      </c>
      <c r="R41" s="102"/>
      <c r="S41" s="102">
        <f t="shared" si="1"/>
        <v>1338</v>
      </c>
      <c r="T41" s="102"/>
      <c r="U41" s="102" t="str">
        <f t="shared" si="0"/>
        <v>BI1338</v>
      </c>
      <c r="V41" s="102"/>
      <c r="W41" s="102"/>
    </row>
    <row r="42" spans="1:23" ht="15" customHeight="1" x14ac:dyDescent="0.2">
      <c r="A42" s="101" t="s">
        <v>3293</v>
      </c>
      <c r="B42" s="98"/>
      <c r="C42" s="98" t="s">
        <v>3466</v>
      </c>
      <c r="D42" s="99"/>
      <c r="E42" s="99" t="s">
        <v>3466</v>
      </c>
      <c r="F42" s="100"/>
      <c r="G42" s="100" t="s">
        <v>3466</v>
      </c>
      <c r="H42" s="101"/>
      <c r="I42" s="101" t="e">
        <f ca="1">AI_LIQ(Assets!$A$24,ACQ,ALL,84)</f>
        <v>#NAME?</v>
      </c>
      <c r="J42" s="101"/>
      <c r="K42" s="101"/>
      <c r="L42" s="101"/>
      <c r="M42" s="98"/>
      <c r="N42" s="99"/>
      <c r="O42" s="100"/>
      <c r="P42" s="162"/>
      <c r="Q42" s="243">
        <v>1</v>
      </c>
      <c r="S42" s="102">
        <f t="shared" si="1"/>
        <v>1339</v>
      </c>
      <c r="U42" s="102" t="str">
        <f t="shared" si="0"/>
        <v>BI1339</v>
      </c>
    </row>
    <row r="43" spans="1:23" s="101" customFormat="1" ht="15" customHeight="1" x14ac:dyDescent="0.25">
      <c r="A43" s="20" t="s">
        <v>1891</v>
      </c>
      <c r="B43" s="97"/>
      <c r="C43" s="98"/>
      <c r="D43" s="70"/>
      <c r="E43" s="99"/>
      <c r="F43" s="49"/>
      <c r="G43" s="100"/>
      <c r="J43" s="96"/>
      <c r="M43" s="98"/>
      <c r="N43" s="99"/>
      <c r="O43" s="100"/>
      <c r="P43" s="162" t="s">
        <v>1902</v>
      </c>
      <c r="Q43" s="20"/>
      <c r="S43" s="102">
        <f t="shared" si="1"/>
        <v>1340</v>
      </c>
      <c r="U43" s="102" t="str">
        <f t="shared" si="0"/>
        <v>BI1340</v>
      </c>
    </row>
    <row r="44" spans="1:23" ht="15" customHeight="1" x14ac:dyDescent="0.2">
      <c r="A44" s="101" t="s">
        <v>3295</v>
      </c>
      <c r="B44" s="98"/>
      <c r="C44" s="98" t="s">
        <v>3467</v>
      </c>
      <c r="D44" s="99"/>
      <c r="E44" s="99" t="s">
        <v>3467</v>
      </c>
      <c r="F44" s="100"/>
      <c r="G44" s="100" t="s">
        <v>3467</v>
      </c>
      <c r="H44" s="101"/>
      <c r="I44" s="101" t="e">
        <f ca="1">AI_LIQ(Assets!$A$24,ACQ,ALL,90)</f>
        <v>#NAME?</v>
      </c>
      <c r="J44" s="101"/>
      <c r="K44" s="101"/>
      <c r="L44" s="101"/>
      <c r="M44" s="98"/>
      <c r="N44" s="99"/>
      <c r="O44" s="100"/>
      <c r="P44" s="162"/>
      <c r="Q44" s="243">
        <v>1</v>
      </c>
      <c r="S44" s="102">
        <f t="shared" si="1"/>
        <v>1341</v>
      </c>
      <c r="U44" s="102" t="str">
        <f t="shared" si="0"/>
        <v>BI1341</v>
      </c>
    </row>
    <row r="45" spans="1:23" s="101" customFormat="1" ht="15" customHeight="1" x14ac:dyDescent="0.25">
      <c r="A45" s="20" t="s">
        <v>1798</v>
      </c>
      <c r="B45" s="97"/>
      <c r="C45" s="98"/>
      <c r="D45" s="70"/>
      <c r="E45" s="99"/>
      <c r="F45" s="49"/>
      <c r="G45" s="100"/>
      <c r="J45" s="96"/>
      <c r="M45" s="98"/>
      <c r="N45" s="99"/>
      <c r="O45" s="100"/>
      <c r="P45" s="162" t="s">
        <v>1902</v>
      </c>
      <c r="Q45" s="20">
        <v>6</v>
      </c>
      <c r="S45" s="102">
        <f t="shared" si="1"/>
        <v>1342</v>
      </c>
      <c r="U45" s="102" t="str">
        <f t="shared" si="0"/>
        <v>BI1342</v>
      </c>
    </row>
    <row r="46" spans="1:23" s="101" customFormat="1" ht="15" customHeight="1" x14ac:dyDescent="0.25">
      <c r="A46" s="20" t="s">
        <v>1892</v>
      </c>
      <c r="B46" s="97"/>
      <c r="C46" s="98" t="s">
        <v>3468</v>
      </c>
      <c r="D46" s="70"/>
      <c r="E46" s="99" t="s">
        <v>3468</v>
      </c>
      <c r="F46" s="49"/>
      <c r="G46" s="100" t="s">
        <v>3468</v>
      </c>
      <c r="I46" s="101" t="e">
        <f ca="1">AI_LIQ(Assets!$A$24,ACQ,ALL,92)</f>
        <v>#NAME?</v>
      </c>
      <c r="J46" s="96"/>
      <c r="M46" s="98"/>
      <c r="N46" s="99"/>
      <c r="O46" s="100"/>
      <c r="P46" s="162" t="s">
        <v>1902</v>
      </c>
      <c r="Q46" s="20">
        <v>7</v>
      </c>
      <c r="S46" s="102">
        <f t="shared" si="1"/>
        <v>1343</v>
      </c>
      <c r="U46" s="102" t="str">
        <f t="shared" si="0"/>
        <v>BI1343</v>
      </c>
    </row>
    <row r="47" spans="1:23" s="101" customFormat="1" ht="15" customHeight="1" x14ac:dyDescent="0.25">
      <c r="A47" s="20" t="s">
        <v>1800</v>
      </c>
      <c r="B47" s="97"/>
      <c r="C47" s="98"/>
      <c r="D47" s="70"/>
      <c r="E47" s="99"/>
      <c r="F47" s="49"/>
      <c r="G47" s="100"/>
      <c r="J47" s="96"/>
      <c r="M47" s="98"/>
      <c r="N47" s="99"/>
      <c r="O47" s="100"/>
      <c r="P47" s="162" t="s">
        <v>1902</v>
      </c>
      <c r="Q47" s="20"/>
      <c r="R47" s="101">
        <v>7</v>
      </c>
      <c r="S47" s="102">
        <f t="shared" si="1"/>
        <v>1344</v>
      </c>
      <c r="T47" s="101" t="s">
        <v>1902</v>
      </c>
      <c r="U47" s="102" t="str">
        <f t="shared" si="0"/>
        <v>BI1344</v>
      </c>
    </row>
    <row r="48" spans="1:23" s="101" customFormat="1" ht="15" customHeight="1" x14ac:dyDescent="0.25">
      <c r="A48" s="20" t="s">
        <v>3285</v>
      </c>
      <c r="B48" s="97"/>
      <c r="C48" s="98" t="s">
        <v>3478</v>
      </c>
      <c r="D48" s="70"/>
      <c r="E48" s="99" t="s">
        <v>3478</v>
      </c>
      <c r="F48" s="49"/>
      <c r="G48" s="100" t="s">
        <v>3478</v>
      </c>
      <c r="I48" s="101" t="e">
        <f ca="1">AI_LIQ_ETF(A44,ACQ,ALL,90)</f>
        <v>#NAME?</v>
      </c>
      <c r="J48" s="96"/>
      <c r="M48" s="98"/>
      <c r="N48" s="99"/>
      <c r="O48" s="100"/>
      <c r="P48" s="162" t="s">
        <v>1902</v>
      </c>
      <c r="Q48" s="20"/>
      <c r="S48" s="102">
        <f t="shared" si="1"/>
        <v>1345</v>
      </c>
      <c r="T48" s="101" t="s">
        <v>1902</v>
      </c>
      <c r="U48" s="102" t="str">
        <f t="shared" si="0"/>
        <v>BI1345</v>
      </c>
    </row>
    <row r="49" spans="1:21" s="101" customFormat="1" ht="15" customHeight="1" x14ac:dyDescent="0.25">
      <c r="A49" s="20" t="s">
        <v>3286</v>
      </c>
      <c r="B49" s="97"/>
      <c r="C49" s="98" t="s">
        <v>3479</v>
      </c>
      <c r="D49" s="70"/>
      <c r="E49" s="99" t="s">
        <v>3479</v>
      </c>
      <c r="F49" s="49"/>
      <c r="G49" s="100" t="s">
        <v>3479</v>
      </c>
      <c r="I49" s="101" t="e">
        <f ca="1">AI_LIQ_ETF(A46,ACQ,ALL,92)</f>
        <v>#NAME?</v>
      </c>
      <c r="J49" s="96"/>
      <c r="M49" s="98"/>
      <c r="N49" s="99"/>
      <c r="O49" s="100"/>
      <c r="P49" s="162" t="s">
        <v>1902</v>
      </c>
      <c r="Q49" s="20"/>
      <c r="S49" s="102">
        <f t="shared" si="1"/>
        <v>1346</v>
      </c>
      <c r="T49" s="101" t="s">
        <v>1902</v>
      </c>
      <c r="U49" s="102" t="str">
        <f t="shared" si="0"/>
        <v>BI1346</v>
      </c>
    </row>
    <row r="50" spans="1:21" s="101" customFormat="1" ht="15" customHeight="1" x14ac:dyDescent="0.25">
      <c r="A50" s="20" t="s">
        <v>3294</v>
      </c>
      <c r="B50" s="97"/>
      <c r="C50" s="98"/>
      <c r="D50" s="70"/>
      <c r="E50" s="99"/>
      <c r="F50" s="49"/>
      <c r="G50" s="100"/>
      <c r="J50" s="96"/>
      <c r="M50" s="98"/>
      <c r="N50" s="99"/>
      <c r="O50" s="100"/>
      <c r="P50" s="162" t="s">
        <v>1902</v>
      </c>
      <c r="Q50" s="20">
        <v>7</v>
      </c>
      <c r="R50" s="101">
        <v>7</v>
      </c>
      <c r="S50" s="102">
        <f t="shared" si="1"/>
        <v>1347</v>
      </c>
      <c r="T50" s="101" t="s">
        <v>1902</v>
      </c>
      <c r="U50" s="102" t="str">
        <f t="shared" si="0"/>
        <v>BI1347</v>
      </c>
    </row>
    <row r="51" spans="1:21" s="101" customFormat="1" ht="15" customHeight="1" x14ac:dyDescent="0.25">
      <c r="A51" s="20" t="s">
        <v>2768</v>
      </c>
      <c r="B51" s="97"/>
      <c r="C51" s="98" t="s">
        <v>3469</v>
      </c>
      <c r="D51" s="70"/>
      <c r="E51" s="99" t="s">
        <v>3469</v>
      </c>
      <c r="F51" s="49"/>
      <c r="G51" s="100" t="s">
        <v>3469</v>
      </c>
      <c r="I51" s="101" t="e">
        <f ca="1">AI_LIQ(Assets!$A$24,ACQ,ALL,85,91)</f>
        <v>#NAME?</v>
      </c>
      <c r="M51" s="98"/>
      <c r="N51" s="99"/>
      <c r="O51" s="100"/>
      <c r="P51" s="162" t="s">
        <v>1902</v>
      </c>
      <c r="Q51" s="20"/>
      <c r="S51" s="102">
        <f t="shared" si="1"/>
        <v>1348</v>
      </c>
      <c r="U51" s="102" t="str">
        <f t="shared" si="0"/>
        <v>BI1348</v>
      </c>
    </row>
    <row r="52" spans="1:21" s="101" customFormat="1" ht="15" customHeight="1" x14ac:dyDescent="0.25">
      <c r="A52" s="20" t="s">
        <v>1801</v>
      </c>
      <c r="B52" s="97"/>
      <c r="C52" s="98"/>
      <c r="D52" s="70"/>
      <c r="E52" s="99"/>
      <c r="F52" s="49"/>
      <c r="G52" s="100"/>
      <c r="M52" s="98"/>
      <c r="N52" s="99"/>
      <c r="O52" s="100"/>
      <c r="P52" s="162"/>
      <c r="Q52" s="20"/>
      <c r="S52" s="102">
        <f t="shared" si="1"/>
        <v>1349</v>
      </c>
      <c r="U52" s="102" t="str">
        <f t="shared" si="0"/>
        <v>BI1349</v>
      </c>
    </row>
    <row r="53" spans="1:21" s="10" customFormat="1" ht="15" customHeight="1" x14ac:dyDescent="0.2">
      <c r="A53" s="12" t="s">
        <v>2408</v>
      </c>
      <c r="B53" s="199"/>
      <c r="C53" s="13"/>
      <c r="D53" s="244"/>
      <c r="E53" s="244"/>
      <c r="F53" s="45"/>
      <c r="G53" s="7"/>
      <c r="J53" s="197"/>
      <c r="M53" s="11"/>
      <c r="N53" s="14"/>
      <c r="O53" s="15"/>
      <c r="P53" s="163"/>
      <c r="Q53" s="10">
        <v>2</v>
      </c>
      <c r="S53" s="102">
        <f t="shared" si="1"/>
        <v>1350</v>
      </c>
      <c r="U53" s="102" t="str">
        <f t="shared" si="0"/>
        <v>BI1350</v>
      </c>
    </row>
    <row r="54" spans="1:21" s="101" customFormat="1" ht="15" customHeight="1" x14ac:dyDescent="0.25">
      <c r="A54" s="20" t="s">
        <v>3291</v>
      </c>
      <c r="B54" s="97"/>
      <c r="C54" s="98"/>
      <c r="D54" s="70"/>
      <c r="E54" s="99"/>
      <c r="F54" s="49"/>
      <c r="G54" s="100"/>
      <c r="M54" s="98"/>
      <c r="N54" s="99"/>
      <c r="O54" s="100"/>
      <c r="P54" s="162" t="s">
        <v>1905</v>
      </c>
      <c r="Q54" s="20">
        <v>7</v>
      </c>
      <c r="S54" s="102">
        <f t="shared" si="1"/>
        <v>1351</v>
      </c>
      <c r="U54" s="102" t="str">
        <f t="shared" si="0"/>
        <v>BI1351</v>
      </c>
    </row>
    <row r="55" spans="1:21" ht="15" customHeight="1" x14ac:dyDescent="0.25">
      <c r="A55" s="48" t="s">
        <v>2746</v>
      </c>
      <c r="B55" s="50"/>
      <c r="C55" s="50"/>
      <c r="D55" s="70"/>
      <c r="E55" s="70"/>
      <c r="F55" s="49"/>
      <c r="G55" s="49"/>
      <c r="H55" s="48"/>
      <c r="I55" s="48"/>
      <c r="J55" s="48"/>
      <c r="K55" s="48"/>
      <c r="L55" s="48"/>
      <c r="M55" s="50"/>
      <c r="N55" s="70"/>
      <c r="O55" s="49"/>
      <c r="P55" s="245"/>
      <c r="S55" s="102">
        <f t="shared" si="1"/>
        <v>1352</v>
      </c>
      <c r="U55" s="102" t="str">
        <f t="shared" si="0"/>
        <v>BI1352</v>
      </c>
    </row>
    <row r="56" spans="1:21" ht="15" customHeight="1" x14ac:dyDescent="0.2">
      <c r="A56" s="101" t="s">
        <v>3287</v>
      </c>
      <c r="B56" s="98"/>
      <c r="C56" s="98"/>
      <c r="D56" s="99"/>
      <c r="E56" s="99"/>
      <c r="F56" s="100"/>
      <c r="G56" s="100"/>
      <c r="H56" s="101"/>
      <c r="I56" s="101"/>
      <c r="J56" s="101"/>
      <c r="K56" s="101"/>
      <c r="L56" s="101"/>
      <c r="M56" s="98"/>
      <c r="N56" s="99"/>
      <c r="O56" s="100"/>
      <c r="P56" s="162"/>
      <c r="Q56" s="243">
        <v>1</v>
      </c>
      <c r="S56" s="102">
        <f t="shared" si="1"/>
        <v>1353</v>
      </c>
      <c r="U56" s="102" t="str">
        <f t="shared" si="0"/>
        <v>BI1353</v>
      </c>
    </row>
    <row r="57" spans="1:21" ht="15" customHeight="1" x14ac:dyDescent="0.25">
      <c r="A57" s="48" t="s">
        <v>2832</v>
      </c>
      <c r="B57" s="50"/>
      <c r="C57" s="50"/>
      <c r="D57" s="70"/>
      <c r="E57" s="70"/>
      <c r="F57" s="49"/>
      <c r="G57" s="49"/>
      <c r="H57" s="48"/>
      <c r="I57" s="48"/>
      <c r="J57" s="48"/>
      <c r="K57" s="48"/>
      <c r="L57" s="48"/>
      <c r="M57" s="50"/>
      <c r="N57" s="70"/>
      <c r="O57" s="49"/>
      <c r="P57" s="245"/>
      <c r="S57" s="102">
        <f t="shared" si="1"/>
        <v>1354</v>
      </c>
      <c r="U57" s="102" t="str">
        <f t="shared" si="0"/>
        <v>BI1354</v>
      </c>
    </row>
    <row r="58" spans="1:21" ht="15" customHeight="1" x14ac:dyDescent="0.2">
      <c r="A58" s="101" t="s">
        <v>3288</v>
      </c>
      <c r="B58" s="98"/>
      <c r="C58" s="98"/>
      <c r="D58" s="99"/>
      <c r="E58" s="99"/>
      <c r="F58" s="100"/>
      <c r="G58" s="100"/>
      <c r="H58" s="101"/>
      <c r="I58" s="101"/>
      <c r="J58" s="101"/>
      <c r="K58" s="101"/>
      <c r="L58" s="101"/>
      <c r="M58" s="98"/>
      <c r="N58" s="99"/>
      <c r="O58" s="100"/>
      <c r="P58" s="162"/>
      <c r="Q58" s="243">
        <v>1</v>
      </c>
      <c r="S58" s="102">
        <f t="shared" si="1"/>
        <v>1355</v>
      </c>
      <c r="U58" s="102" t="str">
        <f t="shared" si="0"/>
        <v>BI1355</v>
      </c>
    </row>
    <row r="59" spans="1:21" ht="15" customHeight="1" x14ac:dyDescent="0.2">
      <c r="A59" s="101" t="s">
        <v>3290</v>
      </c>
      <c r="B59" s="98"/>
      <c r="C59" s="98"/>
      <c r="D59" s="99"/>
      <c r="E59" s="99"/>
      <c r="F59" s="100"/>
      <c r="G59" s="100"/>
      <c r="H59" s="101"/>
      <c r="I59" s="101"/>
      <c r="J59" s="101"/>
      <c r="K59" s="101"/>
      <c r="L59" s="101"/>
      <c r="M59" s="98"/>
      <c r="N59" s="99"/>
      <c r="O59" s="100"/>
      <c r="P59" s="162"/>
      <c r="S59" s="102">
        <f t="shared" si="1"/>
        <v>1356</v>
      </c>
      <c r="U59" s="102" t="str">
        <f t="shared" si="0"/>
        <v>BI1356</v>
      </c>
    </row>
    <row r="60" spans="1:21" ht="15" customHeight="1" x14ac:dyDescent="0.2">
      <c r="A60" s="101" t="s">
        <v>3289</v>
      </c>
      <c r="B60" s="98"/>
      <c r="C60" s="98"/>
      <c r="D60" s="99"/>
      <c r="E60" s="99"/>
      <c r="F60" s="100"/>
      <c r="G60" s="100"/>
      <c r="H60" s="101"/>
      <c r="I60" s="101"/>
      <c r="J60" s="101"/>
      <c r="K60" s="101"/>
      <c r="L60" s="101"/>
      <c r="M60" s="98"/>
      <c r="N60" s="99"/>
      <c r="O60" s="100"/>
      <c r="P60" s="162"/>
      <c r="S60" s="102">
        <f t="shared" si="1"/>
        <v>1357</v>
      </c>
      <c r="U60" s="102" t="str">
        <f t="shared" si="0"/>
        <v>BI1357</v>
      </c>
    </row>
  </sheetData>
  <autoFilter ref="A2:AA60" xr:uid="{00000000-0009-0000-0000-00000F000000}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3F7C-57DA-4C4B-B67D-7454DBB0BCA2}">
  <dimension ref="A2:AA60"/>
  <sheetViews>
    <sheetView topLeftCell="A22" zoomScale="80" zoomScaleNormal="80" workbookViewId="0">
      <selection activeCell="H9" sqref="H9"/>
    </sheetView>
  </sheetViews>
  <sheetFormatPr defaultRowHeight="15" customHeight="1" x14ac:dyDescent="0.2"/>
  <cols>
    <col min="1" max="1" width="50.7109375" style="243" customWidth="1"/>
    <col min="2" max="7" width="9.140625" style="243"/>
    <col min="8" max="9" width="11.140625" style="243" customWidth="1"/>
    <col min="10" max="16384" width="9.140625" style="243"/>
  </cols>
  <sheetData>
    <row r="2" spans="1:27" s="20" customFormat="1" ht="15" customHeight="1" x14ac:dyDescent="0.25">
      <c r="A2" s="20" t="s">
        <v>1774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J2" s="20" t="s">
        <v>1884</v>
      </c>
      <c r="K2" s="20" t="s">
        <v>1885</v>
      </c>
      <c r="L2" s="20" t="s">
        <v>1886</v>
      </c>
      <c r="M2" s="22"/>
      <c r="N2" s="26"/>
      <c r="O2" s="29"/>
      <c r="P2" s="48"/>
      <c r="Q2" s="48"/>
    </row>
    <row r="3" spans="1:27" s="101" customFormat="1" ht="15" customHeight="1" x14ac:dyDescent="0.25">
      <c r="A3" s="46" t="s">
        <v>1880</v>
      </c>
      <c r="B3" s="75"/>
      <c r="C3" s="98"/>
      <c r="D3" s="70" t="s">
        <v>171</v>
      </c>
      <c r="E3" s="99"/>
      <c r="F3" s="49" t="s">
        <v>172</v>
      </c>
      <c r="G3" s="100"/>
      <c r="J3" s="77" t="s">
        <v>1882</v>
      </c>
      <c r="K3" s="101" t="s">
        <v>1883</v>
      </c>
      <c r="L3" s="101">
        <v>120</v>
      </c>
      <c r="M3" s="98"/>
      <c r="N3" s="99"/>
      <c r="O3" s="100"/>
      <c r="P3" s="162"/>
    </row>
    <row r="4" spans="1:27" s="101" customFormat="1" ht="15" customHeight="1" x14ac:dyDescent="0.25">
      <c r="A4" s="20" t="s">
        <v>1768</v>
      </c>
      <c r="B4" s="97"/>
      <c r="C4" s="98" t="s">
        <v>3481</v>
      </c>
      <c r="D4" s="70"/>
      <c r="E4" s="99" t="s">
        <v>3481</v>
      </c>
      <c r="F4" s="49"/>
      <c r="G4" s="100" t="s">
        <v>3481</v>
      </c>
      <c r="I4" s="101" t="e">
        <f ca="1">AI_LIQ(Assets!$A$24,DISP,ALL,1)</f>
        <v>#NAME?</v>
      </c>
      <c r="J4" s="77" t="s">
        <v>1901</v>
      </c>
      <c r="K4" s="101" t="s">
        <v>2503</v>
      </c>
      <c r="L4" s="101">
        <v>38</v>
      </c>
      <c r="M4" s="98"/>
      <c r="N4" s="99"/>
      <c r="O4" s="100"/>
      <c r="P4" s="162"/>
      <c r="Q4" s="46">
        <v>7</v>
      </c>
      <c r="R4" s="31" t="s">
        <v>3245</v>
      </c>
      <c r="S4" s="102"/>
      <c r="T4" s="79"/>
      <c r="U4" s="102"/>
      <c r="V4" s="79"/>
      <c r="W4" s="102"/>
    </row>
    <row r="5" spans="1:27" s="101" customFormat="1" ht="15" customHeight="1" x14ac:dyDescent="0.25">
      <c r="A5" s="20" t="s">
        <v>2515</v>
      </c>
      <c r="B5" s="97"/>
      <c r="C5" s="98" t="s">
        <v>3482</v>
      </c>
      <c r="D5" s="70"/>
      <c r="E5" s="99" t="s">
        <v>3482</v>
      </c>
      <c r="F5" s="49"/>
      <c r="G5" s="100" t="s">
        <v>3482</v>
      </c>
      <c r="I5" s="101" t="e">
        <f ca="1">AI_LIQ(Assets!$A$24,DISP,ALL,6)</f>
        <v>#NAME?</v>
      </c>
      <c r="J5" s="77"/>
      <c r="M5" s="98"/>
      <c r="N5" s="99"/>
      <c r="O5" s="100"/>
      <c r="P5" s="162"/>
      <c r="Q5" s="46"/>
      <c r="R5" s="31" t="s">
        <v>3245</v>
      </c>
      <c r="S5" s="102"/>
      <c r="T5" s="79"/>
      <c r="U5" s="102"/>
      <c r="V5" s="79"/>
      <c r="W5" s="102"/>
    </row>
    <row r="6" spans="1:27" s="101" customFormat="1" ht="15" customHeight="1" x14ac:dyDescent="0.25">
      <c r="A6" s="20" t="s">
        <v>3260</v>
      </c>
      <c r="B6" s="97"/>
      <c r="C6" s="98" t="s">
        <v>3483</v>
      </c>
      <c r="D6" s="70"/>
      <c r="E6" s="99" t="s">
        <v>3483</v>
      </c>
      <c r="F6" s="49"/>
      <c r="G6" s="100" t="s">
        <v>3483</v>
      </c>
      <c r="I6" s="101" t="e">
        <f ca="1">AI_IG_LIQ(Assets!A24,DISP,EM,6)</f>
        <v>#NAME?</v>
      </c>
      <c r="J6" s="77"/>
      <c r="M6" s="98"/>
      <c r="N6" s="99"/>
      <c r="O6" s="100"/>
      <c r="P6" s="162"/>
      <c r="Q6" s="46"/>
      <c r="R6" s="31" t="s">
        <v>3246</v>
      </c>
      <c r="S6" s="102"/>
      <c r="T6" s="79"/>
      <c r="U6" s="102"/>
      <c r="V6" s="79"/>
      <c r="W6" s="102"/>
    </row>
    <row r="7" spans="1:27" s="101" customFormat="1" ht="15" customHeight="1" x14ac:dyDescent="0.25">
      <c r="A7" s="20" t="s">
        <v>3261</v>
      </c>
      <c r="B7" s="97"/>
      <c r="C7" s="98" t="s">
        <v>3484</v>
      </c>
      <c r="D7" s="70"/>
      <c r="E7" s="99" t="s">
        <v>3484</v>
      </c>
      <c r="F7" s="49"/>
      <c r="G7" s="100" t="s">
        <v>3484</v>
      </c>
      <c r="I7" s="101" t="e">
        <f ca="1">AI_HY_LIQ(Assets!$A$24,DISP,EM,6)</f>
        <v>#NAME?</v>
      </c>
      <c r="J7" s="77"/>
      <c r="M7" s="98"/>
      <c r="N7" s="99"/>
      <c r="O7" s="100"/>
      <c r="P7" s="162"/>
      <c r="Q7" s="46"/>
      <c r="R7" s="31" t="s">
        <v>3246</v>
      </c>
      <c r="S7" s="102"/>
      <c r="T7" s="79"/>
      <c r="U7" s="102"/>
      <c r="V7" s="79"/>
      <c r="W7" s="102"/>
    </row>
    <row r="8" spans="1:27" s="101" customFormat="1" ht="15" customHeight="1" x14ac:dyDescent="0.25">
      <c r="A8" s="20" t="s">
        <v>3262</v>
      </c>
      <c r="B8" s="97"/>
      <c r="C8" s="98" t="s">
        <v>3506</v>
      </c>
      <c r="D8" s="70"/>
      <c r="E8" s="99" t="s">
        <v>3506</v>
      </c>
      <c r="F8" s="49"/>
      <c r="G8" s="100" t="s">
        <v>3506</v>
      </c>
      <c r="I8" s="101" t="e">
        <f ca="1">AI_SUM(A6,A7)</f>
        <v>#NAME?</v>
      </c>
      <c r="J8" s="77"/>
      <c r="M8" s="98"/>
      <c r="N8" s="99"/>
      <c r="O8" s="100"/>
      <c r="P8" s="162"/>
      <c r="Q8" s="46">
        <v>7</v>
      </c>
      <c r="R8" s="31"/>
      <c r="S8" s="102"/>
      <c r="T8" s="79"/>
      <c r="U8" s="102"/>
      <c r="V8" s="79"/>
      <c r="W8" s="102"/>
    </row>
    <row r="9" spans="1:27" s="101" customFormat="1" ht="15" customHeight="1" x14ac:dyDescent="0.25">
      <c r="A9" s="20" t="s">
        <v>2523</v>
      </c>
      <c r="B9" s="97"/>
      <c r="C9" s="98" t="s">
        <v>3516</v>
      </c>
      <c r="D9" s="70"/>
      <c r="E9" s="99" t="s">
        <v>3516</v>
      </c>
      <c r="F9" s="49"/>
      <c r="G9" s="100" t="s">
        <v>3516</v>
      </c>
      <c r="I9" s="101" t="e">
        <f ca="1">AI_DIFF(A5,A8)</f>
        <v>#NAME?</v>
      </c>
      <c r="J9" s="96"/>
      <c r="M9" s="98"/>
      <c r="N9" s="99"/>
      <c r="O9" s="100"/>
      <c r="P9" s="162"/>
      <c r="Q9" s="20">
        <v>7</v>
      </c>
      <c r="R9" s="30" t="s">
        <v>3245</v>
      </c>
      <c r="S9" s="102"/>
      <c r="T9" s="79"/>
      <c r="U9" s="102"/>
      <c r="V9" s="79"/>
      <c r="W9" s="102"/>
    </row>
    <row r="10" spans="1:27" s="101" customFormat="1" ht="15" customHeight="1" x14ac:dyDescent="0.25">
      <c r="A10" s="20" t="s">
        <v>3263</v>
      </c>
      <c r="B10" s="97"/>
      <c r="C10" s="98" t="s">
        <v>3485</v>
      </c>
      <c r="D10" s="70"/>
      <c r="E10" s="99" t="s">
        <v>3485</v>
      </c>
      <c r="F10" s="49"/>
      <c r="G10" s="100" t="s">
        <v>3485</v>
      </c>
      <c r="I10" s="101" t="e">
        <f ca="1">AI_IG_LIQ(Assets!$A$24,DISP,US,32)</f>
        <v>#NAME?</v>
      </c>
      <c r="J10" s="96"/>
      <c r="M10" s="98"/>
      <c r="N10" s="99"/>
      <c r="O10" s="100"/>
      <c r="P10" s="162"/>
      <c r="Q10" s="20">
        <v>5</v>
      </c>
      <c r="R10" s="30"/>
      <c r="S10" s="102"/>
      <c r="T10" s="79"/>
      <c r="U10" s="102"/>
      <c r="V10" s="79"/>
      <c r="W10" s="102"/>
    </row>
    <row r="11" spans="1:27" s="101" customFormat="1" ht="15" customHeight="1" x14ac:dyDescent="0.25">
      <c r="A11" s="20" t="s">
        <v>3264</v>
      </c>
      <c r="B11" s="97"/>
      <c r="C11" s="98" t="s">
        <v>3486</v>
      </c>
      <c r="D11" s="70"/>
      <c r="E11" s="99" t="s">
        <v>3486</v>
      </c>
      <c r="F11" s="49"/>
      <c r="G11" s="100" t="s">
        <v>3486</v>
      </c>
      <c r="I11" s="101" t="e">
        <f ca="1">AI_HY_LIQ(Assets!$A$24,DISP,US,32)</f>
        <v>#NAME?</v>
      </c>
      <c r="J11" s="96"/>
      <c r="M11" s="98"/>
      <c r="N11" s="99"/>
      <c r="O11" s="100"/>
      <c r="P11" s="162"/>
      <c r="Q11" s="20">
        <v>7</v>
      </c>
      <c r="R11" s="30"/>
      <c r="S11" s="102"/>
      <c r="T11" s="79"/>
      <c r="U11" s="102"/>
      <c r="V11" s="79"/>
      <c r="W11" s="102"/>
    </row>
    <row r="12" spans="1:27" s="101" customFormat="1" ht="15" customHeight="1" x14ac:dyDescent="0.25">
      <c r="A12" s="20" t="s">
        <v>3265</v>
      </c>
      <c r="B12" s="97"/>
      <c r="C12" s="98" t="s">
        <v>3507</v>
      </c>
      <c r="D12" s="70"/>
      <c r="E12" s="99" t="s">
        <v>3507</v>
      </c>
      <c r="F12" s="49"/>
      <c r="G12" s="100" t="s">
        <v>3507</v>
      </c>
      <c r="I12" s="101" t="e">
        <f ca="1">AI_SUM(A10,A11)</f>
        <v>#NAME?</v>
      </c>
      <c r="J12" s="96"/>
      <c r="M12" s="98"/>
      <c r="N12" s="99"/>
      <c r="O12" s="100"/>
      <c r="P12" s="162"/>
      <c r="Q12" s="20">
        <v>7</v>
      </c>
      <c r="R12" s="30"/>
      <c r="S12" s="102"/>
      <c r="T12" s="79"/>
      <c r="U12" s="102"/>
      <c r="V12" s="79"/>
      <c r="W12" s="102"/>
    </row>
    <row r="13" spans="1:27" s="101" customFormat="1" ht="15" customHeight="1" x14ac:dyDescent="0.25">
      <c r="A13" s="20" t="s">
        <v>3266</v>
      </c>
      <c r="B13" s="97"/>
      <c r="C13" s="98" t="s">
        <v>3487</v>
      </c>
      <c r="D13" s="70"/>
      <c r="E13" s="99" t="s">
        <v>3487</v>
      </c>
      <c r="F13" s="49"/>
      <c r="G13" s="100" t="s">
        <v>3487</v>
      </c>
      <c r="I13" s="101" t="e">
        <f ca="1">AI_IG_LIQ(Assets!$A$24,DISP,OTHER,32)</f>
        <v>#NAME?</v>
      </c>
      <c r="J13" s="96"/>
      <c r="M13" s="98"/>
      <c r="N13" s="99"/>
      <c r="O13" s="100"/>
      <c r="P13" s="162"/>
      <c r="Q13" s="20">
        <v>5</v>
      </c>
      <c r="R13" s="30"/>
      <c r="S13" s="102"/>
      <c r="T13" s="79"/>
      <c r="U13" s="102"/>
      <c r="V13" s="79"/>
      <c r="W13" s="102"/>
    </row>
    <row r="14" spans="1:27" s="101" customFormat="1" ht="15" customHeight="1" x14ac:dyDescent="0.25">
      <c r="A14" s="20" t="s">
        <v>3267</v>
      </c>
      <c r="B14" s="97"/>
      <c r="C14" s="98" t="s">
        <v>3488</v>
      </c>
      <c r="D14" s="70"/>
      <c r="E14" s="99" t="s">
        <v>3488</v>
      </c>
      <c r="F14" s="49"/>
      <c r="G14" s="100" t="s">
        <v>3488</v>
      </c>
      <c r="I14" s="101" t="e">
        <f ca="1">AI_HY_LIQ(Assets!$A$24,DISP,OTHER,32)</f>
        <v>#NAME?</v>
      </c>
      <c r="J14" s="96"/>
      <c r="M14" s="98"/>
      <c r="N14" s="99"/>
      <c r="O14" s="100"/>
      <c r="P14" s="162"/>
      <c r="Q14" s="20">
        <v>5</v>
      </c>
      <c r="R14" s="30"/>
      <c r="S14" s="102"/>
      <c r="T14" s="79"/>
      <c r="U14" s="102"/>
      <c r="V14" s="79"/>
      <c r="W14" s="102"/>
    </row>
    <row r="15" spans="1:27" s="101" customFormat="1" ht="15" customHeight="1" x14ac:dyDescent="0.25">
      <c r="A15" s="20" t="s">
        <v>3268</v>
      </c>
      <c r="B15" s="97"/>
      <c r="C15" s="98" t="s">
        <v>3508</v>
      </c>
      <c r="D15" s="70"/>
      <c r="E15" s="99" t="s">
        <v>3508</v>
      </c>
      <c r="F15" s="49"/>
      <c r="G15" s="100" t="s">
        <v>3508</v>
      </c>
      <c r="I15" s="101" t="e">
        <f ca="1">AI_SUM(A13,A14)</f>
        <v>#NAME?</v>
      </c>
      <c r="J15" s="96"/>
      <c r="M15" s="98"/>
      <c r="N15" s="99"/>
      <c r="O15" s="100"/>
      <c r="P15" s="162"/>
      <c r="Q15" s="20">
        <v>7</v>
      </c>
      <c r="R15" s="30"/>
      <c r="S15" s="102"/>
      <c r="T15" s="79"/>
      <c r="U15" s="102"/>
      <c r="V15" s="79"/>
      <c r="W15" s="102"/>
    </row>
    <row r="16" spans="1:27" s="101" customFormat="1" ht="15" customHeight="1" x14ac:dyDescent="0.25">
      <c r="A16" s="20" t="s">
        <v>3269</v>
      </c>
      <c r="B16" s="97"/>
      <c r="C16" s="98" t="s">
        <v>3489</v>
      </c>
      <c r="D16" s="70"/>
      <c r="E16" s="99" t="s">
        <v>3489</v>
      </c>
      <c r="F16" s="49"/>
      <c r="G16" s="100" t="s">
        <v>3489</v>
      </c>
      <c r="I16" s="101" t="e">
        <f ca="1">AI_IG_LIQ(Assets!$A$24,DISP,EM,32)</f>
        <v>#NAME?</v>
      </c>
      <c r="J16" s="96"/>
      <c r="M16" s="98"/>
      <c r="N16" s="99"/>
      <c r="O16" s="100"/>
      <c r="P16" s="162"/>
      <c r="Q16" s="20">
        <v>5</v>
      </c>
      <c r="R16" s="30"/>
      <c r="S16" s="102"/>
      <c r="T16" s="30"/>
      <c r="U16" s="102"/>
      <c r="V16" s="79"/>
      <c r="W16" s="102"/>
      <c r="X16" s="79"/>
      <c r="Y16" s="102"/>
      <c r="Z16" s="102"/>
      <c r="AA16" s="102"/>
    </row>
    <row r="17" spans="1:27" s="101" customFormat="1" ht="15" customHeight="1" x14ac:dyDescent="0.25">
      <c r="A17" s="20" t="s">
        <v>3270</v>
      </c>
      <c r="B17" s="97"/>
      <c r="C17" s="98" t="s">
        <v>3489</v>
      </c>
      <c r="D17" s="70"/>
      <c r="E17" s="99" t="s">
        <v>3489</v>
      </c>
      <c r="F17" s="49"/>
      <c r="G17" s="100" t="s">
        <v>3489</v>
      </c>
      <c r="I17" s="101" t="e">
        <f ca="1">AI_HY_LIQ(Assets!$A$24,DISP,EM,32)</f>
        <v>#NAME?</v>
      </c>
      <c r="J17" s="96"/>
      <c r="M17" s="98"/>
      <c r="N17" s="99"/>
      <c r="O17" s="100"/>
      <c r="P17" s="162"/>
      <c r="Q17" s="20">
        <v>5</v>
      </c>
      <c r="R17" s="30"/>
      <c r="S17" s="102"/>
      <c r="T17" s="30"/>
      <c r="U17" s="102"/>
      <c r="V17" s="79"/>
      <c r="W17" s="102"/>
      <c r="X17" s="79"/>
      <c r="Y17" s="102"/>
      <c r="Z17" s="102"/>
      <c r="AA17" s="102"/>
    </row>
    <row r="18" spans="1:27" s="101" customFormat="1" ht="15" customHeight="1" x14ac:dyDescent="0.25">
      <c r="A18" s="20" t="s">
        <v>3271</v>
      </c>
      <c r="B18" s="97"/>
      <c r="C18" s="98" t="s">
        <v>3509</v>
      </c>
      <c r="D18" s="70"/>
      <c r="E18" s="99" t="s">
        <v>3509</v>
      </c>
      <c r="F18" s="49"/>
      <c r="G18" s="100" t="s">
        <v>3509</v>
      </c>
      <c r="I18" s="101" t="e">
        <f ca="1">AI_SUM(A16,A17)</f>
        <v>#NAME?</v>
      </c>
      <c r="J18" s="96"/>
      <c r="M18" s="98"/>
      <c r="N18" s="99"/>
      <c r="O18" s="100"/>
      <c r="P18" s="162"/>
      <c r="Q18" s="20">
        <v>7</v>
      </c>
      <c r="R18" s="30"/>
      <c r="S18" s="102"/>
      <c r="T18" s="30"/>
      <c r="U18" s="102"/>
      <c r="V18" s="79"/>
      <c r="W18" s="102"/>
      <c r="X18" s="79"/>
      <c r="Y18" s="102"/>
      <c r="Z18" s="102"/>
      <c r="AA18" s="102"/>
    </row>
    <row r="19" spans="1:27" s="101" customFormat="1" ht="15" customHeight="1" x14ac:dyDescent="0.25">
      <c r="A19" s="20" t="s">
        <v>1803</v>
      </c>
      <c r="B19" s="97"/>
      <c r="C19" s="98"/>
      <c r="D19" s="70"/>
      <c r="E19" s="99"/>
      <c r="F19" s="49"/>
      <c r="G19" s="100"/>
      <c r="J19" s="96"/>
      <c r="M19" s="98"/>
      <c r="N19" s="99"/>
      <c r="O19" s="100"/>
      <c r="P19" s="162"/>
      <c r="Q19" s="20">
        <v>4</v>
      </c>
      <c r="R19" s="30"/>
      <c r="S19" s="102"/>
      <c r="T19" s="79"/>
      <c r="U19" s="102"/>
      <c r="V19" s="79"/>
      <c r="W19" s="102"/>
    </row>
    <row r="20" spans="1:27" ht="15" customHeight="1" x14ac:dyDescent="0.2">
      <c r="A20" s="101" t="s">
        <v>3283</v>
      </c>
      <c r="B20" s="98"/>
      <c r="C20" s="98" t="s">
        <v>3490</v>
      </c>
      <c r="D20" s="99"/>
      <c r="E20" s="99" t="s">
        <v>3490</v>
      </c>
      <c r="F20" s="100"/>
      <c r="G20" s="100" t="s">
        <v>3490</v>
      </c>
      <c r="H20" s="101"/>
      <c r="I20" s="101" t="e">
        <f ca="1">AI_LIQ(Assets!$A$24,DISP,ALL,32)</f>
        <v>#NAME?</v>
      </c>
      <c r="J20" s="101"/>
      <c r="K20" s="101"/>
      <c r="L20" s="101"/>
      <c r="M20" s="98"/>
      <c r="N20" s="99"/>
      <c r="O20" s="100"/>
      <c r="P20" s="162"/>
      <c r="Q20" s="243">
        <v>1</v>
      </c>
    </row>
    <row r="21" spans="1:27" s="101" customFormat="1" ht="15" customHeight="1" x14ac:dyDescent="0.25">
      <c r="A21" s="20" t="s">
        <v>3272</v>
      </c>
      <c r="B21" s="97"/>
      <c r="C21" s="98" t="s">
        <v>3491</v>
      </c>
      <c r="D21" s="70"/>
      <c r="E21" s="99" t="s">
        <v>3491</v>
      </c>
      <c r="F21" s="49"/>
      <c r="G21" s="100" t="s">
        <v>3491</v>
      </c>
      <c r="I21" s="101" t="e">
        <f ca="1">AI_IG_LIQ(Assets!$A$24,DISP,ALL,11,18,25)</f>
        <v>#NAME?</v>
      </c>
      <c r="J21" s="96"/>
      <c r="M21" s="98"/>
      <c r="N21" s="99"/>
      <c r="O21" s="100"/>
      <c r="P21" s="162"/>
      <c r="Q21" s="20">
        <v>5</v>
      </c>
      <c r="R21" s="30"/>
      <c r="S21" s="102"/>
      <c r="T21" s="79"/>
      <c r="U21" s="102"/>
      <c r="V21" s="79"/>
      <c r="W21" s="102"/>
    </row>
    <row r="22" spans="1:27" s="101" customFormat="1" ht="15" customHeight="1" x14ac:dyDescent="0.25">
      <c r="A22" s="20" t="s">
        <v>3273</v>
      </c>
      <c r="B22" s="97"/>
      <c r="C22" s="98" t="s">
        <v>3492</v>
      </c>
      <c r="D22" s="70"/>
      <c r="E22" s="99" t="s">
        <v>3492</v>
      </c>
      <c r="F22" s="49"/>
      <c r="G22" s="100" t="s">
        <v>3492</v>
      </c>
      <c r="I22" s="101" t="e">
        <f ca="1">AI_HY_LIQ(Assets!$A$24,DISP,ALL,11,18,25)</f>
        <v>#NAME?</v>
      </c>
      <c r="M22" s="98"/>
      <c r="N22" s="99"/>
      <c r="O22" s="100"/>
      <c r="P22" s="162"/>
      <c r="Q22" s="20">
        <v>5</v>
      </c>
      <c r="R22" s="30"/>
      <c r="S22" s="102"/>
      <c r="T22" s="79"/>
      <c r="U22" s="102"/>
      <c r="V22" s="79"/>
      <c r="W22" s="102"/>
    </row>
    <row r="23" spans="1:27" s="101" customFormat="1" ht="15" customHeight="1" x14ac:dyDescent="0.25">
      <c r="A23" s="20" t="s">
        <v>1787</v>
      </c>
      <c r="B23" s="97"/>
      <c r="C23" s="98" t="s">
        <v>3510</v>
      </c>
      <c r="D23" s="70"/>
      <c r="E23" s="99" t="s">
        <v>3510</v>
      </c>
      <c r="F23" s="49"/>
      <c r="G23" s="100" t="s">
        <v>3510</v>
      </c>
      <c r="I23" s="101" t="e">
        <f ca="1">AI_SUM(A21,A22)</f>
        <v>#NAME?</v>
      </c>
      <c r="J23" s="96"/>
      <c r="M23" s="98"/>
      <c r="N23" s="99"/>
      <c r="O23" s="100"/>
      <c r="P23" s="162"/>
      <c r="Q23" s="20">
        <v>7</v>
      </c>
      <c r="R23" s="30"/>
      <c r="S23" s="102"/>
      <c r="T23" s="79"/>
      <c r="U23" s="102"/>
      <c r="V23" s="79"/>
      <c r="W23" s="102"/>
    </row>
    <row r="24" spans="1:27" s="101" customFormat="1" ht="15" customHeight="1" x14ac:dyDescent="0.25">
      <c r="A24" s="20" t="s">
        <v>3274</v>
      </c>
      <c r="B24" s="97"/>
      <c r="C24" s="98" t="s">
        <v>3493</v>
      </c>
      <c r="D24" s="70"/>
      <c r="E24" s="99" t="s">
        <v>3493</v>
      </c>
      <c r="F24" s="49"/>
      <c r="G24" s="100" t="s">
        <v>3493</v>
      </c>
      <c r="I24" s="101" t="e">
        <f ca="1">AI_IG_LIQ(Assets!$A$24,DISP,ALL,2,3,7,8,12,13,19,20,26,27,33,34,43,44)</f>
        <v>#NAME?</v>
      </c>
      <c r="J24" s="96"/>
      <c r="M24" s="98"/>
      <c r="N24" s="99"/>
      <c r="O24" s="100"/>
      <c r="P24" s="162"/>
      <c r="Q24" s="20">
        <v>5</v>
      </c>
      <c r="R24" s="30"/>
      <c r="S24" s="102"/>
      <c r="T24" s="79"/>
      <c r="U24" s="102"/>
      <c r="V24" s="79"/>
      <c r="W24" s="102"/>
    </row>
    <row r="25" spans="1:27" s="101" customFormat="1" ht="12.75" x14ac:dyDescent="0.25">
      <c r="A25" s="20" t="s">
        <v>3275</v>
      </c>
      <c r="B25" s="97"/>
      <c r="C25" s="98" t="s">
        <v>3494</v>
      </c>
      <c r="D25" s="70"/>
      <c r="E25" s="99" t="s">
        <v>3494</v>
      </c>
      <c r="F25" s="49"/>
      <c r="G25" s="100" t="s">
        <v>3494</v>
      </c>
      <c r="I25" s="101" t="e">
        <f ca="1">AI_HY_LIQ(Assets!$A$24,DISP,ALL,2,3,7,8,12,13,19,20,26,27,33,34,43,44)</f>
        <v>#NAME?</v>
      </c>
      <c r="J25" s="96"/>
      <c r="M25" s="98"/>
      <c r="N25" s="99"/>
      <c r="O25" s="100"/>
      <c r="P25" s="162"/>
      <c r="Q25" s="20">
        <v>5</v>
      </c>
      <c r="R25" s="30"/>
      <c r="S25" s="102"/>
      <c r="T25" s="79"/>
      <c r="U25" s="102"/>
      <c r="V25" s="79"/>
      <c r="W25" s="102"/>
    </row>
    <row r="26" spans="1:27" s="395" customFormat="1" ht="12.75" x14ac:dyDescent="0.25">
      <c r="A26" s="393" t="s">
        <v>1791</v>
      </c>
      <c r="B26" s="394"/>
      <c r="D26" s="396"/>
      <c r="F26" s="396"/>
      <c r="Q26" s="393">
        <v>6</v>
      </c>
      <c r="R26" s="393"/>
      <c r="T26" s="396"/>
      <c r="V26" s="396"/>
    </row>
    <row r="27" spans="1:27" s="101" customFormat="1" ht="15" customHeight="1" x14ac:dyDescent="0.25">
      <c r="A27" s="20" t="s">
        <v>3276</v>
      </c>
      <c r="B27" s="97"/>
      <c r="C27" s="98" t="s">
        <v>3511</v>
      </c>
      <c r="D27" s="70"/>
      <c r="E27" s="99" t="s">
        <v>3511</v>
      </c>
      <c r="F27" s="49"/>
      <c r="G27" s="100" t="s">
        <v>3511</v>
      </c>
      <c r="I27" s="101" t="e">
        <f ca="1">AI_SUM(A24,A25)</f>
        <v>#NAME?</v>
      </c>
      <c r="M27" s="98"/>
      <c r="N27" s="99"/>
      <c r="O27" s="100"/>
      <c r="P27" s="162"/>
      <c r="Q27" s="20">
        <v>1</v>
      </c>
      <c r="R27" s="30"/>
      <c r="S27" s="102"/>
      <c r="T27" s="79"/>
      <c r="U27" s="102"/>
      <c r="V27" s="79"/>
      <c r="W27" s="102"/>
    </row>
    <row r="28" spans="1:27" s="101" customFormat="1" ht="15" customHeight="1" x14ac:dyDescent="0.25">
      <c r="A28" s="20" t="s">
        <v>3277</v>
      </c>
      <c r="B28" s="97"/>
      <c r="C28" s="98" t="s">
        <v>3495</v>
      </c>
      <c r="D28" s="70"/>
      <c r="E28" s="99" t="s">
        <v>3495</v>
      </c>
      <c r="F28" s="49"/>
      <c r="G28" s="100" t="s">
        <v>3495</v>
      </c>
      <c r="I28" s="101" t="e">
        <f ca="1">AI_IG_LIQ(Assets!$A$24,DISP,ALL,4,9,14,21,28,35,45)</f>
        <v>#NAME?</v>
      </c>
      <c r="J28" s="96"/>
      <c r="M28" s="98"/>
      <c r="N28" s="99"/>
      <c r="O28" s="100"/>
      <c r="P28" s="162"/>
      <c r="Q28" s="20">
        <v>5</v>
      </c>
      <c r="R28" s="30"/>
      <c r="S28" s="102"/>
      <c r="T28" s="79"/>
      <c r="U28" s="102"/>
      <c r="V28" s="79"/>
      <c r="W28" s="102"/>
    </row>
    <row r="29" spans="1:27" s="101" customFormat="1" ht="15" customHeight="1" x14ac:dyDescent="0.25">
      <c r="A29" s="20" t="s">
        <v>3278</v>
      </c>
      <c r="B29" s="97"/>
      <c r="C29" s="98" t="s">
        <v>3496</v>
      </c>
      <c r="D29" s="70"/>
      <c r="E29" s="99" t="s">
        <v>3496</v>
      </c>
      <c r="F29" s="49"/>
      <c r="G29" s="100" t="s">
        <v>3496</v>
      </c>
      <c r="I29" s="101" t="e">
        <f ca="1">AI_HY_LIQ(Assets!$A$24,DISP,ALL,4,9,14,21,28,35,45)</f>
        <v>#NAME?</v>
      </c>
      <c r="J29" s="96"/>
      <c r="M29" s="98"/>
      <c r="N29" s="99"/>
      <c r="O29" s="100"/>
      <c r="P29" s="162"/>
      <c r="Q29" s="20">
        <v>5</v>
      </c>
      <c r="R29" s="30"/>
      <c r="S29" s="102"/>
      <c r="T29" s="79"/>
      <c r="U29" s="102"/>
      <c r="V29" s="79"/>
      <c r="W29" s="102"/>
    </row>
    <row r="30" spans="1:27" s="395" customFormat="1" ht="15" customHeight="1" x14ac:dyDescent="0.25">
      <c r="A30" s="393" t="s">
        <v>1793</v>
      </c>
      <c r="B30" s="394"/>
      <c r="D30" s="396"/>
      <c r="F30" s="396"/>
      <c r="Q30" s="393">
        <v>6</v>
      </c>
      <c r="R30" s="393"/>
      <c r="T30" s="396"/>
      <c r="V30" s="396"/>
    </row>
    <row r="31" spans="1:27" s="101" customFormat="1" ht="15" customHeight="1" x14ac:dyDescent="0.25">
      <c r="A31" s="20" t="s">
        <v>3279</v>
      </c>
      <c r="B31" s="97"/>
      <c r="C31" s="98" t="s">
        <v>3512</v>
      </c>
      <c r="D31" s="70"/>
      <c r="E31" s="99" t="s">
        <v>3512</v>
      </c>
      <c r="F31" s="49"/>
      <c r="G31" s="100" t="s">
        <v>3512</v>
      </c>
      <c r="I31" s="101" t="e">
        <f ca="1">AI_SUM(A28,A29)</f>
        <v>#NAME?</v>
      </c>
      <c r="M31" s="98"/>
      <c r="N31" s="99"/>
      <c r="O31" s="100"/>
      <c r="P31" s="162"/>
      <c r="Q31" s="20">
        <v>1</v>
      </c>
      <c r="R31" s="30"/>
      <c r="S31" s="102"/>
      <c r="T31" s="79"/>
      <c r="U31" s="102"/>
      <c r="V31" s="79"/>
      <c r="W31" s="102"/>
    </row>
    <row r="32" spans="1:27" s="101" customFormat="1" ht="15" customHeight="1" x14ac:dyDescent="0.25">
      <c r="A32" s="20" t="s">
        <v>3280</v>
      </c>
      <c r="B32" s="97"/>
      <c r="C32" s="98" t="s">
        <v>3497</v>
      </c>
      <c r="D32" s="70"/>
      <c r="E32" s="99" t="s">
        <v>3497</v>
      </c>
      <c r="F32" s="49"/>
      <c r="G32" s="100" t="s">
        <v>3497</v>
      </c>
      <c r="I32" s="101" t="e">
        <f ca="1">AI_IG_LIQ(Assets!$A$24,DISP,ALL,42)</f>
        <v>#NAME?</v>
      </c>
      <c r="J32" s="96"/>
      <c r="M32" s="98"/>
      <c r="N32" s="99"/>
      <c r="O32" s="100"/>
      <c r="P32" s="162"/>
      <c r="Q32" s="20">
        <v>5</v>
      </c>
      <c r="R32" s="30"/>
      <c r="S32" s="102"/>
      <c r="T32" s="79"/>
      <c r="U32" s="102"/>
      <c r="V32" s="79"/>
      <c r="W32" s="102"/>
    </row>
    <row r="33" spans="1:23" s="101" customFormat="1" ht="15" customHeight="1" x14ac:dyDescent="0.25">
      <c r="A33" s="20" t="s">
        <v>3281</v>
      </c>
      <c r="B33" s="97"/>
      <c r="C33" s="98" t="s">
        <v>3498</v>
      </c>
      <c r="D33" s="70"/>
      <c r="E33" s="99" t="s">
        <v>3498</v>
      </c>
      <c r="F33" s="49"/>
      <c r="G33" s="100" t="s">
        <v>3498</v>
      </c>
      <c r="I33" s="101" t="e">
        <f ca="1">AI_HY_LIQ(Assets!$A$24,DISP,ALL,42)</f>
        <v>#NAME?</v>
      </c>
      <c r="J33" s="96"/>
      <c r="M33" s="98"/>
      <c r="N33" s="99"/>
      <c r="O33" s="100"/>
      <c r="P33" s="162"/>
      <c r="Q33" s="20">
        <v>5</v>
      </c>
      <c r="R33" s="30"/>
      <c r="S33" s="102"/>
      <c r="T33" s="79"/>
      <c r="U33" s="102"/>
      <c r="V33" s="79"/>
      <c r="W33" s="102"/>
    </row>
    <row r="34" spans="1:23" s="101" customFormat="1" ht="15" customHeight="1" x14ac:dyDescent="0.25">
      <c r="A34" s="20" t="s">
        <v>1796</v>
      </c>
      <c r="B34" s="97"/>
      <c r="C34" s="98" t="s">
        <v>3513</v>
      </c>
      <c r="D34" s="70"/>
      <c r="E34" s="99" t="s">
        <v>3513</v>
      </c>
      <c r="F34" s="49"/>
      <c r="G34" s="100" t="s">
        <v>3513</v>
      </c>
      <c r="I34" s="101" t="e">
        <f ca="1">AI_SUM(A32,A33)</f>
        <v>#NAME?</v>
      </c>
      <c r="J34" s="96"/>
      <c r="M34" s="98"/>
      <c r="N34" s="99"/>
      <c r="O34" s="100"/>
      <c r="P34" s="162"/>
      <c r="Q34" s="20">
        <v>7</v>
      </c>
      <c r="R34" s="30"/>
      <c r="S34" s="102"/>
      <c r="T34" s="79"/>
      <c r="U34" s="102"/>
      <c r="V34" s="79"/>
      <c r="W34" s="102"/>
    </row>
    <row r="35" spans="1:23" s="101" customFormat="1" ht="15" customHeight="1" x14ac:dyDescent="0.25">
      <c r="A35" s="48" t="s">
        <v>2825</v>
      </c>
      <c r="B35" s="50"/>
      <c r="C35" s="50" t="s">
        <v>3499</v>
      </c>
      <c r="D35" s="322"/>
      <c r="E35" s="322" t="s">
        <v>3499</v>
      </c>
      <c r="F35" s="49"/>
      <c r="G35" s="49" t="s">
        <v>3499</v>
      </c>
      <c r="H35" s="48"/>
      <c r="I35" s="101" t="e">
        <f ca="1">AI_LIQ(Assets!$A$24,DISP,ALL,58)</f>
        <v>#NAME?</v>
      </c>
      <c r="J35" s="48"/>
      <c r="K35" s="48"/>
      <c r="L35" s="48"/>
      <c r="M35" s="50"/>
      <c r="N35" s="70"/>
      <c r="O35" s="49"/>
      <c r="P35" s="245"/>
      <c r="Q35" s="101">
        <v>5</v>
      </c>
    </row>
    <row r="36" spans="1:23" s="101" customFormat="1" ht="15" customHeight="1" x14ac:dyDescent="0.25">
      <c r="A36" s="48" t="s">
        <v>2826</v>
      </c>
      <c r="B36" s="50"/>
      <c r="C36" s="50" t="s">
        <v>3500</v>
      </c>
      <c r="D36" s="322"/>
      <c r="E36" s="322" t="s">
        <v>3500</v>
      </c>
      <c r="F36" s="49"/>
      <c r="G36" s="49" t="s">
        <v>3500</v>
      </c>
      <c r="H36" s="48"/>
      <c r="I36" s="101" t="e">
        <f ca="1">AI_LIQ(Assets!$A$24,DISP,ALL,59)</f>
        <v>#NAME?</v>
      </c>
      <c r="J36" s="48"/>
      <c r="K36" s="48"/>
      <c r="L36" s="48"/>
      <c r="M36" s="50"/>
      <c r="N36" s="70"/>
      <c r="O36" s="49"/>
      <c r="P36" s="245"/>
      <c r="Q36" s="101">
        <v>5</v>
      </c>
    </row>
    <row r="37" spans="1:23" s="101" customFormat="1" ht="15" customHeight="1" x14ac:dyDescent="0.25">
      <c r="A37" s="20" t="s">
        <v>2763</v>
      </c>
      <c r="B37" s="97"/>
      <c r="C37" s="98" t="s">
        <v>3561</v>
      </c>
      <c r="D37" s="70"/>
      <c r="E37" s="99" t="s">
        <v>3561</v>
      </c>
      <c r="F37" s="49"/>
      <c r="G37" s="100" t="s">
        <v>3561</v>
      </c>
      <c r="I37" s="101" t="e">
        <f ca="1">AI_LIQ(Assets!$A$24,DISP,ALL,49)</f>
        <v>#NAME?</v>
      </c>
      <c r="J37" s="96"/>
      <c r="M37" s="98"/>
      <c r="N37" s="99"/>
      <c r="O37" s="100"/>
      <c r="P37" s="162"/>
      <c r="Q37" s="20"/>
      <c r="R37" s="30"/>
      <c r="S37" s="102"/>
      <c r="T37" s="79"/>
      <c r="U37" s="102"/>
      <c r="V37" s="79"/>
      <c r="W37" s="102"/>
    </row>
    <row r="38" spans="1:23" s="101" customFormat="1" ht="15" customHeight="1" x14ac:dyDescent="0.25">
      <c r="A38" s="20" t="s">
        <v>2764</v>
      </c>
      <c r="B38" s="97"/>
      <c r="C38" s="98"/>
      <c r="D38" s="70"/>
      <c r="E38" s="99"/>
      <c r="F38" s="49"/>
      <c r="G38" s="100"/>
      <c r="J38" s="96"/>
      <c r="M38" s="98"/>
      <c r="N38" s="99"/>
      <c r="O38" s="100"/>
      <c r="P38" s="162"/>
      <c r="Q38" s="20"/>
      <c r="R38" s="30"/>
      <c r="S38" s="102"/>
      <c r="T38" s="79"/>
      <c r="U38" s="102"/>
      <c r="V38" s="79"/>
      <c r="W38" s="102"/>
    </row>
    <row r="39" spans="1:23" s="101" customFormat="1" ht="15" customHeight="1" x14ac:dyDescent="0.25">
      <c r="A39" s="20" t="s">
        <v>3282</v>
      </c>
      <c r="B39" s="97"/>
      <c r="C39" s="98"/>
      <c r="D39" s="70"/>
      <c r="E39" s="99"/>
      <c r="F39" s="49"/>
      <c r="G39" s="100"/>
      <c r="J39" s="96"/>
      <c r="M39" s="98"/>
      <c r="N39" s="99"/>
      <c r="O39" s="100"/>
      <c r="P39" s="162"/>
      <c r="Q39" s="20">
        <v>4</v>
      </c>
      <c r="R39" s="30"/>
      <c r="S39" s="102"/>
      <c r="T39" s="79"/>
      <c r="U39" s="102"/>
      <c r="V39" s="79"/>
      <c r="W39" s="102"/>
    </row>
    <row r="40" spans="1:23" ht="15" customHeight="1" x14ac:dyDescent="0.2">
      <c r="A40" s="101" t="s">
        <v>3284</v>
      </c>
      <c r="B40" s="98"/>
      <c r="C40" s="98" t="s">
        <v>3501</v>
      </c>
      <c r="D40" s="99"/>
      <c r="E40" s="99" t="s">
        <v>3501</v>
      </c>
      <c r="F40" s="100"/>
      <c r="G40" s="100" t="s">
        <v>3501</v>
      </c>
      <c r="H40" s="101"/>
      <c r="I40" s="101" t="e">
        <f ca="1">AI_LIQ(Assets!$A$24,DISP,ALL,1,2,3,4,6,7,8,9,11,12,13,14,18,19,20,21,25,26,27,28,32,33,34,35,42,43,44,45,58,59)</f>
        <v>#NAME?</v>
      </c>
      <c r="J40" s="101"/>
      <c r="K40" s="101"/>
      <c r="L40" s="101"/>
      <c r="M40" s="98"/>
      <c r="N40" s="99"/>
      <c r="O40" s="100"/>
      <c r="P40" s="162"/>
      <c r="Q40" s="243">
        <v>1</v>
      </c>
    </row>
    <row r="41" spans="1:23" s="101" customFormat="1" ht="15" customHeight="1" x14ac:dyDescent="0.25">
      <c r="A41" s="20" t="s">
        <v>1797</v>
      </c>
      <c r="B41" s="97"/>
      <c r="C41" s="98"/>
      <c r="D41" s="70"/>
      <c r="E41" s="99"/>
      <c r="F41" s="49"/>
      <c r="G41" s="100"/>
      <c r="J41" s="96"/>
      <c r="M41" s="98"/>
      <c r="N41" s="99"/>
      <c r="O41" s="100"/>
      <c r="P41" s="162"/>
      <c r="Q41" s="20">
        <v>6</v>
      </c>
      <c r="R41" s="102"/>
      <c r="S41" s="102"/>
      <c r="T41" s="102"/>
      <c r="U41" s="102"/>
      <c r="V41" s="102"/>
      <c r="W41" s="102"/>
    </row>
    <row r="42" spans="1:23" ht="15" customHeight="1" x14ac:dyDescent="0.2">
      <c r="A42" s="101" t="s">
        <v>3293</v>
      </c>
      <c r="B42" s="98"/>
      <c r="C42" s="98" t="s">
        <v>3502</v>
      </c>
      <c r="D42" s="99"/>
      <c r="E42" s="99" t="s">
        <v>3502</v>
      </c>
      <c r="F42" s="100"/>
      <c r="G42" s="100" t="s">
        <v>3502</v>
      </c>
      <c r="H42" s="101"/>
      <c r="I42" s="101" t="e">
        <f ca="1">AI_LIQ(Assets!$A$24,DISP,ALL,84)</f>
        <v>#NAME?</v>
      </c>
      <c r="J42" s="101"/>
      <c r="K42" s="101"/>
      <c r="L42" s="101"/>
      <c r="M42" s="98"/>
      <c r="N42" s="99"/>
      <c r="O42" s="100"/>
      <c r="P42" s="162"/>
      <c r="Q42" s="243">
        <v>1</v>
      </c>
    </row>
    <row r="43" spans="1:23" s="101" customFormat="1" ht="15" customHeight="1" x14ac:dyDescent="0.25">
      <c r="A43" s="20" t="s">
        <v>1891</v>
      </c>
      <c r="B43" s="97"/>
      <c r="C43" s="98"/>
      <c r="D43" s="70"/>
      <c r="E43" s="99"/>
      <c r="F43" s="49"/>
      <c r="G43" s="100"/>
      <c r="J43" s="96"/>
      <c r="M43" s="98"/>
      <c r="N43" s="99"/>
      <c r="O43" s="100"/>
      <c r="P43" s="162"/>
      <c r="Q43" s="20"/>
    </row>
    <row r="44" spans="1:23" ht="15" customHeight="1" x14ac:dyDescent="0.2">
      <c r="A44" s="101" t="s">
        <v>3295</v>
      </c>
      <c r="B44" s="98"/>
      <c r="C44" s="98" t="s">
        <v>3503</v>
      </c>
      <c r="D44" s="99"/>
      <c r="E44" s="99" t="s">
        <v>3503</v>
      </c>
      <c r="F44" s="100"/>
      <c r="G44" s="100" t="s">
        <v>3503</v>
      </c>
      <c r="H44" s="101"/>
      <c r="I44" s="101" t="e">
        <f ca="1">AI_LIQ(Assets!$A$24,DISP,ALL,90)</f>
        <v>#NAME?</v>
      </c>
      <c r="J44" s="101"/>
      <c r="K44" s="101"/>
      <c r="L44" s="101"/>
      <c r="M44" s="98"/>
      <c r="N44" s="99"/>
      <c r="O44" s="100"/>
      <c r="P44" s="162"/>
      <c r="Q44" s="243">
        <v>1</v>
      </c>
    </row>
    <row r="45" spans="1:23" s="101" customFormat="1" ht="15" customHeight="1" x14ac:dyDescent="0.25">
      <c r="A45" s="20" t="s">
        <v>1798</v>
      </c>
      <c r="B45" s="97"/>
      <c r="C45" s="98"/>
      <c r="D45" s="70"/>
      <c r="E45" s="99"/>
      <c r="F45" s="49"/>
      <c r="G45" s="100"/>
      <c r="J45" s="96"/>
      <c r="M45" s="98"/>
      <c r="N45" s="99"/>
      <c r="O45" s="100"/>
      <c r="P45" s="162"/>
      <c r="Q45" s="20">
        <v>6</v>
      </c>
    </row>
    <row r="46" spans="1:23" s="101" customFormat="1" ht="15" customHeight="1" x14ac:dyDescent="0.25">
      <c r="A46" s="20" t="s">
        <v>1892</v>
      </c>
      <c r="B46" s="97"/>
      <c r="C46" s="98" t="s">
        <v>3504</v>
      </c>
      <c r="D46" s="70"/>
      <c r="E46" s="99" t="s">
        <v>3504</v>
      </c>
      <c r="F46" s="49"/>
      <c r="G46" s="100" t="s">
        <v>3504</v>
      </c>
      <c r="I46" s="101" t="e">
        <f ca="1">AI_LIQ(Assets!$A$24,DISP,ALL,92)</f>
        <v>#NAME?</v>
      </c>
      <c r="J46" s="96"/>
      <c r="M46" s="98"/>
      <c r="N46" s="99"/>
      <c r="O46" s="100"/>
      <c r="P46" s="162"/>
      <c r="Q46" s="20">
        <v>7</v>
      </c>
    </row>
    <row r="47" spans="1:23" s="101" customFormat="1" ht="15" customHeight="1" x14ac:dyDescent="0.25">
      <c r="A47" s="20" t="s">
        <v>1800</v>
      </c>
      <c r="B47" s="97"/>
      <c r="C47" s="98"/>
      <c r="D47" s="70"/>
      <c r="E47" s="99"/>
      <c r="F47" s="49"/>
      <c r="G47" s="100"/>
      <c r="J47" s="96"/>
      <c r="M47" s="98"/>
      <c r="N47" s="99"/>
      <c r="O47" s="100"/>
      <c r="P47" s="162"/>
      <c r="Q47" s="20"/>
      <c r="R47" s="101">
        <v>7</v>
      </c>
      <c r="S47" s="101">
        <v>7</v>
      </c>
      <c r="T47" s="101" t="s">
        <v>1902</v>
      </c>
    </row>
    <row r="48" spans="1:23" s="101" customFormat="1" ht="15" customHeight="1" x14ac:dyDescent="0.25">
      <c r="A48" s="20" t="s">
        <v>3285</v>
      </c>
      <c r="B48" s="97"/>
      <c r="C48" s="98" t="s">
        <v>3514</v>
      </c>
      <c r="D48" s="70"/>
      <c r="E48" s="99" t="s">
        <v>3514</v>
      </c>
      <c r="F48" s="49"/>
      <c r="G48" s="100" t="s">
        <v>3514</v>
      </c>
      <c r="I48" s="101" t="e">
        <f ca="1">AI_LIQ_ETF(A44,DISP,ALL,90)</f>
        <v>#NAME?</v>
      </c>
      <c r="J48" s="96"/>
      <c r="M48" s="98"/>
      <c r="N48" s="99"/>
      <c r="O48" s="100"/>
      <c r="P48" s="162"/>
      <c r="Q48" s="20"/>
      <c r="T48" s="101" t="s">
        <v>1902</v>
      </c>
    </row>
    <row r="49" spans="1:20" s="101" customFormat="1" ht="15" customHeight="1" x14ac:dyDescent="0.25">
      <c r="A49" s="20" t="s">
        <v>3286</v>
      </c>
      <c r="B49" s="97"/>
      <c r="C49" s="98" t="s">
        <v>3515</v>
      </c>
      <c r="D49" s="70"/>
      <c r="E49" s="99" t="s">
        <v>3515</v>
      </c>
      <c r="F49" s="49"/>
      <c r="G49" s="100" t="s">
        <v>3515</v>
      </c>
      <c r="I49" s="101" t="e">
        <f ca="1">AI_LIQ_ETF(A46,DISP,ALL,92)</f>
        <v>#NAME?</v>
      </c>
      <c r="J49" s="96"/>
      <c r="M49" s="98"/>
      <c r="N49" s="99"/>
      <c r="O49" s="100"/>
      <c r="P49" s="162"/>
      <c r="Q49" s="20"/>
      <c r="T49" s="101" t="s">
        <v>1902</v>
      </c>
    </row>
    <row r="50" spans="1:20" s="101" customFormat="1" ht="15" customHeight="1" x14ac:dyDescent="0.25">
      <c r="A50" s="20" t="s">
        <v>3294</v>
      </c>
      <c r="B50" s="97"/>
      <c r="C50" s="98"/>
      <c r="D50" s="70"/>
      <c r="E50" s="99"/>
      <c r="F50" s="49"/>
      <c r="G50" s="100"/>
      <c r="J50" s="96"/>
      <c r="M50" s="98"/>
      <c r="N50" s="99"/>
      <c r="O50" s="100"/>
      <c r="P50" s="162"/>
      <c r="Q50" s="20">
        <v>7</v>
      </c>
      <c r="R50" s="101">
        <v>7</v>
      </c>
      <c r="S50" s="101">
        <v>7</v>
      </c>
      <c r="T50" s="101" t="s">
        <v>1902</v>
      </c>
    </row>
    <row r="51" spans="1:20" s="101" customFormat="1" ht="15" customHeight="1" x14ac:dyDescent="0.25">
      <c r="A51" s="20" t="s">
        <v>2768</v>
      </c>
      <c r="B51" s="97"/>
      <c r="C51" s="98" t="s">
        <v>3505</v>
      </c>
      <c r="D51" s="70"/>
      <c r="E51" s="99" t="s">
        <v>3505</v>
      </c>
      <c r="F51" s="49"/>
      <c r="G51" s="100" t="s">
        <v>3505</v>
      </c>
      <c r="I51" s="101" t="e">
        <f ca="1">AI_LIQ(Assets!$A$24,DISP,ALL,85,91)</f>
        <v>#NAME?</v>
      </c>
      <c r="M51" s="98"/>
      <c r="N51" s="99"/>
      <c r="O51" s="100"/>
      <c r="P51" s="162"/>
      <c r="Q51" s="20"/>
    </row>
    <row r="52" spans="1:20" s="101" customFormat="1" ht="15" customHeight="1" x14ac:dyDescent="0.25">
      <c r="A52" s="20" t="s">
        <v>1801</v>
      </c>
      <c r="B52" s="97"/>
      <c r="C52" s="98"/>
      <c r="D52" s="70"/>
      <c r="E52" s="99"/>
      <c r="F52" s="49"/>
      <c r="G52" s="100"/>
      <c r="M52" s="98"/>
      <c r="N52" s="99"/>
      <c r="O52" s="100"/>
      <c r="P52" s="162"/>
      <c r="Q52" s="20"/>
    </row>
    <row r="53" spans="1:20" s="10" customFormat="1" ht="15" customHeight="1" x14ac:dyDescent="0.25">
      <c r="A53" s="12" t="s">
        <v>2408</v>
      </c>
      <c r="B53" s="199"/>
      <c r="C53" s="13"/>
      <c r="D53" s="244"/>
      <c r="E53" s="244"/>
      <c r="F53" s="45"/>
      <c r="G53" s="7"/>
      <c r="J53" s="197"/>
      <c r="M53" s="11"/>
      <c r="N53" s="14"/>
      <c r="O53" s="15"/>
      <c r="P53" s="163"/>
      <c r="Q53" s="10">
        <v>2</v>
      </c>
    </row>
    <row r="54" spans="1:20" s="101" customFormat="1" ht="15" customHeight="1" x14ac:dyDescent="0.25">
      <c r="A54" s="20" t="s">
        <v>3291</v>
      </c>
      <c r="B54" s="97"/>
      <c r="C54" s="98"/>
      <c r="D54" s="70"/>
      <c r="E54" s="99"/>
      <c r="F54" s="49"/>
      <c r="G54" s="100"/>
      <c r="M54" s="98"/>
      <c r="N54" s="99"/>
      <c r="O54" s="100"/>
      <c r="P54" s="162"/>
      <c r="Q54" s="20">
        <v>7</v>
      </c>
    </row>
    <row r="55" spans="1:20" ht="15" customHeight="1" x14ac:dyDescent="0.25">
      <c r="A55" s="48" t="s">
        <v>2746</v>
      </c>
      <c r="B55" s="50"/>
      <c r="C55" s="50"/>
      <c r="D55" s="70"/>
      <c r="E55" s="70"/>
      <c r="F55" s="49"/>
      <c r="G55" s="49"/>
      <c r="H55" s="48"/>
      <c r="I55" s="48"/>
      <c r="J55" s="48"/>
      <c r="K55" s="48"/>
      <c r="L55" s="48"/>
      <c r="M55" s="50"/>
      <c r="N55" s="70"/>
      <c r="O55" s="49"/>
      <c r="P55" s="245"/>
    </row>
    <row r="56" spans="1:20" ht="15" customHeight="1" x14ac:dyDescent="0.2">
      <c r="A56" s="101" t="s">
        <v>3287</v>
      </c>
      <c r="B56" s="98"/>
      <c r="C56" s="98"/>
      <c r="D56" s="99"/>
      <c r="E56" s="99"/>
      <c r="F56" s="100"/>
      <c r="G56" s="100"/>
      <c r="H56" s="101"/>
      <c r="I56" s="101"/>
      <c r="J56" s="101"/>
      <c r="K56" s="101"/>
      <c r="L56" s="101"/>
      <c r="M56" s="98"/>
      <c r="N56" s="99"/>
      <c r="O56" s="100"/>
      <c r="P56" s="162"/>
      <c r="Q56" s="243">
        <v>1</v>
      </c>
    </row>
    <row r="57" spans="1:20" ht="15" customHeight="1" x14ac:dyDescent="0.25">
      <c r="A57" s="48" t="s">
        <v>2832</v>
      </c>
      <c r="B57" s="50"/>
      <c r="C57" s="50"/>
      <c r="D57" s="70"/>
      <c r="E57" s="70"/>
      <c r="F57" s="49"/>
      <c r="G57" s="49"/>
      <c r="H57" s="48"/>
      <c r="I57" s="48"/>
      <c r="J57" s="48"/>
      <c r="K57" s="48"/>
      <c r="L57" s="48"/>
      <c r="M57" s="50"/>
      <c r="N57" s="70"/>
      <c r="O57" s="49"/>
      <c r="P57" s="245"/>
    </row>
    <row r="58" spans="1:20" ht="15" customHeight="1" x14ac:dyDescent="0.2">
      <c r="A58" s="101" t="s">
        <v>3288</v>
      </c>
      <c r="B58" s="98"/>
      <c r="C58" s="98"/>
      <c r="D58" s="99"/>
      <c r="E58" s="99"/>
      <c r="F58" s="100"/>
      <c r="G58" s="100"/>
      <c r="H58" s="101"/>
      <c r="I58" s="101"/>
      <c r="J58" s="101"/>
      <c r="K58" s="101"/>
      <c r="L58" s="101"/>
      <c r="M58" s="98"/>
      <c r="N58" s="99"/>
      <c r="O58" s="100"/>
      <c r="P58" s="162"/>
      <c r="Q58" s="243">
        <v>1</v>
      </c>
    </row>
    <row r="59" spans="1:20" ht="15" customHeight="1" x14ac:dyDescent="0.2">
      <c r="A59" s="101" t="s">
        <v>3290</v>
      </c>
      <c r="B59" s="98"/>
      <c r="C59" s="98"/>
      <c r="D59" s="99"/>
      <c r="E59" s="99"/>
      <c r="F59" s="100"/>
      <c r="G59" s="100"/>
      <c r="H59" s="101"/>
      <c r="I59" s="101"/>
      <c r="J59" s="101"/>
      <c r="K59" s="101"/>
      <c r="L59" s="101"/>
      <c r="M59" s="98"/>
      <c r="N59" s="99"/>
      <c r="O59" s="100"/>
      <c r="P59" s="162"/>
    </row>
    <row r="60" spans="1:20" ht="15" customHeight="1" x14ac:dyDescent="0.2">
      <c r="A60" s="101" t="s">
        <v>3289</v>
      </c>
      <c r="B60" s="98"/>
      <c r="C60" s="98"/>
      <c r="D60" s="99"/>
      <c r="E60" s="99"/>
      <c r="F60" s="100"/>
      <c r="G60" s="100"/>
      <c r="H60" s="101"/>
      <c r="I60" s="101"/>
      <c r="J60" s="101"/>
      <c r="K60" s="101"/>
      <c r="L60" s="101"/>
      <c r="M60" s="98"/>
      <c r="N60" s="99"/>
      <c r="O60" s="100"/>
      <c r="P60" s="162"/>
    </row>
  </sheetData>
  <autoFilter ref="A2:AA60" xr:uid="{00000000-0009-0000-0000-00000F000000}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A63"/>
  <sheetViews>
    <sheetView topLeftCell="A22" zoomScale="80" zoomScaleNormal="80" workbookViewId="0">
      <selection activeCell="R16" sqref="R16"/>
    </sheetView>
  </sheetViews>
  <sheetFormatPr defaultRowHeight="15" customHeight="1" x14ac:dyDescent="0.2"/>
  <cols>
    <col min="1" max="1" width="50.7109375" style="243" customWidth="1"/>
    <col min="2" max="7" width="9.140625" style="243"/>
    <col min="8" max="9" width="11.140625" style="243" customWidth="1"/>
    <col min="10" max="16384" width="9.140625" style="243"/>
  </cols>
  <sheetData>
    <row r="2" spans="1:27" s="20" customFormat="1" ht="15" customHeight="1" x14ac:dyDescent="0.25">
      <c r="A2" s="20" t="s">
        <v>1774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J2" s="20" t="s">
        <v>1884</v>
      </c>
      <c r="K2" s="20" t="s">
        <v>1885</v>
      </c>
      <c r="L2" s="20" t="s">
        <v>1886</v>
      </c>
      <c r="M2" s="22"/>
      <c r="N2" s="26"/>
      <c r="O2" s="29"/>
      <c r="P2" s="48"/>
      <c r="Q2" s="48"/>
    </row>
    <row r="3" spans="1:27" s="101" customFormat="1" ht="15" customHeight="1" x14ac:dyDescent="0.25">
      <c r="A3" s="46" t="s">
        <v>1880</v>
      </c>
      <c r="B3" s="75"/>
      <c r="C3" s="98"/>
      <c r="D3" s="70" t="s">
        <v>171</v>
      </c>
      <c r="E3" s="99"/>
      <c r="F3" s="49" t="s">
        <v>172</v>
      </c>
      <c r="G3" s="100"/>
      <c r="J3" s="77" t="s">
        <v>1882</v>
      </c>
      <c r="K3" s="101" t="s">
        <v>1883</v>
      </c>
      <c r="L3" s="101">
        <v>120</v>
      </c>
      <c r="M3" s="98">
        <v>3</v>
      </c>
      <c r="N3" s="99">
        <v>3</v>
      </c>
      <c r="O3" s="100">
        <v>3</v>
      </c>
      <c r="P3" s="162"/>
      <c r="V3" s="101">
        <v>3</v>
      </c>
    </row>
    <row r="4" spans="1:27" s="101" customFormat="1" ht="15" customHeight="1" x14ac:dyDescent="0.25">
      <c r="A4" s="20" t="s">
        <v>1768</v>
      </c>
      <c r="B4" s="97" t="s">
        <v>2445</v>
      </c>
      <c r="C4" s="98" t="s">
        <v>2520</v>
      </c>
      <c r="D4" s="70" t="s">
        <v>2445</v>
      </c>
      <c r="E4" s="99" t="s">
        <v>2520</v>
      </c>
      <c r="F4" s="49" t="s">
        <v>2445</v>
      </c>
      <c r="G4" s="100" t="s">
        <v>2520</v>
      </c>
      <c r="H4" s="101" t="e">
        <f ca="1">AI_SET_DF('E10'!A4)</f>
        <v>#NAME?</v>
      </c>
      <c r="I4" s="101" t="e">
        <f ca="1">AI_DIFF(Liq_Acq!A4,Liq_Disp!A4)</f>
        <v>#NAME?</v>
      </c>
      <c r="J4" s="77" t="s">
        <v>1901</v>
      </c>
      <c r="K4" s="101" t="s">
        <v>2503</v>
      </c>
      <c r="L4" s="101">
        <v>38</v>
      </c>
      <c r="M4" s="98">
        <v>7</v>
      </c>
      <c r="N4" s="99">
        <v>7</v>
      </c>
      <c r="O4" s="100">
        <v>7</v>
      </c>
      <c r="P4" s="162" t="s">
        <v>1901</v>
      </c>
      <c r="Q4" s="46"/>
      <c r="R4" s="31" t="s">
        <v>3245</v>
      </c>
      <c r="S4" s="101" t="e">
        <f ca="1">AI_DIFF(Liq_Acq!K4,Liq_Disp!K4)</f>
        <v>#NAME?</v>
      </c>
      <c r="T4" s="101" t="e">
        <f ca="1">AI_SET_DF(Liq_Acq!L4)</f>
        <v>#NAME?</v>
      </c>
      <c r="U4" s="101" t="e">
        <f ca="1">AI_SET_DF(Liq_Disp!M4)</f>
        <v>#NAME?</v>
      </c>
      <c r="V4" s="79">
        <v>7</v>
      </c>
      <c r="W4" s="102"/>
    </row>
    <row r="5" spans="1:27" s="101" customFormat="1" ht="15" customHeight="1" x14ac:dyDescent="0.25">
      <c r="A5" s="20" t="s">
        <v>2515</v>
      </c>
      <c r="B5" s="97" t="s">
        <v>2522</v>
      </c>
      <c r="C5" s="98" t="s">
        <v>2521</v>
      </c>
      <c r="D5" s="70" t="s">
        <v>2522</v>
      </c>
      <c r="E5" s="99" t="s">
        <v>2521</v>
      </c>
      <c r="F5" s="49" t="s">
        <v>2522</v>
      </c>
      <c r="G5" s="100" t="s">
        <v>2521</v>
      </c>
      <c r="H5" s="101" t="e">
        <f ca="1">AI_SET_DF('E10'!A9)</f>
        <v>#NAME?</v>
      </c>
      <c r="I5" s="101" t="e">
        <f ca="1">AI_DIFF(Liq_Acq!A5,Liq_Disp!A5)</f>
        <v>#NAME?</v>
      </c>
      <c r="J5" s="77"/>
      <c r="M5" s="98"/>
      <c r="N5" s="99"/>
      <c r="O5" s="100"/>
      <c r="P5" s="162"/>
      <c r="Q5" s="46"/>
      <c r="R5" s="31" t="s">
        <v>3245</v>
      </c>
      <c r="S5" s="101" t="e">
        <f ca="1">AI_DIFF(Liq_Acq!K5,Liq_Disp!K5)</f>
        <v>#NAME?</v>
      </c>
      <c r="T5" s="101" t="e">
        <f ca="1">AI_SET_DF(Liq_Acq!L5)</f>
        <v>#NAME?</v>
      </c>
      <c r="U5" s="101" t="e">
        <f ca="1">AI_SET_DF(Liq_Disp!M5)</f>
        <v>#NAME?</v>
      </c>
      <c r="V5" s="79"/>
      <c r="W5" s="102"/>
    </row>
    <row r="6" spans="1:27" s="101" customFormat="1" ht="15" customHeight="1" x14ac:dyDescent="0.25">
      <c r="A6" s="20" t="s">
        <v>3260</v>
      </c>
      <c r="B6" s="97" t="s">
        <v>2517</v>
      </c>
      <c r="C6" s="98" t="s">
        <v>3519</v>
      </c>
      <c r="D6" s="70" t="s">
        <v>2517</v>
      </c>
      <c r="E6" s="99" t="s">
        <v>3519</v>
      </c>
      <c r="F6" s="49" t="s">
        <v>2517</v>
      </c>
      <c r="G6" s="100" t="s">
        <v>3519</v>
      </c>
      <c r="H6" s="101" t="e">
        <f ca="1">AI_IG(A5,EM,6)</f>
        <v>#NAME?</v>
      </c>
      <c r="I6" s="101" t="e">
        <f ca="1">AI_DIFF(Liq_Acq!A6,Liq_Disp!A6)</f>
        <v>#NAME?</v>
      </c>
      <c r="J6" s="77"/>
      <c r="M6" s="98"/>
      <c r="N6" s="99"/>
      <c r="O6" s="100"/>
      <c r="P6" s="162"/>
      <c r="Q6" s="46"/>
      <c r="R6" s="31" t="s">
        <v>3246</v>
      </c>
      <c r="S6" s="101" t="e">
        <f ca="1">AI_DIFF(Liq_Acq!K6,Liq_Disp!K6)</f>
        <v>#NAME?</v>
      </c>
      <c r="T6" s="101" t="e">
        <f ca="1">AI_SET_DF(Liq_Acq!L6)</f>
        <v>#NAME?</v>
      </c>
      <c r="U6" s="101" t="e">
        <f ca="1">AI_SET_DF(Liq_Disp!M6)</f>
        <v>#NAME?</v>
      </c>
      <c r="V6" s="79"/>
      <c r="W6" s="102"/>
    </row>
    <row r="7" spans="1:27" s="101" customFormat="1" ht="15" customHeight="1" x14ac:dyDescent="0.25">
      <c r="A7" s="20" t="s">
        <v>3261</v>
      </c>
      <c r="B7" s="97" t="s">
        <v>2518</v>
      </c>
      <c r="C7" s="98" t="s">
        <v>3520</v>
      </c>
      <c r="D7" s="70" t="s">
        <v>2518</v>
      </c>
      <c r="E7" s="99" t="s">
        <v>3520</v>
      </c>
      <c r="F7" s="49" t="s">
        <v>2518</v>
      </c>
      <c r="G7" s="100" t="s">
        <v>3520</v>
      </c>
      <c r="H7" s="101" t="e">
        <f ca="1">AI_HY(A5,EM,6)</f>
        <v>#NAME?</v>
      </c>
      <c r="I7" s="101" t="e">
        <f ca="1">AI_DIFF(Liq_Acq!A7,Liq_Disp!A7)</f>
        <v>#NAME?</v>
      </c>
      <c r="J7" s="77"/>
      <c r="M7" s="98"/>
      <c r="N7" s="99"/>
      <c r="O7" s="100"/>
      <c r="P7" s="162"/>
      <c r="Q7" s="46"/>
      <c r="R7" s="31" t="s">
        <v>3246</v>
      </c>
      <c r="S7" s="101" t="e">
        <f ca="1">AI_DIFF(Liq_Acq!K7,Liq_Disp!K7)</f>
        <v>#NAME?</v>
      </c>
      <c r="T7" s="101" t="e">
        <f ca="1">AI_SET_DF(Liq_Acq!L7)</f>
        <v>#NAME?</v>
      </c>
      <c r="U7" s="101" t="e">
        <f ca="1">AI_SET_DF(Liq_Disp!M7)</f>
        <v>#NAME?</v>
      </c>
      <c r="V7" s="79"/>
      <c r="W7" s="102"/>
    </row>
    <row r="8" spans="1:27" s="101" customFormat="1" ht="15" customHeight="1" x14ac:dyDescent="0.25">
      <c r="A8" s="20" t="s">
        <v>3262</v>
      </c>
      <c r="B8" s="97" t="s">
        <v>2519</v>
      </c>
      <c r="C8" s="98" t="s">
        <v>3521</v>
      </c>
      <c r="D8" s="70" t="s">
        <v>2519</v>
      </c>
      <c r="E8" s="99" t="s">
        <v>3521</v>
      </c>
      <c r="F8" s="49" t="s">
        <v>2519</v>
      </c>
      <c r="G8" s="100" t="s">
        <v>3521</v>
      </c>
      <c r="H8" s="101" t="e">
        <f ca="1">AI_SUM(A6,A7)</f>
        <v>#NAME?</v>
      </c>
      <c r="I8" s="101" t="e">
        <f ca="1">AI_DIFF(Liq_Acq!A8,Liq_Disp!A8)</f>
        <v>#NAME?</v>
      </c>
      <c r="J8" s="77"/>
      <c r="M8" s="98">
        <v>7</v>
      </c>
      <c r="N8" s="99">
        <v>7</v>
      </c>
      <c r="O8" s="100">
        <v>7</v>
      </c>
      <c r="P8" s="162" t="s">
        <v>1901</v>
      </c>
      <c r="Q8" s="46"/>
      <c r="R8" s="31"/>
      <c r="S8" s="101" t="e">
        <f ca="1">AI_DIFF(Liq_Acq!K8,Liq_Disp!K8)</f>
        <v>#NAME?</v>
      </c>
      <c r="T8" s="101" t="e">
        <f ca="1">AI_SET_DF(Liq_Acq!L8)</f>
        <v>#NAME?</v>
      </c>
      <c r="U8" s="101" t="e">
        <f ca="1">AI_SET_DF(Liq_Disp!M8)</f>
        <v>#NAME?</v>
      </c>
      <c r="V8" s="79">
        <v>7</v>
      </c>
      <c r="W8" s="102"/>
    </row>
    <row r="9" spans="1:27" s="101" customFormat="1" ht="15" customHeight="1" x14ac:dyDescent="0.25">
      <c r="A9" s="20" t="s">
        <v>2523</v>
      </c>
      <c r="B9" s="97" t="s">
        <v>2521</v>
      </c>
      <c r="C9" s="98" t="s">
        <v>3522</v>
      </c>
      <c r="D9" s="70" t="s">
        <v>2521</v>
      </c>
      <c r="E9" s="99" t="s">
        <v>3522</v>
      </c>
      <c r="F9" s="49" t="s">
        <v>2521</v>
      </c>
      <c r="G9" s="100" t="s">
        <v>3522</v>
      </c>
      <c r="H9" s="101" t="e">
        <f ca="1">AI_DIFF(A5,A8)</f>
        <v>#NAME?</v>
      </c>
      <c r="I9" s="101" t="e">
        <f ca="1">AI_DIFF(Liq_Acq!A9,Liq_Disp!A9)</f>
        <v>#NAME?</v>
      </c>
      <c r="J9" s="96"/>
      <c r="M9" s="98">
        <v>7</v>
      </c>
      <c r="N9" s="99">
        <v>7</v>
      </c>
      <c r="O9" s="100">
        <v>7</v>
      </c>
      <c r="P9" s="162" t="s">
        <v>1901</v>
      </c>
      <c r="Q9" s="20"/>
      <c r="R9" s="30" t="s">
        <v>3245</v>
      </c>
      <c r="S9" s="101" t="e">
        <f ca="1">AI_DIFF(Liq_Acq!K9,Liq_Disp!K9)</f>
        <v>#NAME?</v>
      </c>
      <c r="T9" s="101" t="e">
        <f ca="1">AI_SET_DF(Liq_Acq!L9)</f>
        <v>#NAME?</v>
      </c>
      <c r="U9" s="101" t="e">
        <f ca="1">AI_SET_DF(Liq_Disp!M9)</f>
        <v>#NAME?</v>
      </c>
      <c r="V9" s="79">
        <v>7</v>
      </c>
      <c r="W9" s="102"/>
    </row>
    <row r="10" spans="1:27" s="101" customFormat="1" ht="15" customHeight="1" x14ac:dyDescent="0.25">
      <c r="A10" s="20" t="s">
        <v>3263</v>
      </c>
      <c r="B10" s="97" t="s">
        <v>1849</v>
      </c>
      <c r="C10" s="98" t="s">
        <v>3523</v>
      </c>
      <c r="D10" s="70" t="s">
        <v>1849</v>
      </c>
      <c r="E10" s="99" t="s">
        <v>3523</v>
      </c>
      <c r="F10" s="49" t="s">
        <v>1849</v>
      </c>
      <c r="G10" s="100" t="s">
        <v>3523</v>
      </c>
      <c r="H10" s="101" t="e">
        <f ca="1">AI_IG(A19,US,32)</f>
        <v>#NAME?</v>
      </c>
      <c r="I10" s="101" t="e">
        <f ca="1">AI_DIFF(Liq_Acq!A10,Liq_Disp!A10)</f>
        <v>#NAME?</v>
      </c>
      <c r="J10" s="96"/>
      <c r="M10" s="98">
        <v>5</v>
      </c>
      <c r="N10" s="99">
        <v>5</v>
      </c>
      <c r="O10" s="100">
        <v>5</v>
      </c>
      <c r="P10" s="162" t="s">
        <v>1901</v>
      </c>
      <c r="Q10" s="20"/>
      <c r="R10" s="30"/>
      <c r="S10" s="101" t="e">
        <f ca="1">AI_DIFF(Liq_Acq!K10,Liq_Disp!K10)</f>
        <v>#NAME?</v>
      </c>
      <c r="T10" s="101" t="e">
        <f ca="1">AI_SET_DF(Liq_Acq!L10)</f>
        <v>#NAME?</v>
      </c>
      <c r="U10" s="101" t="e">
        <f ca="1">AI_SET_DF(Liq_Disp!M10)</f>
        <v>#NAME?</v>
      </c>
      <c r="V10" s="79">
        <v>5</v>
      </c>
      <c r="W10" s="102"/>
    </row>
    <row r="11" spans="1:27" s="101" customFormat="1" ht="15" customHeight="1" x14ac:dyDescent="0.25">
      <c r="A11" s="20" t="s">
        <v>3264</v>
      </c>
      <c r="B11" s="97" t="s">
        <v>1850</v>
      </c>
      <c r="C11" s="98" t="s">
        <v>3524</v>
      </c>
      <c r="D11" s="70" t="s">
        <v>1850</v>
      </c>
      <c r="E11" s="99" t="s">
        <v>3524</v>
      </c>
      <c r="F11" s="49" t="s">
        <v>1850</v>
      </c>
      <c r="G11" s="100" t="s">
        <v>3524</v>
      </c>
      <c r="H11" s="101" t="e">
        <f ca="1">AI_HY(A19,US,32)</f>
        <v>#NAME?</v>
      </c>
      <c r="I11" s="101" t="e">
        <f ca="1">AI_DIFF(Liq_Acq!A11,Liq_Disp!A11)</f>
        <v>#NAME?</v>
      </c>
      <c r="J11" s="96"/>
      <c r="M11" s="98">
        <v>7</v>
      </c>
      <c r="N11" s="99">
        <v>7</v>
      </c>
      <c r="O11" s="100">
        <v>7</v>
      </c>
      <c r="P11" s="162" t="s">
        <v>1901</v>
      </c>
      <c r="Q11" s="20"/>
      <c r="R11" s="30"/>
      <c r="S11" s="101" t="e">
        <f ca="1">AI_DIFF(Liq_Acq!K11,Liq_Disp!K11)</f>
        <v>#NAME?</v>
      </c>
      <c r="T11" s="101" t="e">
        <f ca="1">AI_SET_DF(Liq_Acq!L11)</f>
        <v>#NAME?</v>
      </c>
      <c r="U11" s="101" t="e">
        <f ca="1">AI_SET_DF(Liq_Disp!M11)</f>
        <v>#NAME?</v>
      </c>
      <c r="V11" s="79">
        <v>7</v>
      </c>
      <c r="W11" s="102"/>
    </row>
    <row r="12" spans="1:27" s="101" customFormat="1" ht="15" customHeight="1" x14ac:dyDescent="0.25">
      <c r="A12" s="20" t="s">
        <v>3265</v>
      </c>
      <c r="B12" s="97" t="s">
        <v>1775</v>
      </c>
      <c r="C12" s="98" t="s">
        <v>3525</v>
      </c>
      <c r="D12" s="70" t="s">
        <v>1775</v>
      </c>
      <c r="E12" s="99" t="s">
        <v>3525</v>
      </c>
      <c r="F12" s="49" t="s">
        <v>1775</v>
      </c>
      <c r="G12" s="100" t="s">
        <v>3525</v>
      </c>
      <c r="H12" s="101" t="e">
        <f ca="1">AI_SUM(A11,A10)</f>
        <v>#NAME?</v>
      </c>
      <c r="I12" s="101" t="e">
        <f ca="1">AI_DIFF(Liq_Acq!A12,Liq_Disp!A12)</f>
        <v>#NAME?</v>
      </c>
      <c r="J12" s="96"/>
      <c r="M12" s="98">
        <v>7</v>
      </c>
      <c r="N12" s="99">
        <v>7</v>
      </c>
      <c r="O12" s="100">
        <v>7</v>
      </c>
      <c r="P12" s="162" t="s">
        <v>1901</v>
      </c>
      <c r="Q12" s="20"/>
      <c r="R12" s="30"/>
      <c r="S12" s="101" t="e">
        <f ca="1">AI_DIFF(Liq_Acq!K12,Liq_Disp!K12)</f>
        <v>#NAME?</v>
      </c>
      <c r="T12" s="101" t="e">
        <f ca="1">AI_SET_DF(Liq_Acq!L12)</f>
        <v>#NAME?</v>
      </c>
      <c r="U12" s="101" t="e">
        <f ca="1">AI_SET_DF(Liq_Disp!M12)</f>
        <v>#NAME?</v>
      </c>
      <c r="V12" s="79">
        <v>7</v>
      </c>
      <c r="W12" s="102"/>
    </row>
    <row r="13" spans="1:27" s="101" customFormat="1" ht="15" customHeight="1" x14ac:dyDescent="0.25">
      <c r="A13" s="20" t="s">
        <v>3266</v>
      </c>
      <c r="B13" s="97" t="s">
        <v>1851</v>
      </c>
      <c r="C13" s="98" t="s">
        <v>3526</v>
      </c>
      <c r="D13" s="70" t="s">
        <v>1851</v>
      </c>
      <c r="E13" s="99" t="s">
        <v>3526</v>
      </c>
      <c r="F13" s="49" t="s">
        <v>1851</v>
      </c>
      <c r="G13" s="100" t="s">
        <v>3526</v>
      </c>
      <c r="H13" s="101" t="e">
        <f ca="1">AI_IG(A19,OTHER,32)</f>
        <v>#NAME?</v>
      </c>
      <c r="I13" s="101" t="e">
        <f ca="1">AI_DIFF(Liq_Acq!A13,Liq_Disp!A13)</f>
        <v>#NAME?</v>
      </c>
      <c r="J13" s="96"/>
      <c r="M13" s="98">
        <v>5</v>
      </c>
      <c r="N13" s="99">
        <v>5</v>
      </c>
      <c r="O13" s="100">
        <v>5</v>
      </c>
      <c r="P13" s="162" t="s">
        <v>1901</v>
      </c>
      <c r="Q13" s="20"/>
      <c r="R13" s="30"/>
      <c r="S13" s="101" t="e">
        <f ca="1">AI_DIFF(Liq_Acq!K13,Liq_Disp!K13)</f>
        <v>#NAME?</v>
      </c>
      <c r="T13" s="101" t="e">
        <f ca="1">AI_SET_DF(Liq_Acq!L13)</f>
        <v>#NAME?</v>
      </c>
      <c r="U13" s="101" t="e">
        <f ca="1">AI_SET_DF(Liq_Disp!M13)</f>
        <v>#NAME?</v>
      </c>
      <c r="V13" s="79">
        <v>5</v>
      </c>
      <c r="W13" s="102"/>
    </row>
    <row r="14" spans="1:27" s="101" customFormat="1" ht="15" customHeight="1" x14ac:dyDescent="0.25">
      <c r="A14" s="20" t="s">
        <v>3267</v>
      </c>
      <c r="B14" s="97" t="s">
        <v>1852</v>
      </c>
      <c r="C14" s="98" t="s">
        <v>3527</v>
      </c>
      <c r="D14" s="70" t="s">
        <v>1852</v>
      </c>
      <c r="E14" s="99" t="s">
        <v>3527</v>
      </c>
      <c r="F14" s="49" t="s">
        <v>1852</v>
      </c>
      <c r="G14" s="100" t="s">
        <v>3527</v>
      </c>
      <c r="H14" s="101" t="e">
        <f ca="1">AI_HY(A19,OTHER,32)</f>
        <v>#NAME?</v>
      </c>
      <c r="I14" s="101" t="e">
        <f ca="1">AI_DIFF(Liq_Acq!A14,Liq_Disp!A14)</f>
        <v>#NAME?</v>
      </c>
      <c r="J14" s="96"/>
      <c r="M14" s="98">
        <v>5</v>
      </c>
      <c r="N14" s="99">
        <v>5</v>
      </c>
      <c r="O14" s="100">
        <v>5</v>
      </c>
      <c r="P14" s="162" t="s">
        <v>1901</v>
      </c>
      <c r="Q14" s="20"/>
      <c r="R14" s="30"/>
      <c r="S14" s="101" t="e">
        <f ca="1">AI_DIFF(Liq_Acq!K14,Liq_Disp!K14)</f>
        <v>#NAME?</v>
      </c>
      <c r="T14" s="101" t="e">
        <f ca="1">AI_SET_DF(Liq_Acq!L14)</f>
        <v>#NAME?</v>
      </c>
      <c r="U14" s="101" t="e">
        <f ca="1">AI_SET_DF(Liq_Disp!M14)</f>
        <v>#NAME?</v>
      </c>
      <c r="V14" s="79">
        <v>5</v>
      </c>
      <c r="W14" s="102"/>
    </row>
    <row r="15" spans="1:27" s="101" customFormat="1" ht="15" customHeight="1" x14ac:dyDescent="0.25">
      <c r="A15" s="20" t="s">
        <v>3268</v>
      </c>
      <c r="B15" s="97" t="s">
        <v>1802</v>
      </c>
      <c r="C15" s="98" t="s">
        <v>3528</v>
      </c>
      <c r="D15" s="70" t="s">
        <v>1802</v>
      </c>
      <c r="E15" s="99" t="s">
        <v>3528</v>
      </c>
      <c r="F15" s="49" t="s">
        <v>1802</v>
      </c>
      <c r="G15" s="100" t="s">
        <v>3528</v>
      </c>
      <c r="H15" s="101" t="e">
        <f ca="1">AI_SUM(A14,A13)</f>
        <v>#NAME?</v>
      </c>
      <c r="I15" s="101" t="e">
        <f ca="1">AI_DIFF(Liq_Acq!A15,Liq_Disp!A15)</f>
        <v>#NAME?</v>
      </c>
      <c r="J15" s="96"/>
      <c r="M15" s="98">
        <v>7</v>
      </c>
      <c r="N15" s="99">
        <v>7</v>
      </c>
      <c r="O15" s="100">
        <v>7</v>
      </c>
      <c r="P15" s="162" t="s">
        <v>1901</v>
      </c>
      <c r="Q15" s="20"/>
      <c r="R15" s="30"/>
      <c r="S15" s="101" t="e">
        <f ca="1">AI_DIFF(Liq_Acq!K15,Liq_Disp!K15)</f>
        <v>#NAME?</v>
      </c>
      <c r="T15" s="101" t="e">
        <f ca="1">AI_SET_DF(Liq_Acq!L15)</f>
        <v>#NAME?</v>
      </c>
      <c r="U15" s="101" t="e">
        <f ca="1">AI_SET_DF(Liq_Disp!M15)</f>
        <v>#NAME?</v>
      </c>
      <c r="V15" s="79">
        <v>7</v>
      </c>
      <c r="W15" s="102"/>
    </row>
    <row r="16" spans="1:27" s="101" customFormat="1" ht="15" customHeight="1" x14ac:dyDescent="0.25">
      <c r="A16" s="20" t="s">
        <v>3269</v>
      </c>
      <c r="B16" s="97" t="s">
        <v>2513</v>
      </c>
      <c r="C16" s="98" t="s">
        <v>3529</v>
      </c>
      <c r="D16" s="70" t="s">
        <v>2513</v>
      </c>
      <c r="E16" s="99" t="s">
        <v>3529</v>
      </c>
      <c r="F16" s="49" t="s">
        <v>2513</v>
      </c>
      <c r="G16" s="100" t="s">
        <v>3529</v>
      </c>
      <c r="H16" s="101" t="e">
        <f ca="1">AI_IG(A19,EM,32)</f>
        <v>#NAME?</v>
      </c>
      <c r="I16" s="101" t="e">
        <f ca="1">AI_DIFF(Liq_Acq!A16,Liq_Disp!A16)</f>
        <v>#NAME?</v>
      </c>
      <c r="J16" s="96"/>
      <c r="M16" s="98">
        <v>5</v>
      </c>
      <c r="N16" s="99">
        <v>5</v>
      </c>
      <c r="O16" s="100">
        <v>5</v>
      </c>
      <c r="P16" s="162" t="s">
        <v>1901</v>
      </c>
      <c r="Q16" s="20"/>
      <c r="R16" s="30"/>
      <c r="S16" s="101" t="e">
        <f ca="1">AI_DIFF(Liq_Acq!K16,Liq_Disp!K16)</f>
        <v>#NAME?</v>
      </c>
      <c r="T16" s="101" t="e">
        <f ca="1">AI_SET_DF(Liq_Acq!L16)</f>
        <v>#NAME?</v>
      </c>
      <c r="U16" s="101" t="e">
        <f ca="1">AI_SET_DF(Liq_Disp!M16)</f>
        <v>#NAME?</v>
      </c>
      <c r="V16" s="79">
        <v>5</v>
      </c>
      <c r="W16" s="102"/>
      <c r="X16" s="79"/>
      <c r="Y16" s="102"/>
      <c r="Z16" s="102"/>
      <c r="AA16" s="102"/>
    </row>
    <row r="17" spans="1:27" s="101" customFormat="1" ht="15" customHeight="1" x14ac:dyDescent="0.25">
      <c r="A17" s="20" t="s">
        <v>3270</v>
      </c>
      <c r="B17" s="97" t="s">
        <v>2514</v>
      </c>
      <c r="C17" s="98" t="s">
        <v>3530</v>
      </c>
      <c r="D17" s="70" t="s">
        <v>2514</v>
      </c>
      <c r="E17" s="99" t="s">
        <v>3530</v>
      </c>
      <c r="F17" s="49" t="s">
        <v>2514</v>
      </c>
      <c r="G17" s="100" t="s">
        <v>3530</v>
      </c>
      <c r="H17" s="101" t="e">
        <f ca="1">AI_HY(A19,EM,32)</f>
        <v>#NAME?</v>
      </c>
      <c r="I17" s="101" t="e">
        <f ca="1">AI_DIFF(Liq_Acq!A17,Liq_Disp!A17)</f>
        <v>#NAME?</v>
      </c>
      <c r="J17" s="96"/>
      <c r="M17" s="98">
        <v>5</v>
      </c>
      <c r="N17" s="99">
        <v>5</v>
      </c>
      <c r="O17" s="100">
        <v>5</v>
      </c>
      <c r="P17" s="162" t="s">
        <v>1901</v>
      </c>
      <c r="Q17" s="20"/>
      <c r="R17" s="30"/>
      <c r="S17" s="101" t="e">
        <f ca="1">AI_DIFF(Liq_Acq!K17,Liq_Disp!K17)</f>
        <v>#NAME?</v>
      </c>
      <c r="T17" s="101" t="e">
        <f ca="1">AI_SET_DF(Liq_Acq!L17)</f>
        <v>#NAME?</v>
      </c>
      <c r="U17" s="101" t="e">
        <f ca="1">AI_SET_DF(Liq_Disp!M17)</f>
        <v>#NAME?</v>
      </c>
      <c r="V17" s="79">
        <v>5</v>
      </c>
      <c r="W17" s="102"/>
      <c r="X17" s="79"/>
      <c r="Y17" s="102"/>
      <c r="Z17" s="102"/>
      <c r="AA17" s="102"/>
    </row>
    <row r="18" spans="1:27" s="101" customFormat="1" ht="15" customHeight="1" x14ac:dyDescent="0.25">
      <c r="A18" s="20" t="s">
        <v>3271</v>
      </c>
      <c r="B18" s="97" t="s">
        <v>2399</v>
      </c>
      <c r="C18" s="98" t="s">
        <v>3531</v>
      </c>
      <c r="D18" s="70" t="s">
        <v>2399</v>
      </c>
      <c r="E18" s="99" t="s">
        <v>3531</v>
      </c>
      <c r="F18" s="49" t="s">
        <v>2399</v>
      </c>
      <c r="G18" s="100" t="s">
        <v>3531</v>
      </c>
      <c r="H18" s="101" t="e">
        <f ca="1">AI_SUM(A16,A17)</f>
        <v>#NAME?</v>
      </c>
      <c r="I18" s="101" t="e">
        <f ca="1">AI_DIFF(Liq_Acq!A18,Liq_Disp!A18)</f>
        <v>#NAME?</v>
      </c>
      <c r="J18" s="96"/>
      <c r="M18" s="98">
        <v>7</v>
      </c>
      <c r="N18" s="99">
        <v>7</v>
      </c>
      <c r="O18" s="100">
        <v>7</v>
      </c>
      <c r="P18" s="162" t="s">
        <v>1901</v>
      </c>
      <c r="Q18" s="20"/>
      <c r="R18" s="30"/>
      <c r="S18" s="101" t="e">
        <f ca="1">AI_DIFF(Liq_Acq!K18,Liq_Disp!K18)</f>
        <v>#NAME?</v>
      </c>
      <c r="T18" s="101" t="e">
        <f ca="1">AI_SET_DF(Liq_Acq!L18)</f>
        <v>#NAME?</v>
      </c>
      <c r="U18" s="101" t="e">
        <f ca="1">AI_SET_DF(Liq_Disp!M18)</f>
        <v>#NAME?</v>
      </c>
      <c r="V18" s="79">
        <v>7</v>
      </c>
      <c r="W18" s="102"/>
      <c r="X18" s="79"/>
      <c r="Y18" s="102"/>
      <c r="Z18" s="102"/>
      <c r="AA18" s="102"/>
    </row>
    <row r="19" spans="1:27" s="101" customFormat="1" ht="15" customHeight="1" x14ac:dyDescent="0.25">
      <c r="A19" s="20" t="s">
        <v>1803</v>
      </c>
      <c r="B19" s="97" t="s">
        <v>2455</v>
      </c>
      <c r="C19" s="98"/>
      <c r="D19" s="70" t="s">
        <v>2455</v>
      </c>
      <c r="E19" s="99"/>
      <c r="F19" s="49" t="s">
        <v>2455</v>
      </c>
      <c r="G19" s="100"/>
      <c r="H19" s="101" t="e">
        <f ca="1">AI_SET_DF('E10'!A29)</f>
        <v>#NAME?</v>
      </c>
      <c r="J19" s="96"/>
      <c r="M19" s="98"/>
      <c r="N19" s="99"/>
      <c r="O19" s="100"/>
      <c r="P19" s="162" t="s">
        <v>1901</v>
      </c>
      <c r="Q19" s="20"/>
      <c r="R19" s="30"/>
      <c r="V19" s="79">
        <v>5</v>
      </c>
      <c r="W19" s="102"/>
    </row>
    <row r="20" spans="1:27" ht="15" customHeight="1" x14ac:dyDescent="0.2">
      <c r="A20" s="101" t="s">
        <v>3283</v>
      </c>
      <c r="B20" s="98" t="s">
        <v>2524</v>
      </c>
      <c r="C20" s="98" t="s">
        <v>3532</v>
      </c>
      <c r="D20" s="99" t="s">
        <v>2524</v>
      </c>
      <c r="E20" s="99" t="s">
        <v>3532</v>
      </c>
      <c r="F20" s="100" t="s">
        <v>2524</v>
      </c>
      <c r="G20" s="100" t="s">
        <v>3532</v>
      </c>
      <c r="H20" s="101" t="e">
        <f ca="1">AI_BOND_SUM($A$19,ALL,32)</f>
        <v>#NAME?</v>
      </c>
      <c r="I20" s="101" t="e">
        <f ca="1">AI_DIFF(Liq_Acq!A20,Liq_Disp!A20)</f>
        <v>#NAME?</v>
      </c>
      <c r="J20" s="101"/>
      <c r="K20" s="101"/>
      <c r="L20" s="101"/>
      <c r="M20" s="98">
        <v>5</v>
      </c>
      <c r="N20" s="99">
        <v>5</v>
      </c>
      <c r="O20" s="100">
        <v>5</v>
      </c>
      <c r="P20" s="162" t="s">
        <v>1901</v>
      </c>
      <c r="S20" s="101" t="e">
        <f ca="1">AI_DIFF(Liq_Acq!K20,Liq_Disp!K20)</f>
        <v>#NAME?</v>
      </c>
      <c r="T20" s="101" t="e">
        <f ca="1">AI_SET_DF(Liq_Acq!L20)</f>
        <v>#NAME?</v>
      </c>
      <c r="U20" s="101" t="e">
        <f ca="1">AI_SET_DF(Liq_Disp!M20)</f>
        <v>#NAME?</v>
      </c>
    </row>
    <row r="21" spans="1:27" s="101" customFormat="1" ht="15" customHeight="1" x14ac:dyDescent="0.25">
      <c r="A21" s="20" t="s">
        <v>3272</v>
      </c>
      <c r="B21" s="97" t="s">
        <v>1853</v>
      </c>
      <c r="C21" s="98" t="s">
        <v>3533</v>
      </c>
      <c r="D21" s="70" t="s">
        <v>1853</v>
      </c>
      <c r="E21" s="99" t="s">
        <v>3533</v>
      </c>
      <c r="F21" s="49" t="s">
        <v>1853</v>
      </c>
      <c r="G21" s="100" t="s">
        <v>3533</v>
      </c>
      <c r="H21" s="101" t="e">
        <f ca="1">AI_IG(A23,ALL,11,18,25)</f>
        <v>#NAME?</v>
      </c>
      <c r="I21" s="101" t="e">
        <f ca="1">AI_DIFF(Liq_Acq!A21,Liq_Disp!A21)</f>
        <v>#NAME?</v>
      </c>
      <c r="J21" s="96"/>
      <c r="M21" s="98">
        <v>5</v>
      </c>
      <c r="N21" s="99">
        <v>5</v>
      </c>
      <c r="O21" s="100">
        <v>5</v>
      </c>
      <c r="P21" s="162" t="s">
        <v>1901</v>
      </c>
      <c r="Q21" s="20"/>
      <c r="R21" s="30"/>
      <c r="S21" s="101" t="e">
        <f ca="1">AI_DIFF(Liq_Acq!K21,Liq_Disp!K21)</f>
        <v>#NAME?</v>
      </c>
      <c r="T21" s="101" t="e">
        <f ca="1">AI_SET_DF(Liq_Acq!L21)</f>
        <v>#NAME?</v>
      </c>
      <c r="U21" s="101" t="e">
        <f ca="1">AI_SET_DF(Liq_Disp!M21)</f>
        <v>#NAME?</v>
      </c>
      <c r="V21" s="79">
        <v>5</v>
      </c>
      <c r="W21" s="102"/>
    </row>
    <row r="22" spans="1:27" s="101" customFormat="1" ht="15" customHeight="1" x14ac:dyDescent="0.25">
      <c r="A22" s="20" t="s">
        <v>3273</v>
      </c>
      <c r="B22" s="97" t="s">
        <v>1854</v>
      </c>
      <c r="C22" s="98" t="s">
        <v>3534</v>
      </c>
      <c r="D22" s="70" t="s">
        <v>1854</v>
      </c>
      <c r="E22" s="99" t="s">
        <v>3534</v>
      </c>
      <c r="F22" s="49" t="s">
        <v>1854</v>
      </c>
      <c r="G22" s="100" t="s">
        <v>3534</v>
      </c>
      <c r="H22" s="101" t="e">
        <f ca="1">AI_HY(A23,ALL,11,18,25)</f>
        <v>#NAME?</v>
      </c>
      <c r="I22" s="101" t="e">
        <f ca="1">AI_DIFF(Liq_Acq!A22,Liq_Disp!A22)</f>
        <v>#NAME?</v>
      </c>
      <c r="M22" s="98">
        <v>5</v>
      </c>
      <c r="N22" s="99">
        <v>5</v>
      </c>
      <c r="O22" s="100">
        <v>5</v>
      </c>
      <c r="P22" s="162" t="s">
        <v>1901</v>
      </c>
      <c r="Q22" s="20"/>
      <c r="R22" s="30"/>
      <c r="S22" s="101" t="e">
        <f ca="1">AI_DIFF(Liq_Acq!K22,Liq_Disp!K22)</f>
        <v>#NAME?</v>
      </c>
      <c r="T22" s="101" t="e">
        <f ca="1">AI_SET_DF(Liq_Acq!L22)</f>
        <v>#NAME?</v>
      </c>
      <c r="U22" s="101" t="e">
        <f ca="1">AI_SET_DF(Liq_Disp!M22)</f>
        <v>#NAME?</v>
      </c>
      <c r="V22" s="79">
        <v>5</v>
      </c>
      <c r="W22" s="102"/>
    </row>
    <row r="23" spans="1:27" s="101" customFormat="1" ht="15" customHeight="1" x14ac:dyDescent="0.25">
      <c r="A23" s="20" t="s">
        <v>1787</v>
      </c>
      <c r="B23" s="97" t="s">
        <v>2428</v>
      </c>
      <c r="C23" s="98" t="s">
        <v>3535</v>
      </c>
      <c r="D23" s="70" t="s">
        <v>2428</v>
      </c>
      <c r="E23" s="99" t="s">
        <v>3535</v>
      </c>
      <c r="F23" s="49" t="s">
        <v>2428</v>
      </c>
      <c r="G23" s="100" t="s">
        <v>3535</v>
      </c>
      <c r="H23" s="101" t="e">
        <f ca="1">AI_SUM('E10'!A14,'E10'!A19,'E10'!A24)</f>
        <v>#NAME?</v>
      </c>
      <c r="I23" s="101" t="e">
        <f ca="1">AI_DIFF(Liq_Acq!A23,Liq_Disp!A23)</f>
        <v>#NAME?</v>
      </c>
      <c r="J23" s="96"/>
      <c r="M23" s="98">
        <v>7</v>
      </c>
      <c r="N23" s="99">
        <v>7</v>
      </c>
      <c r="O23" s="100">
        <v>7</v>
      </c>
      <c r="P23" s="162" t="s">
        <v>1901</v>
      </c>
      <c r="Q23" s="20"/>
      <c r="R23" s="30"/>
      <c r="S23" s="101" t="e">
        <f ca="1">AI_DIFF(Liq_Acq!K23,Liq_Disp!K23)</f>
        <v>#NAME?</v>
      </c>
      <c r="T23" s="101" t="e">
        <f ca="1">AI_SET_DF(Liq_Acq!L23)</f>
        <v>#NAME?</v>
      </c>
      <c r="U23" s="101" t="e">
        <f ca="1">AI_SET_DF(Liq_Disp!M23)</f>
        <v>#NAME?</v>
      </c>
      <c r="V23" s="79">
        <v>7</v>
      </c>
      <c r="W23" s="102"/>
    </row>
    <row r="24" spans="1:27" s="101" customFormat="1" ht="15" customHeight="1" x14ac:dyDescent="0.25">
      <c r="A24" s="20" t="s">
        <v>3274</v>
      </c>
      <c r="B24" s="97" t="s">
        <v>1855</v>
      </c>
      <c r="C24" s="98" t="s">
        <v>3536</v>
      </c>
      <c r="D24" s="70" t="s">
        <v>1855</v>
      </c>
      <c r="E24" s="99" t="s">
        <v>3536</v>
      </c>
      <c r="F24" s="49" t="s">
        <v>1855</v>
      </c>
      <c r="G24" s="100" t="s">
        <v>3536</v>
      </c>
      <c r="H24" s="101" t="e">
        <f ca="1">AI_IG(A26,ALL,2,3,7,8,12,13,19,20,26,27,33,34,43,44)</f>
        <v>#NAME?</v>
      </c>
      <c r="I24" s="101" t="e">
        <f ca="1">AI_DIFF(Liq_Acq!A24,Liq_Disp!A24)</f>
        <v>#NAME?</v>
      </c>
      <c r="J24" s="96"/>
      <c r="M24" s="98">
        <v>5</v>
      </c>
      <c r="N24" s="99">
        <v>5</v>
      </c>
      <c r="O24" s="100">
        <v>5</v>
      </c>
      <c r="P24" s="162" t="s">
        <v>1901</v>
      </c>
      <c r="Q24" s="20"/>
      <c r="R24" s="30"/>
      <c r="S24" s="101" t="e">
        <f ca="1">AI_DIFF(Liq_Acq!K24,Liq_Disp!K24)</f>
        <v>#NAME?</v>
      </c>
      <c r="T24" s="101" t="e">
        <f ca="1">AI_SET_DF(Liq_Acq!L24)</f>
        <v>#NAME?</v>
      </c>
      <c r="U24" s="101" t="e">
        <f ca="1">AI_SET_DF(Liq_Disp!M24)</f>
        <v>#NAME?</v>
      </c>
      <c r="V24" s="79">
        <v>5</v>
      </c>
      <c r="W24" s="102"/>
    </row>
    <row r="25" spans="1:27" s="101" customFormat="1" ht="12.75" x14ac:dyDescent="0.25">
      <c r="A25" s="20" t="s">
        <v>3275</v>
      </c>
      <c r="B25" s="97" t="s">
        <v>1856</v>
      </c>
      <c r="C25" s="98" t="s">
        <v>3537</v>
      </c>
      <c r="D25" s="70" t="s">
        <v>1856</v>
      </c>
      <c r="E25" s="99" t="s">
        <v>3537</v>
      </c>
      <c r="F25" s="49" t="s">
        <v>1856</v>
      </c>
      <c r="G25" s="100" t="s">
        <v>3537</v>
      </c>
      <c r="H25" s="101" t="e">
        <f ca="1">AI_HY(A26,ALL,2,3,7,8,12,13,19,20,26,27,33,34,43,44)</f>
        <v>#NAME?</v>
      </c>
      <c r="I25" s="101" t="e">
        <f ca="1">AI_DIFF(Liq_Acq!A25,Liq_Disp!A25)</f>
        <v>#NAME?</v>
      </c>
      <c r="J25" s="96"/>
      <c r="M25" s="98">
        <v>5</v>
      </c>
      <c r="N25" s="99">
        <v>5</v>
      </c>
      <c r="O25" s="100">
        <v>5</v>
      </c>
      <c r="P25" s="162" t="s">
        <v>1901</v>
      </c>
      <c r="Q25" s="20"/>
      <c r="R25" s="30"/>
      <c r="S25" s="101" t="e">
        <f ca="1">AI_DIFF(Liq_Acq!K25,Liq_Disp!K25)</f>
        <v>#NAME?</v>
      </c>
      <c r="T25" s="101" t="e">
        <f ca="1">AI_SET_DF(Liq_Acq!L25)</f>
        <v>#NAME?</v>
      </c>
      <c r="U25" s="101" t="e">
        <f ca="1">AI_SET_DF(Liq_Disp!M25)</f>
        <v>#NAME?</v>
      </c>
      <c r="V25" s="79">
        <v>5</v>
      </c>
      <c r="W25" s="102"/>
    </row>
    <row r="26" spans="1:27" s="395" customFormat="1" ht="12.75" x14ac:dyDescent="0.25">
      <c r="A26" s="393" t="s">
        <v>1791</v>
      </c>
      <c r="B26" s="394" t="s">
        <v>2429</v>
      </c>
      <c r="D26" s="396" t="s">
        <v>2429</v>
      </c>
      <c r="F26" s="396" t="s">
        <v>2429</v>
      </c>
      <c r="H26" s="395" t="e">
        <f ca="1">AI_SUM('E10'!A45,'E10'!A46)</f>
        <v>#NAME?</v>
      </c>
      <c r="I26" s="101"/>
      <c r="P26" s="395" t="s">
        <v>1901</v>
      </c>
      <c r="Q26" s="393"/>
      <c r="R26" s="393"/>
      <c r="S26" s="101"/>
      <c r="T26" s="101"/>
      <c r="U26" s="101"/>
      <c r="V26" s="396">
        <v>7</v>
      </c>
    </row>
    <row r="27" spans="1:27" s="101" customFormat="1" ht="15" customHeight="1" x14ac:dyDescent="0.25">
      <c r="A27" s="20" t="s">
        <v>3276</v>
      </c>
      <c r="B27" s="97" t="s">
        <v>2759</v>
      </c>
      <c r="C27" s="98" t="s">
        <v>3538</v>
      </c>
      <c r="D27" s="70" t="s">
        <v>2759</v>
      </c>
      <c r="E27" s="99" t="s">
        <v>3538</v>
      </c>
      <c r="F27" s="49" t="s">
        <v>2759</v>
      </c>
      <c r="G27" s="100" t="s">
        <v>3538</v>
      </c>
      <c r="H27" s="101" t="e">
        <f ca="1">AI_SUM(A24,A25)</f>
        <v>#NAME?</v>
      </c>
      <c r="I27" s="101" t="e">
        <f ca="1">AI_DIFF(Liq_Acq!A27,Liq_Disp!A27)</f>
        <v>#NAME?</v>
      </c>
      <c r="M27" s="98">
        <v>7</v>
      </c>
      <c r="N27" s="99">
        <v>7</v>
      </c>
      <c r="O27" s="100">
        <v>7</v>
      </c>
      <c r="P27" s="162" t="s">
        <v>1901</v>
      </c>
      <c r="Q27" s="20"/>
      <c r="R27" s="30"/>
      <c r="S27" s="101" t="e">
        <f ca="1">AI_DIFF(Liq_Acq!K27,Liq_Disp!K27)</f>
        <v>#NAME?</v>
      </c>
      <c r="T27" s="101" t="e">
        <f ca="1">AI_SET_DF(Liq_Acq!L27)</f>
        <v>#NAME?</v>
      </c>
      <c r="U27" s="101" t="e">
        <f ca="1">AI_SET_DF(Liq_Disp!M27)</f>
        <v>#NAME?</v>
      </c>
      <c r="V27" s="79"/>
      <c r="W27" s="102"/>
    </row>
    <row r="28" spans="1:27" s="101" customFormat="1" ht="15" customHeight="1" x14ac:dyDescent="0.25">
      <c r="A28" s="20" t="s">
        <v>3277</v>
      </c>
      <c r="B28" s="97" t="s">
        <v>1857</v>
      </c>
      <c r="C28" s="98" t="s">
        <v>3539</v>
      </c>
      <c r="D28" s="70" t="s">
        <v>1857</v>
      </c>
      <c r="E28" s="99" t="s">
        <v>3539</v>
      </c>
      <c r="F28" s="49" t="s">
        <v>1857</v>
      </c>
      <c r="G28" s="100" t="s">
        <v>3539</v>
      </c>
      <c r="H28" s="101" t="e">
        <f ca="1">AI_IG(A30,ALL,4,9,14,21,28,35,45)</f>
        <v>#NAME?</v>
      </c>
      <c r="I28" s="101" t="e">
        <f ca="1">AI_DIFF(Liq_Acq!A28,Liq_Disp!A28)</f>
        <v>#NAME?</v>
      </c>
      <c r="J28" s="96"/>
      <c r="M28" s="98">
        <v>5</v>
      </c>
      <c r="N28" s="99">
        <v>5</v>
      </c>
      <c r="O28" s="100">
        <v>5</v>
      </c>
      <c r="P28" s="162" t="s">
        <v>1901</v>
      </c>
      <c r="Q28" s="20"/>
      <c r="R28" s="30"/>
      <c r="S28" s="101" t="e">
        <f ca="1">AI_DIFF(Liq_Acq!K28,Liq_Disp!K28)</f>
        <v>#NAME?</v>
      </c>
      <c r="T28" s="101" t="e">
        <f ca="1">AI_SET_DF(Liq_Acq!L28)</f>
        <v>#NAME?</v>
      </c>
      <c r="U28" s="101" t="e">
        <f ca="1">AI_SET_DF(Liq_Disp!M28)</f>
        <v>#NAME?</v>
      </c>
      <c r="V28" s="79">
        <v>5</v>
      </c>
      <c r="W28" s="102"/>
    </row>
    <row r="29" spans="1:27" s="101" customFormat="1" ht="15" customHeight="1" x14ac:dyDescent="0.25">
      <c r="A29" s="20" t="s">
        <v>3278</v>
      </c>
      <c r="B29" s="97" t="s">
        <v>1858</v>
      </c>
      <c r="C29" s="98" t="s">
        <v>3540</v>
      </c>
      <c r="D29" s="70" t="s">
        <v>1858</v>
      </c>
      <c r="E29" s="99" t="s">
        <v>3540</v>
      </c>
      <c r="F29" s="49" t="s">
        <v>1858</v>
      </c>
      <c r="G29" s="100" t="s">
        <v>3540</v>
      </c>
      <c r="H29" s="101" t="e">
        <f ca="1">AI_HY(A30,ALL,4,9,14,21,28,35,45)</f>
        <v>#NAME?</v>
      </c>
      <c r="I29" s="101" t="e">
        <f ca="1">AI_DIFF(Liq_Acq!A29,Liq_Disp!A29)</f>
        <v>#NAME?</v>
      </c>
      <c r="J29" s="96"/>
      <c r="M29" s="98">
        <v>5</v>
      </c>
      <c r="N29" s="99">
        <v>5</v>
      </c>
      <c r="O29" s="100">
        <v>5</v>
      </c>
      <c r="P29" s="162" t="s">
        <v>1901</v>
      </c>
      <c r="Q29" s="20"/>
      <c r="R29" s="30"/>
      <c r="S29" s="101" t="e">
        <f ca="1">AI_DIFF(Liq_Acq!K29,Liq_Disp!K29)</f>
        <v>#NAME?</v>
      </c>
      <c r="T29" s="101" t="e">
        <f ca="1">AI_SET_DF(Liq_Acq!L29)</f>
        <v>#NAME?</v>
      </c>
      <c r="U29" s="101" t="e">
        <f ca="1">AI_SET_DF(Liq_Disp!M29)</f>
        <v>#NAME?</v>
      </c>
      <c r="V29" s="79">
        <v>5</v>
      </c>
      <c r="W29" s="102"/>
    </row>
    <row r="30" spans="1:27" s="395" customFormat="1" ht="15" customHeight="1" x14ac:dyDescent="0.25">
      <c r="A30" s="393" t="s">
        <v>1793</v>
      </c>
      <c r="B30" s="394" t="s">
        <v>2761</v>
      </c>
      <c r="D30" s="396" t="s">
        <v>2761</v>
      </c>
      <c r="F30" s="396" t="s">
        <v>2761</v>
      </c>
      <c r="H30" s="395" t="e">
        <f ca="1">AI_SET_DF('E10'!A47)</f>
        <v>#NAME?</v>
      </c>
      <c r="I30" s="101"/>
      <c r="P30" s="395" t="s">
        <v>1901</v>
      </c>
      <c r="Q30" s="393"/>
      <c r="R30" s="393"/>
      <c r="S30" s="101"/>
      <c r="T30" s="101"/>
      <c r="U30" s="101"/>
      <c r="V30" s="396">
        <v>7</v>
      </c>
    </row>
    <row r="31" spans="1:27" s="101" customFormat="1" ht="15" customHeight="1" x14ac:dyDescent="0.25">
      <c r="A31" s="20" t="s">
        <v>3279</v>
      </c>
      <c r="B31" s="97" t="s">
        <v>2760</v>
      </c>
      <c r="C31" s="98" t="s">
        <v>3541</v>
      </c>
      <c r="D31" s="70" t="s">
        <v>2760</v>
      </c>
      <c r="E31" s="99" t="s">
        <v>3541</v>
      </c>
      <c r="F31" s="49" t="s">
        <v>2760</v>
      </c>
      <c r="G31" s="100" t="s">
        <v>3541</v>
      </c>
      <c r="H31" s="101" t="e">
        <f ca="1">AI_SUM(A28,A29)</f>
        <v>#NAME?</v>
      </c>
      <c r="I31" s="101" t="e">
        <f ca="1">AI_DIFF(Liq_Acq!A31,Liq_Disp!A31)</f>
        <v>#NAME?</v>
      </c>
      <c r="M31" s="98">
        <v>7</v>
      </c>
      <c r="N31" s="99">
        <v>7</v>
      </c>
      <c r="O31" s="100">
        <v>7</v>
      </c>
      <c r="P31" s="162" t="s">
        <v>1901</v>
      </c>
      <c r="Q31" s="20"/>
      <c r="R31" s="30"/>
      <c r="S31" s="101" t="e">
        <f ca="1">AI_DIFF(Liq_Acq!K31,Liq_Disp!K31)</f>
        <v>#NAME?</v>
      </c>
      <c r="T31" s="101" t="e">
        <f ca="1">AI_SET_DF(Liq_Acq!L31)</f>
        <v>#NAME?</v>
      </c>
      <c r="U31" s="101" t="e">
        <f ca="1">AI_SET_DF(Liq_Disp!M31)</f>
        <v>#NAME?</v>
      </c>
      <c r="V31" s="79"/>
      <c r="W31" s="102"/>
    </row>
    <row r="32" spans="1:27" s="101" customFormat="1" ht="15" customHeight="1" x14ac:dyDescent="0.25">
      <c r="A32" s="20" t="s">
        <v>3280</v>
      </c>
      <c r="B32" s="97" t="s">
        <v>1859</v>
      </c>
      <c r="C32" s="98" t="s">
        <v>3542</v>
      </c>
      <c r="D32" s="70" t="s">
        <v>1859</v>
      </c>
      <c r="E32" s="99" t="s">
        <v>3542</v>
      </c>
      <c r="F32" s="49" t="s">
        <v>1859</v>
      </c>
      <c r="G32" s="100" t="s">
        <v>3542</v>
      </c>
      <c r="H32" s="101" t="e">
        <f ca="1">AI_IG(A34,ALL,42)</f>
        <v>#NAME?</v>
      </c>
      <c r="I32" s="101" t="e">
        <f ca="1">AI_DIFF(Liq_Acq!A32,Liq_Disp!A32)</f>
        <v>#NAME?</v>
      </c>
      <c r="J32" s="96"/>
      <c r="M32" s="98">
        <v>5</v>
      </c>
      <c r="N32" s="99">
        <v>5</v>
      </c>
      <c r="O32" s="100">
        <v>5</v>
      </c>
      <c r="P32" s="162" t="s">
        <v>1901</v>
      </c>
      <c r="Q32" s="20"/>
      <c r="R32" s="30"/>
      <c r="S32" s="101" t="e">
        <f ca="1">AI_DIFF(Liq_Acq!K32,Liq_Disp!K32)</f>
        <v>#NAME?</v>
      </c>
      <c r="T32" s="101" t="e">
        <f ca="1">AI_SET_DF(Liq_Acq!L32)</f>
        <v>#NAME?</v>
      </c>
      <c r="U32" s="101" t="e">
        <f ca="1">AI_SET_DF(Liq_Disp!M32)</f>
        <v>#NAME?</v>
      </c>
      <c r="V32" s="79">
        <v>5</v>
      </c>
      <c r="W32" s="102"/>
    </row>
    <row r="33" spans="1:23" s="101" customFormat="1" ht="15" customHeight="1" x14ac:dyDescent="0.25">
      <c r="A33" s="20" t="s">
        <v>3281</v>
      </c>
      <c r="B33" s="97" t="s">
        <v>1865</v>
      </c>
      <c r="C33" s="98" t="s">
        <v>3543</v>
      </c>
      <c r="D33" s="70" t="s">
        <v>1865</v>
      </c>
      <c r="E33" s="99" t="s">
        <v>3543</v>
      </c>
      <c r="F33" s="49" t="s">
        <v>1865</v>
      </c>
      <c r="G33" s="100" t="s">
        <v>3543</v>
      </c>
      <c r="H33" s="101" t="e">
        <f ca="1">AI_HY(A34,ALL,42)</f>
        <v>#NAME?</v>
      </c>
      <c r="I33" s="101" t="e">
        <f ca="1">AI_DIFF(Liq_Acq!A33,Liq_Disp!A33)</f>
        <v>#NAME?</v>
      </c>
      <c r="J33" s="96"/>
      <c r="M33" s="98">
        <v>5</v>
      </c>
      <c r="N33" s="99">
        <v>5</v>
      </c>
      <c r="O33" s="100">
        <v>5</v>
      </c>
      <c r="P33" s="162" t="s">
        <v>1901</v>
      </c>
      <c r="Q33" s="20"/>
      <c r="R33" s="30"/>
      <c r="S33" s="101" t="e">
        <f ca="1">AI_DIFF(Liq_Acq!K33,Liq_Disp!K33)</f>
        <v>#NAME?</v>
      </c>
      <c r="T33" s="101" t="e">
        <f ca="1">AI_SET_DF(Liq_Acq!L33)</f>
        <v>#NAME?</v>
      </c>
      <c r="U33" s="101" t="e">
        <f ca="1">AI_SET_DF(Liq_Disp!M33)</f>
        <v>#NAME?</v>
      </c>
      <c r="V33" s="79">
        <v>5</v>
      </c>
      <c r="W33" s="102"/>
    </row>
    <row r="34" spans="1:23" s="101" customFormat="1" ht="15" customHeight="1" x14ac:dyDescent="0.25">
      <c r="A34" s="20" t="s">
        <v>1796</v>
      </c>
      <c r="B34" s="97" t="s">
        <v>2456</v>
      </c>
      <c r="C34" s="98" t="s">
        <v>3544</v>
      </c>
      <c r="D34" s="70" t="s">
        <v>2456</v>
      </c>
      <c r="E34" s="99" t="s">
        <v>3544</v>
      </c>
      <c r="F34" s="49" t="s">
        <v>2456</v>
      </c>
      <c r="G34" s="100" t="s">
        <v>3544</v>
      </c>
      <c r="H34" s="101" t="e">
        <f ca="1">AI_SET_DF('E10'!A34)</f>
        <v>#NAME?</v>
      </c>
      <c r="I34" s="101" t="e">
        <f ca="1">AI_DIFF(Liq_Acq!A34,Liq_Disp!A34)</f>
        <v>#NAME?</v>
      </c>
      <c r="J34" s="96"/>
      <c r="M34" s="98">
        <v>7</v>
      </c>
      <c r="N34" s="99">
        <v>7</v>
      </c>
      <c r="O34" s="100">
        <v>7</v>
      </c>
      <c r="P34" s="162" t="s">
        <v>1901</v>
      </c>
      <c r="Q34" s="20"/>
      <c r="R34" s="30"/>
      <c r="S34" s="101" t="e">
        <f ca="1">AI_DIFF(Liq_Acq!K34,Liq_Disp!K34)</f>
        <v>#NAME?</v>
      </c>
      <c r="T34" s="101" t="e">
        <f ca="1">AI_SET_DF(Liq_Acq!L34)</f>
        <v>#NAME?</v>
      </c>
      <c r="U34" s="101" t="e">
        <f ca="1">AI_SET_DF(Liq_Disp!M34)</f>
        <v>#NAME?</v>
      </c>
      <c r="V34" s="79">
        <v>7</v>
      </c>
      <c r="W34" s="102"/>
    </row>
    <row r="35" spans="1:23" s="101" customFormat="1" ht="15" customHeight="1" x14ac:dyDescent="0.25">
      <c r="A35" s="48" t="s">
        <v>2825</v>
      </c>
      <c r="B35" s="50" t="s">
        <v>2829</v>
      </c>
      <c r="C35" s="50" t="s">
        <v>3545</v>
      </c>
      <c r="D35" s="322" t="s">
        <v>2829</v>
      </c>
      <c r="E35" s="322" t="s">
        <v>3545</v>
      </c>
      <c r="F35" s="49" t="s">
        <v>2829</v>
      </c>
      <c r="G35" s="49" t="s">
        <v>3545</v>
      </c>
      <c r="H35" s="48" t="e">
        <f ca="1">AI_SET_DF('E10'!A58)</f>
        <v>#NAME?</v>
      </c>
      <c r="I35" s="101" t="e">
        <f ca="1">AI_DIFF(Liq_Acq!A35,Liq_Disp!A35)</f>
        <v>#NAME?</v>
      </c>
      <c r="J35" s="48"/>
      <c r="K35" s="48"/>
      <c r="L35" s="48"/>
      <c r="M35" s="50">
        <v>5</v>
      </c>
      <c r="N35" s="70">
        <v>5</v>
      </c>
      <c r="O35" s="49">
        <v>5</v>
      </c>
      <c r="P35" s="245"/>
      <c r="S35" s="101" t="e">
        <f ca="1">AI_DIFF(Liq_Acq!K35,Liq_Disp!K35)</f>
        <v>#NAME?</v>
      </c>
      <c r="T35" s="101" t="e">
        <f ca="1">AI_SET_DF(Liq_Acq!L35)</f>
        <v>#NAME?</v>
      </c>
      <c r="U35" s="101" t="e">
        <f ca="1">AI_SET_DF(Liq_Disp!M35)</f>
        <v>#NAME?</v>
      </c>
      <c r="V35" s="101">
        <v>5</v>
      </c>
    </row>
    <row r="36" spans="1:23" s="101" customFormat="1" ht="15" customHeight="1" x14ac:dyDescent="0.25">
      <c r="A36" s="48" t="s">
        <v>2826</v>
      </c>
      <c r="B36" s="50" t="s">
        <v>2830</v>
      </c>
      <c r="C36" s="50" t="s">
        <v>3546</v>
      </c>
      <c r="D36" s="322" t="s">
        <v>2830</v>
      </c>
      <c r="E36" s="322" t="s">
        <v>3546</v>
      </c>
      <c r="F36" s="49" t="s">
        <v>2830</v>
      </c>
      <c r="G36" s="49" t="s">
        <v>3546</v>
      </c>
      <c r="H36" s="48" t="e">
        <f ca="1">AI_SET_DF('E10'!A59)</f>
        <v>#NAME?</v>
      </c>
      <c r="I36" s="101" t="e">
        <f ca="1">AI_DIFF(Liq_Acq!A36,Liq_Disp!A36)</f>
        <v>#NAME?</v>
      </c>
      <c r="J36" s="48"/>
      <c r="K36" s="48"/>
      <c r="L36" s="48"/>
      <c r="M36" s="50">
        <v>5</v>
      </c>
      <c r="N36" s="70">
        <v>5</v>
      </c>
      <c r="O36" s="49">
        <v>5</v>
      </c>
      <c r="P36" s="245"/>
      <c r="S36" s="101" t="e">
        <f ca="1">AI_DIFF(Liq_Acq!K36,Liq_Disp!K36)</f>
        <v>#NAME?</v>
      </c>
      <c r="T36" s="101" t="e">
        <f ca="1">AI_SET_DF(Liq_Acq!L36)</f>
        <v>#NAME?</v>
      </c>
      <c r="U36" s="101" t="e">
        <f ca="1">AI_SET_DF(Liq_Disp!M36)</f>
        <v>#NAME?</v>
      </c>
      <c r="V36" s="101">
        <v>5</v>
      </c>
    </row>
    <row r="37" spans="1:23" s="101" customFormat="1" ht="15" customHeight="1" x14ac:dyDescent="0.25">
      <c r="A37" s="20" t="s">
        <v>2763</v>
      </c>
      <c r="B37" s="97" t="s">
        <v>2765</v>
      </c>
      <c r="C37" s="98"/>
      <c r="D37" s="70" t="s">
        <v>2765</v>
      </c>
      <c r="E37" s="99"/>
      <c r="F37" s="49" t="s">
        <v>2765</v>
      </c>
      <c r="G37" s="100"/>
      <c r="H37" s="101" t="e">
        <f ca="1">AI_SET_DF('E10'!A43)</f>
        <v>#NAME?</v>
      </c>
      <c r="I37" s="101" t="e">
        <f ca="1">AI_DIFF(Liq_Acq!A37,Liq_Disp!A37)</f>
        <v>#NAME?</v>
      </c>
      <c r="J37" s="96"/>
      <c r="M37" s="98"/>
      <c r="N37" s="99"/>
      <c r="O37" s="100"/>
      <c r="P37" s="162"/>
      <c r="Q37" s="20"/>
      <c r="R37" s="30"/>
      <c r="V37" s="79"/>
      <c r="W37" s="102"/>
    </row>
    <row r="38" spans="1:23" s="101" customFormat="1" ht="15" customHeight="1" x14ac:dyDescent="0.25">
      <c r="A38" s="20" t="s">
        <v>2764</v>
      </c>
      <c r="B38" s="97" t="s">
        <v>2766</v>
      </c>
      <c r="C38" s="98"/>
      <c r="D38" s="70" t="s">
        <v>2766</v>
      </c>
      <c r="E38" s="99"/>
      <c r="F38" s="49" t="s">
        <v>2766</v>
      </c>
      <c r="G38" s="100"/>
      <c r="H38" s="101" t="e">
        <f ca="1">AI_SET_DF('E10'!A48)</f>
        <v>#NAME?</v>
      </c>
      <c r="J38" s="96"/>
      <c r="M38" s="98"/>
      <c r="N38" s="99"/>
      <c r="O38" s="100"/>
      <c r="P38" s="162"/>
      <c r="Q38" s="20"/>
      <c r="R38" s="30"/>
      <c r="V38" s="79"/>
      <c r="W38" s="102"/>
    </row>
    <row r="39" spans="1:23" s="101" customFormat="1" ht="15" customHeight="1" x14ac:dyDescent="0.25">
      <c r="A39" s="20" t="s">
        <v>3282</v>
      </c>
      <c r="B39" s="97" t="s">
        <v>2767</v>
      </c>
      <c r="C39" s="98"/>
      <c r="D39" s="70" t="s">
        <v>2767</v>
      </c>
      <c r="E39" s="99"/>
      <c r="F39" s="49" t="s">
        <v>2767</v>
      </c>
      <c r="G39" s="100"/>
      <c r="H39" s="101" t="e">
        <f ca="1">AI_SUM(A4,A5,A19,A23,A26,A30,A34,A35,A36)</f>
        <v>#NAME?</v>
      </c>
      <c r="J39" s="96"/>
      <c r="M39" s="98"/>
      <c r="N39" s="99"/>
      <c r="O39" s="100"/>
      <c r="P39" s="162" t="s">
        <v>1901</v>
      </c>
      <c r="Q39" s="20"/>
      <c r="R39" s="30"/>
      <c r="V39" s="79">
        <v>5</v>
      </c>
      <c r="W39" s="102"/>
    </row>
    <row r="40" spans="1:23" ht="15" customHeight="1" x14ac:dyDescent="0.2">
      <c r="A40" s="101" t="s">
        <v>3284</v>
      </c>
      <c r="B40" s="98" t="s">
        <v>3247</v>
      </c>
      <c r="C40" s="98" t="s">
        <v>3547</v>
      </c>
      <c r="D40" s="99" t="s">
        <v>3247</v>
      </c>
      <c r="E40" s="99" t="s">
        <v>3547</v>
      </c>
      <c r="F40" s="100" t="s">
        <v>3247</v>
      </c>
      <c r="G40" s="100" t="s">
        <v>3547</v>
      </c>
      <c r="H40" s="101" t="e">
        <f ca="1">AI_BOND_SUM($A$19,ALL,1,2,3,4,6,7,8,9,11,12,13,14,18,19,20,21,25,26,27,28,32,33,34,35,42,43,44,45,58,59)</f>
        <v>#NAME?</v>
      </c>
      <c r="I40" s="101" t="e">
        <f ca="1">AI_DIFF(Liq_Acq!A40,Liq_Disp!A40)</f>
        <v>#NAME?</v>
      </c>
      <c r="J40" s="101"/>
      <c r="K40" s="101"/>
      <c r="L40" s="101"/>
      <c r="M40" s="98">
        <v>5</v>
      </c>
      <c r="N40" s="99">
        <v>5</v>
      </c>
      <c r="O40" s="100">
        <v>5</v>
      </c>
      <c r="P40" s="162" t="s">
        <v>1901</v>
      </c>
      <c r="S40" s="101" t="e">
        <f ca="1">AI_DIFF(Liq_Acq!K40,Liq_Disp!K40)</f>
        <v>#NAME?</v>
      </c>
      <c r="T40" s="101" t="e">
        <f ca="1">AI_SET_DF(Liq_Acq!L40)</f>
        <v>#NAME?</v>
      </c>
      <c r="U40" s="101" t="e">
        <f ca="1">AI_SET_DF(Liq_Disp!M40)</f>
        <v>#NAME?</v>
      </c>
    </row>
    <row r="41" spans="1:23" s="101" customFormat="1" ht="15" customHeight="1" x14ac:dyDescent="0.25">
      <c r="A41" s="20" t="s">
        <v>1797</v>
      </c>
      <c r="B41" s="97" t="s">
        <v>2430</v>
      </c>
      <c r="C41" s="98"/>
      <c r="D41" s="70" t="s">
        <v>2430</v>
      </c>
      <c r="E41" s="99"/>
      <c r="F41" s="49" t="s">
        <v>2430</v>
      </c>
      <c r="G41" s="100"/>
      <c r="H41" s="101" t="e">
        <f ca="1">AI_SET_DF('E10'!A49)</f>
        <v>#NAME?</v>
      </c>
      <c r="J41" s="96"/>
      <c r="M41" s="98"/>
      <c r="N41" s="99"/>
      <c r="O41" s="100"/>
      <c r="P41" s="162" t="s">
        <v>1902</v>
      </c>
      <c r="Q41" s="20"/>
      <c r="R41" s="102"/>
      <c r="V41" s="102">
        <v>7</v>
      </c>
      <c r="W41" s="102"/>
    </row>
    <row r="42" spans="1:23" ht="15" customHeight="1" x14ac:dyDescent="0.2">
      <c r="A42" s="101" t="s">
        <v>3293</v>
      </c>
      <c r="B42" s="98" t="s">
        <v>3250</v>
      </c>
      <c r="C42" s="98" t="s">
        <v>3548</v>
      </c>
      <c r="D42" s="99" t="s">
        <v>3250</v>
      </c>
      <c r="E42" s="99" t="s">
        <v>3548</v>
      </c>
      <c r="F42" s="100" t="s">
        <v>3250</v>
      </c>
      <c r="G42" s="100" t="s">
        <v>3548</v>
      </c>
      <c r="H42" s="101" t="e">
        <f ca="1">AI_EQ(A41,84,85)</f>
        <v>#NAME?</v>
      </c>
      <c r="I42" s="101" t="e">
        <f ca="1">AI_DIFF(Liq_Acq!A42,Liq_Disp!A42)</f>
        <v>#NAME?</v>
      </c>
      <c r="J42" s="101"/>
      <c r="K42" s="101"/>
      <c r="L42" s="101"/>
      <c r="M42" s="98">
        <v>7</v>
      </c>
      <c r="N42" s="99">
        <v>7</v>
      </c>
      <c r="O42" s="100">
        <v>7</v>
      </c>
      <c r="P42" s="162" t="s">
        <v>1902</v>
      </c>
      <c r="S42" s="101" t="e">
        <f ca="1">AI_DIFF(Liq_Acq!K42,Liq_Disp!K42)</f>
        <v>#NAME?</v>
      </c>
      <c r="T42" s="101" t="e">
        <f ca="1">AI_SET_DF(Liq_Acq!L42)</f>
        <v>#NAME?</v>
      </c>
      <c r="U42" s="101" t="e">
        <f ca="1">AI_SET_DF(Liq_Disp!M42)</f>
        <v>#NAME?</v>
      </c>
    </row>
    <row r="43" spans="1:23" s="101" customFormat="1" ht="15" customHeight="1" x14ac:dyDescent="0.25">
      <c r="A43" s="20" t="s">
        <v>1891</v>
      </c>
      <c r="B43" s="97" t="s">
        <v>2426</v>
      </c>
      <c r="C43" s="98"/>
      <c r="D43" s="70" t="s">
        <v>2426</v>
      </c>
      <c r="E43" s="99"/>
      <c r="F43" s="49" t="s">
        <v>2426</v>
      </c>
      <c r="G43" s="100"/>
      <c r="H43" s="101" t="e">
        <f ca="1">AI_SET_DF('E10'!A52)</f>
        <v>#NAME?</v>
      </c>
      <c r="J43" s="96"/>
      <c r="M43" s="98"/>
      <c r="N43" s="99"/>
      <c r="O43" s="100"/>
      <c r="P43" s="162" t="s">
        <v>1902</v>
      </c>
      <c r="Q43" s="20"/>
    </row>
    <row r="44" spans="1:23" ht="15" customHeight="1" x14ac:dyDescent="0.2">
      <c r="A44" s="101" t="s">
        <v>3295</v>
      </c>
      <c r="B44" s="98" t="s">
        <v>3249</v>
      </c>
      <c r="C44" s="98" t="s">
        <v>3442</v>
      </c>
      <c r="D44" s="99" t="s">
        <v>3249</v>
      </c>
      <c r="E44" s="99" t="s">
        <v>3442</v>
      </c>
      <c r="F44" s="100" t="s">
        <v>3249</v>
      </c>
      <c r="G44" s="100" t="s">
        <v>3442</v>
      </c>
      <c r="H44" s="101" t="e">
        <f ca="1">AI_EQ(A43,90)</f>
        <v>#NAME?</v>
      </c>
      <c r="I44" s="101" t="e">
        <f ca="1">AI_DIFF(Liq_Acq!A44,Liq_Disp!A44)</f>
        <v>#NAME?</v>
      </c>
      <c r="J44" s="101"/>
      <c r="K44" s="101"/>
      <c r="L44" s="101"/>
      <c r="M44" s="98"/>
      <c r="N44" s="99"/>
      <c r="O44" s="100"/>
      <c r="P44" s="162"/>
      <c r="S44" s="101" t="e">
        <f ca="1">AI_DIFF(Liq_Acq!K44,Liq_Disp!K44)</f>
        <v>#NAME?</v>
      </c>
      <c r="T44" s="101" t="e">
        <f ca="1">AI_SET_DF(Liq_Acq!L44)</f>
        <v>#NAME?</v>
      </c>
      <c r="U44" s="101" t="e">
        <f ca="1">AI_SET_DF(Liq_Disp!M44)</f>
        <v>#NAME?</v>
      </c>
    </row>
    <row r="45" spans="1:23" s="405" customFormat="1" ht="15" customHeight="1" x14ac:dyDescent="0.25">
      <c r="A45" s="403" t="s">
        <v>1798</v>
      </c>
      <c r="B45" s="404" t="s">
        <v>1890</v>
      </c>
      <c r="C45" s="405" t="s">
        <v>3550</v>
      </c>
      <c r="D45" s="406" t="s">
        <v>1890</v>
      </c>
      <c r="E45" s="405" t="s">
        <v>3550</v>
      </c>
      <c r="F45" s="406" t="s">
        <v>1890</v>
      </c>
      <c r="G45" s="405" t="s">
        <v>3550</v>
      </c>
      <c r="H45" s="405" t="e">
        <f ca="1">AI_DIFF(A43,A48)</f>
        <v>#NAME?</v>
      </c>
      <c r="I45" s="405" t="e">
        <f ca="1">AI_DIFF(A44,A48)</f>
        <v>#NAME?</v>
      </c>
      <c r="J45" s="404"/>
      <c r="M45" s="405">
        <v>7</v>
      </c>
      <c r="N45" s="405">
        <v>7</v>
      </c>
      <c r="O45" s="405">
        <v>7</v>
      </c>
      <c r="P45" s="405" t="s">
        <v>1902</v>
      </c>
      <c r="Q45" s="403"/>
      <c r="V45" s="405">
        <v>7</v>
      </c>
    </row>
    <row r="46" spans="1:23" s="101" customFormat="1" ht="15" customHeight="1" x14ac:dyDescent="0.25">
      <c r="A46" s="20" t="s">
        <v>1892</v>
      </c>
      <c r="B46" s="97" t="s">
        <v>2427</v>
      </c>
      <c r="C46" s="98" t="s">
        <v>3443</v>
      </c>
      <c r="D46" s="70" t="s">
        <v>2427</v>
      </c>
      <c r="E46" s="99" t="s">
        <v>3443</v>
      </c>
      <c r="F46" s="49" t="s">
        <v>2427</v>
      </c>
      <c r="G46" s="100" t="s">
        <v>3443</v>
      </c>
      <c r="H46" s="101" t="e">
        <f ca="1">AI_SET_DF('E10'!A54)</f>
        <v>#NAME?</v>
      </c>
      <c r="I46" s="101" t="e">
        <f ca="1">AI_DIFF(Liq_Acq!A46,Liq_Disp!A46)</f>
        <v>#NAME?</v>
      </c>
      <c r="J46" s="96"/>
      <c r="M46" s="98"/>
      <c r="N46" s="99"/>
      <c r="O46" s="100"/>
      <c r="P46" s="162" t="s">
        <v>1902</v>
      </c>
      <c r="Q46" s="20"/>
      <c r="S46" s="101" t="e">
        <f ca="1">AI_DIFF(Liq_Acq!K46,Liq_Disp!K46)</f>
        <v>#NAME?</v>
      </c>
      <c r="T46" s="101" t="e">
        <f ca="1">AI_SET_DF(Liq_Acq!L46)</f>
        <v>#NAME?</v>
      </c>
      <c r="U46" s="101" t="e">
        <f ca="1">AI_SET_DF(Liq_Disp!M46)</f>
        <v>#NAME?</v>
      </c>
    </row>
    <row r="47" spans="1:23" s="405" customFormat="1" ht="15" customHeight="1" x14ac:dyDescent="0.25">
      <c r="A47" s="403" t="s">
        <v>1800</v>
      </c>
      <c r="B47" s="404" t="s">
        <v>1894</v>
      </c>
      <c r="C47" s="405" t="s">
        <v>3551</v>
      </c>
      <c r="D47" s="406" t="s">
        <v>1894</v>
      </c>
      <c r="E47" s="405" t="s">
        <v>3551</v>
      </c>
      <c r="F47" s="406" t="s">
        <v>1894</v>
      </c>
      <c r="G47" s="405" t="s">
        <v>3551</v>
      </c>
      <c r="H47" s="405" t="e">
        <f ca="1">AI_DIFF(A46,A49)</f>
        <v>#NAME?</v>
      </c>
      <c r="I47" s="405" t="e">
        <f ca="1">AI_DIFF(A46,A49)</f>
        <v>#NAME?</v>
      </c>
      <c r="J47" s="404"/>
      <c r="M47" s="405">
        <v>7</v>
      </c>
      <c r="N47" s="405">
        <v>7</v>
      </c>
      <c r="O47" s="405">
        <v>7</v>
      </c>
      <c r="P47" s="405" t="s">
        <v>1902</v>
      </c>
      <c r="Q47" s="403">
        <v>7</v>
      </c>
      <c r="R47" s="405">
        <v>7</v>
      </c>
      <c r="V47" s="405">
        <v>7</v>
      </c>
    </row>
    <row r="48" spans="1:23" s="101" customFormat="1" ht="15" customHeight="1" x14ac:dyDescent="0.25">
      <c r="A48" s="20" t="s">
        <v>3285</v>
      </c>
      <c r="B48" s="97" t="s">
        <v>1888</v>
      </c>
      <c r="C48" s="98" t="s">
        <v>3517</v>
      </c>
      <c r="D48" s="70" t="s">
        <v>1888</v>
      </c>
      <c r="E48" s="99" t="s">
        <v>3517</v>
      </c>
      <c r="F48" s="49" t="s">
        <v>1888</v>
      </c>
      <c r="G48" s="100" t="s">
        <v>3517</v>
      </c>
      <c r="H48" s="101" t="e">
        <f ca="1">AI_EQ_ETF(A43,90)</f>
        <v>#NAME?</v>
      </c>
      <c r="I48" s="101" t="e">
        <f ca="1">AI_DIFF(Liq_Acq!A48,Liq_Disp!A48)</f>
        <v>#NAME?</v>
      </c>
      <c r="J48" s="96"/>
      <c r="M48" s="98"/>
      <c r="N48" s="99"/>
      <c r="O48" s="100"/>
      <c r="P48" s="162" t="s">
        <v>1902</v>
      </c>
      <c r="Q48" s="20"/>
    </row>
    <row r="49" spans="1:22" s="101" customFormat="1" ht="15" customHeight="1" x14ac:dyDescent="0.25">
      <c r="A49" s="20" t="s">
        <v>3286</v>
      </c>
      <c r="B49" s="97" t="s">
        <v>1889</v>
      </c>
      <c r="C49" s="98" t="s">
        <v>3518</v>
      </c>
      <c r="D49" s="70" t="s">
        <v>1889</v>
      </c>
      <c r="E49" s="99" t="s">
        <v>3518</v>
      </c>
      <c r="F49" s="49" t="s">
        <v>1889</v>
      </c>
      <c r="G49" s="100" t="s">
        <v>3518</v>
      </c>
      <c r="H49" s="101" t="e">
        <f ca="1">AI_EQ_ETF(A46,92)</f>
        <v>#NAME?</v>
      </c>
      <c r="I49" s="101" t="e">
        <f ca="1">AI_DIFF(Liq_Acq!A49,Liq_Disp!A49)</f>
        <v>#NAME?</v>
      </c>
      <c r="J49" s="96"/>
      <c r="M49" s="98"/>
      <c r="N49" s="99"/>
      <c r="O49" s="100"/>
      <c r="P49" s="162" t="s">
        <v>1902</v>
      </c>
      <c r="Q49" s="20"/>
    </row>
    <row r="50" spans="1:22" s="405" customFormat="1" ht="15" customHeight="1" x14ac:dyDescent="0.25">
      <c r="A50" s="403" t="s">
        <v>3294</v>
      </c>
      <c r="B50" s="404" t="s">
        <v>1893</v>
      </c>
      <c r="C50" s="405" t="s">
        <v>3552</v>
      </c>
      <c r="D50" s="406" t="s">
        <v>1893</v>
      </c>
      <c r="E50" s="405" t="s">
        <v>3552</v>
      </c>
      <c r="F50" s="406" t="s">
        <v>1893</v>
      </c>
      <c r="G50" s="405" t="s">
        <v>3552</v>
      </c>
      <c r="H50" s="405" t="e">
        <f ca="1">AI_SUM(A48,A49)</f>
        <v>#NAME?</v>
      </c>
      <c r="I50" s="405" t="e">
        <f ca="1">AI_SUM(A48,A49)</f>
        <v>#NAME?</v>
      </c>
      <c r="J50" s="404"/>
      <c r="M50" s="405">
        <v>7</v>
      </c>
      <c r="N50" s="405">
        <v>7</v>
      </c>
      <c r="O50" s="405">
        <v>7</v>
      </c>
      <c r="P50" s="405" t="s">
        <v>1902</v>
      </c>
      <c r="Q50" s="403">
        <v>7</v>
      </c>
      <c r="R50" s="405">
        <v>7</v>
      </c>
      <c r="V50" s="405">
        <v>7</v>
      </c>
    </row>
    <row r="51" spans="1:22" s="101" customFormat="1" ht="15" customHeight="1" x14ac:dyDescent="0.25">
      <c r="A51" s="20" t="s">
        <v>2768</v>
      </c>
      <c r="B51" s="97" t="s">
        <v>2774</v>
      </c>
      <c r="C51" s="98" t="s">
        <v>3549</v>
      </c>
      <c r="D51" s="70" t="s">
        <v>2774</v>
      </c>
      <c r="E51" s="99" t="s">
        <v>3549</v>
      </c>
      <c r="F51" s="49" t="s">
        <v>2774</v>
      </c>
      <c r="G51" s="100" t="s">
        <v>3549</v>
      </c>
      <c r="H51" s="101" t="e">
        <f ca="1">AI_SUM('E10'!A50,'E10'!A53)</f>
        <v>#NAME?</v>
      </c>
      <c r="I51" s="101" t="e">
        <f ca="1">AI_DIFF(Liq_Acq!A51,Liq_Disp!A51)</f>
        <v>#NAME?</v>
      </c>
      <c r="M51" s="98"/>
      <c r="N51" s="99"/>
      <c r="O51" s="100"/>
      <c r="P51" s="162" t="s">
        <v>1902</v>
      </c>
      <c r="Q51" s="20"/>
      <c r="S51" s="101" t="e">
        <f ca="1">AI_DIFF(Liq_Acq!K51,Liq_Disp!K51)</f>
        <v>#NAME?</v>
      </c>
      <c r="T51" s="101" t="e">
        <f ca="1">AI_SET_DF(Liq_Acq!L51)</f>
        <v>#NAME?</v>
      </c>
      <c r="U51" s="101" t="e">
        <f ca="1">AI_SET_DF(Liq_Disp!M51)</f>
        <v>#NAME?</v>
      </c>
    </row>
    <row r="52" spans="1:22" s="101" customFormat="1" ht="15" customHeight="1" x14ac:dyDescent="0.25">
      <c r="A52" s="20" t="s">
        <v>1801</v>
      </c>
      <c r="B52" s="97" t="s">
        <v>2520</v>
      </c>
      <c r="C52" s="98"/>
      <c r="D52" s="70" t="s">
        <v>2520</v>
      </c>
      <c r="E52" s="99"/>
      <c r="F52" s="49" t="s">
        <v>2520</v>
      </c>
      <c r="G52" s="100"/>
      <c r="H52" s="101" t="e">
        <f ca="1">AI_SUM(Assets!A14,Assets!A17,Assets!A21,Assets!A22,Assets!A23,Assets!A24,Assets!A25,Assets!A26,Assets!A27,'E10'!A53)</f>
        <v>#NAME?</v>
      </c>
      <c r="M52" s="98"/>
      <c r="N52" s="99"/>
      <c r="O52" s="100"/>
      <c r="P52" s="162"/>
      <c r="Q52" s="20"/>
    </row>
    <row r="53" spans="1:22" s="10" customFormat="1" ht="15" customHeight="1" x14ac:dyDescent="0.25">
      <c r="A53" s="12" t="s">
        <v>2408</v>
      </c>
      <c r="B53" s="199" t="s">
        <v>2409</v>
      </c>
      <c r="C53" s="199" t="s">
        <v>3562</v>
      </c>
      <c r="D53" s="244" t="s">
        <v>2409</v>
      </c>
      <c r="E53" s="244" t="s">
        <v>3562</v>
      </c>
      <c r="F53" s="45" t="s">
        <v>2409</v>
      </c>
      <c r="G53" s="7" t="s">
        <v>3562</v>
      </c>
      <c r="H53" s="10" t="e">
        <f ca="1">AI_SET_DF('E07'!A47)</f>
        <v>#NAME?</v>
      </c>
      <c r="I53" s="10" t="e">
        <f ca="1">AI_SET_DF('E07'!A47)</f>
        <v>#NAME?</v>
      </c>
      <c r="J53" s="197"/>
      <c r="M53" s="11">
        <v>2</v>
      </c>
      <c r="N53" s="14">
        <v>2</v>
      </c>
      <c r="O53" s="15">
        <v>2</v>
      </c>
      <c r="P53" s="163"/>
      <c r="V53" s="10">
        <v>2</v>
      </c>
    </row>
    <row r="54" spans="1:22" s="101" customFormat="1" ht="15" customHeight="1" x14ac:dyDescent="0.25">
      <c r="A54" s="20" t="s">
        <v>3291</v>
      </c>
      <c r="B54" s="97" t="s">
        <v>2782</v>
      </c>
      <c r="C54" s="98" t="s">
        <v>3247</v>
      </c>
      <c r="D54" s="70" t="s">
        <v>2782</v>
      </c>
      <c r="E54" s="99" t="s">
        <v>3247</v>
      </c>
      <c r="F54" s="49" t="s">
        <v>2782</v>
      </c>
      <c r="G54" s="100" t="s">
        <v>3247</v>
      </c>
      <c r="H54" s="101" t="e">
        <f ca="1">AI_SUM($A$50,$A$47,$A$45,$A$41,$A$34,$A$30,$A$26,$A$23,$A$19,$A$5,$A$4,$A$35,$A$36)</f>
        <v>#NAME?</v>
      </c>
      <c r="I54" s="101" t="e">
        <f ca="1">AI_SUM($A$50,$A$47,$A$45,$A$42,$A$34,$A$31,$A$27,$A$23,$A$20,$A$5,$A$4,$A$35,$A$36)</f>
        <v>#NAME?</v>
      </c>
      <c r="M54" s="98">
        <v>7</v>
      </c>
      <c r="N54" s="99">
        <v>7</v>
      </c>
      <c r="O54" s="100">
        <v>7</v>
      </c>
      <c r="P54" s="162" t="s">
        <v>1905</v>
      </c>
      <c r="Q54" s="20"/>
      <c r="V54" s="101">
        <v>7</v>
      </c>
    </row>
    <row r="55" spans="1:22" ht="15" customHeight="1" x14ac:dyDescent="0.25">
      <c r="A55" s="48" t="s">
        <v>2746</v>
      </c>
      <c r="B55" s="50" t="s">
        <v>3026</v>
      </c>
      <c r="C55" s="50"/>
      <c r="D55" s="70" t="s">
        <v>3026</v>
      </c>
      <c r="E55" s="70"/>
      <c r="F55" s="49" t="s">
        <v>3026</v>
      </c>
      <c r="G55" s="49"/>
      <c r="H55" s="48" t="e">
        <f ca="1">AI_SET_DF(SI05_07!A96)</f>
        <v>#NAME?</v>
      </c>
      <c r="I55" s="48"/>
      <c r="J55" s="48"/>
      <c r="K55" s="48"/>
      <c r="L55" s="48"/>
      <c r="M55" s="50"/>
      <c r="N55" s="70"/>
      <c r="O55" s="49"/>
      <c r="P55" s="245"/>
    </row>
    <row r="56" spans="1:22" ht="15" customHeight="1" x14ac:dyDescent="0.2">
      <c r="A56" s="101" t="s">
        <v>3287</v>
      </c>
      <c r="B56" s="98" t="s">
        <v>3258</v>
      </c>
      <c r="C56" s="98" t="s">
        <v>1775</v>
      </c>
      <c r="D56" s="99" t="s">
        <v>3258</v>
      </c>
      <c r="E56" s="99" t="s">
        <v>1775</v>
      </c>
      <c r="F56" s="100" t="s">
        <v>3258</v>
      </c>
      <c r="G56" s="100" t="s">
        <v>1775</v>
      </c>
      <c r="H56" s="101" t="e">
        <f ca="1">AI_BOND_SUM($A$19,PRIVATE,1,2,3,4,6,7,8,9,11,12,13,14,18,19,20,21,25,26,27,28,32,33,34,35,42,43,44,45)</f>
        <v>#NAME?</v>
      </c>
      <c r="I56" s="101" t="e">
        <f ca="1">AI_SET(0)</f>
        <v>#NAME?</v>
      </c>
      <c r="J56" s="101"/>
      <c r="K56" s="101"/>
      <c r="L56" s="101"/>
      <c r="M56" s="98">
        <v>1</v>
      </c>
      <c r="N56" s="99">
        <v>1</v>
      </c>
      <c r="O56" s="100">
        <v>1</v>
      </c>
      <c r="P56" s="162"/>
      <c r="V56" s="243">
        <v>1</v>
      </c>
    </row>
    <row r="57" spans="1:22" ht="15" customHeight="1" x14ac:dyDescent="0.25">
      <c r="A57" s="48" t="s">
        <v>2832</v>
      </c>
      <c r="B57" s="50" t="s">
        <v>3027</v>
      </c>
      <c r="C57" s="50"/>
      <c r="D57" s="70" t="s">
        <v>3027</v>
      </c>
      <c r="E57" s="70"/>
      <c r="F57" s="49" t="s">
        <v>3027</v>
      </c>
      <c r="G57" s="49"/>
      <c r="H57" s="48" t="e">
        <f ca="1">AI_SET_DF(SI05_07!A106)</f>
        <v>#NAME?</v>
      </c>
      <c r="I57" s="48"/>
      <c r="J57" s="48"/>
      <c r="K57" s="48"/>
      <c r="L57" s="48"/>
      <c r="M57" s="50"/>
      <c r="N57" s="70"/>
      <c r="O57" s="49"/>
      <c r="P57" s="245"/>
    </row>
    <row r="58" spans="1:22" ht="15" customHeight="1" x14ac:dyDescent="0.2">
      <c r="A58" s="101" t="s">
        <v>3288</v>
      </c>
      <c r="B58" s="98" t="s">
        <v>3259</v>
      </c>
      <c r="C58" s="98" t="s">
        <v>1802</v>
      </c>
      <c r="D58" s="99" t="s">
        <v>3259</v>
      </c>
      <c r="E58" s="99" t="s">
        <v>1802</v>
      </c>
      <c r="F58" s="100" t="s">
        <v>3259</v>
      </c>
      <c r="G58" s="100" t="s">
        <v>1802</v>
      </c>
      <c r="H58" s="101" t="e">
        <f ca="1">AI_BOND_SUM($A$19,PUBLIC,1,2,3,4,6,7,8,9,11,12,13,14,18,19,20,21,25,26,27,28,32,33,34,35,42,43,44,45)</f>
        <v>#NAME?</v>
      </c>
      <c r="I58" s="101" t="e">
        <f ca="1">AI_SET(0)</f>
        <v>#NAME?</v>
      </c>
      <c r="J58" s="101"/>
      <c r="K58" s="101"/>
      <c r="L58" s="101"/>
      <c r="M58" s="98">
        <v>1</v>
      </c>
      <c r="N58" s="99">
        <v>1</v>
      </c>
      <c r="O58" s="100">
        <v>1</v>
      </c>
      <c r="P58" s="162"/>
      <c r="V58" s="243">
        <v>1</v>
      </c>
    </row>
    <row r="59" spans="1:22" ht="15" customHeight="1" x14ac:dyDescent="0.2">
      <c r="A59" s="101" t="s">
        <v>3290</v>
      </c>
      <c r="B59" s="98" t="s">
        <v>3249</v>
      </c>
      <c r="C59" s="98"/>
      <c r="D59" s="99" t="s">
        <v>3249</v>
      </c>
      <c r="E59" s="99"/>
      <c r="F59" s="100" t="s">
        <v>3249</v>
      </c>
      <c r="G59" s="100"/>
      <c r="H59" s="101" t="e">
        <f ca="1">AI_EQ(A43,90,91,92,93)</f>
        <v>#NAME?</v>
      </c>
      <c r="I59" s="101"/>
      <c r="J59" s="101"/>
      <c r="K59" s="101"/>
      <c r="L59" s="101"/>
      <c r="M59" s="98"/>
      <c r="N59" s="99"/>
      <c r="O59" s="100"/>
      <c r="P59" s="162"/>
    </row>
    <row r="60" spans="1:22" ht="15" customHeight="1" x14ac:dyDescent="0.2">
      <c r="A60" s="101" t="s">
        <v>3289</v>
      </c>
      <c r="B60" s="98" t="s">
        <v>3248</v>
      </c>
      <c r="C60" s="98"/>
      <c r="D60" s="99" t="s">
        <v>3248</v>
      </c>
      <c r="E60" s="99"/>
      <c r="F60" s="100" t="s">
        <v>3248</v>
      </c>
      <c r="G60" s="100"/>
      <c r="H60" s="101" t="e">
        <f ca="1">AI_SUM(A59,A42)</f>
        <v>#NAME?</v>
      </c>
      <c r="I60" s="101"/>
      <c r="J60" s="101"/>
      <c r="K60" s="101"/>
      <c r="L60" s="101"/>
      <c r="M60" s="98"/>
      <c r="N60" s="99"/>
      <c r="O60" s="100"/>
      <c r="P60" s="162"/>
    </row>
    <row r="63" spans="1:22" ht="15" customHeight="1" x14ac:dyDescent="0.2">
      <c r="B63" s="243">
        <v>315703</v>
      </c>
      <c r="C63" s="243">
        <v>1495266</v>
      </c>
      <c r="D63" s="243">
        <f>B63/C63</f>
        <v>0.21113500875429522</v>
      </c>
      <c r="E63" s="243">
        <f>(C63+B63)/C63</f>
        <v>1.2111350087542951</v>
      </c>
    </row>
  </sheetData>
  <autoFilter ref="A2:AA60" xr:uid="{00000000-0009-0000-0000-00000F000000}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52"/>
  <sheetViews>
    <sheetView zoomScale="80" zoomScaleNormal="80" workbookViewId="0">
      <selection activeCell="G4" sqref="G4:G7"/>
    </sheetView>
  </sheetViews>
  <sheetFormatPr defaultRowHeight="15" x14ac:dyDescent="0.25"/>
  <cols>
    <col min="1" max="1" width="40.140625" style="251" bestFit="1" customWidth="1"/>
    <col min="2" max="4" width="12.7109375" style="185" customWidth="1"/>
    <col min="5" max="10" width="12.7109375" style="103" customWidth="1"/>
    <col min="11" max="16384" width="9.140625" style="251"/>
  </cols>
  <sheetData>
    <row r="1" spans="1:23" s="243" customFormat="1" ht="15" customHeight="1" x14ac:dyDescent="0.2"/>
    <row r="2" spans="1:23" s="20" customFormat="1" ht="15" customHeight="1" x14ac:dyDescent="0.25">
      <c r="A2" s="20" t="s">
        <v>3128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J2" s="20" t="s">
        <v>1884</v>
      </c>
      <c r="K2" s="20" t="s">
        <v>1885</v>
      </c>
      <c r="L2" s="20" t="s">
        <v>1886</v>
      </c>
      <c r="M2" s="323"/>
      <c r="N2" s="26"/>
      <c r="O2" s="29"/>
      <c r="P2" s="48"/>
      <c r="Q2" s="48"/>
    </row>
    <row r="3" spans="1:23" s="101" customFormat="1" ht="15" customHeight="1" x14ac:dyDescent="0.25">
      <c r="A3" s="46" t="s">
        <v>2777</v>
      </c>
      <c r="B3" s="16"/>
      <c r="C3" s="302"/>
      <c r="D3" s="303" t="s">
        <v>171</v>
      </c>
      <c r="E3" s="304"/>
      <c r="F3" s="305" t="s">
        <v>172</v>
      </c>
      <c r="G3" s="306"/>
      <c r="H3" s="307"/>
      <c r="I3" s="307"/>
      <c r="J3" s="46" t="s">
        <v>1882</v>
      </c>
      <c r="K3" s="307" t="s">
        <v>1883</v>
      </c>
      <c r="L3" s="307">
        <v>184</v>
      </c>
      <c r="M3" s="324" t="s">
        <v>3241</v>
      </c>
      <c r="N3" s="304">
        <v>1</v>
      </c>
      <c r="O3" s="306">
        <v>1</v>
      </c>
      <c r="P3" s="308"/>
      <c r="Q3" s="307"/>
      <c r="R3" s="300"/>
    </row>
    <row r="4" spans="1:23" s="101" customFormat="1" ht="15" customHeight="1" x14ac:dyDescent="0.25">
      <c r="A4" s="46" t="s">
        <v>3129</v>
      </c>
      <c r="B4" s="315" t="s">
        <v>3133</v>
      </c>
      <c r="C4" s="51" t="s">
        <v>3133</v>
      </c>
      <c r="D4" s="52" t="s">
        <v>3133</v>
      </c>
      <c r="E4" s="52" t="s">
        <v>3133</v>
      </c>
      <c r="F4" s="53" t="s">
        <v>3133</v>
      </c>
      <c r="G4" s="314" t="s">
        <v>3133</v>
      </c>
      <c r="H4" s="309" t="e">
        <f ca="1">AI_SET_DF(Assets!$A$18)</f>
        <v>#NAME?</v>
      </c>
      <c r="I4" s="309" t="e">
        <f ca="1">AI_SET_DF(Assets!$A$18)</f>
        <v>#NAME?</v>
      </c>
      <c r="J4" s="46" t="s">
        <v>1901</v>
      </c>
      <c r="K4" s="309" t="s">
        <v>2503</v>
      </c>
      <c r="L4" s="309">
        <v>38</v>
      </c>
      <c r="M4" s="325" t="s">
        <v>3240</v>
      </c>
      <c r="N4" s="303" t="s">
        <v>3240</v>
      </c>
      <c r="O4" s="305" t="s">
        <v>3240</v>
      </c>
      <c r="P4" s="310"/>
      <c r="Q4" s="46"/>
      <c r="R4" s="301"/>
      <c r="S4" s="102"/>
      <c r="T4" s="79"/>
      <c r="U4" s="102"/>
      <c r="V4" s="79"/>
      <c r="W4" s="102"/>
    </row>
    <row r="5" spans="1:23" ht="15" customHeight="1" x14ac:dyDescent="0.25">
      <c r="A5" s="46" t="s">
        <v>3130</v>
      </c>
      <c r="B5" s="316" t="s">
        <v>3134</v>
      </c>
      <c r="C5" s="317" t="s">
        <v>3134</v>
      </c>
      <c r="D5" s="318" t="s">
        <v>3134</v>
      </c>
      <c r="E5" s="319" t="s">
        <v>3134</v>
      </c>
      <c r="F5" s="320" t="s">
        <v>3134</v>
      </c>
      <c r="G5" s="321" t="s">
        <v>3134</v>
      </c>
      <c r="H5" s="309" t="e">
        <f ca="1">AI_SET_DF(Assets!$A$19)</f>
        <v>#NAME?</v>
      </c>
      <c r="I5" s="309" t="e">
        <f ca="1">AI_SET_DF(Assets!$A$19)</f>
        <v>#NAME?</v>
      </c>
      <c r="J5" s="311"/>
      <c r="K5" s="312"/>
      <c r="L5" s="312"/>
      <c r="M5" s="325" t="s">
        <v>3240</v>
      </c>
      <c r="N5" s="326" t="s">
        <v>3240</v>
      </c>
      <c r="O5" s="305" t="s">
        <v>3240</v>
      </c>
      <c r="P5" s="309"/>
      <c r="Q5" s="313"/>
    </row>
    <row r="6" spans="1:23" ht="15" customHeight="1" x14ac:dyDescent="0.25">
      <c r="A6" s="46" t="s">
        <v>3131</v>
      </c>
      <c r="B6" s="316" t="s">
        <v>3135</v>
      </c>
      <c r="C6" s="317" t="s">
        <v>3135</v>
      </c>
      <c r="D6" s="318" t="s">
        <v>3135</v>
      </c>
      <c r="E6" s="319" t="s">
        <v>3135</v>
      </c>
      <c r="F6" s="320" t="s">
        <v>3135</v>
      </c>
      <c r="G6" s="321" t="s">
        <v>3135</v>
      </c>
      <c r="H6" s="309" t="e">
        <f ca="1">AI_SET_DF(Assets!$A$20)</f>
        <v>#NAME?</v>
      </c>
      <c r="I6" s="309" t="e">
        <f ca="1">AI_SET_DF(Assets!$A$20)</f>
        <v>#NAME?</v>
      </c>
      <c r="J6" s="311"/>
      <c r="K6" s="312"/>
      <c r="L6" s="312"/>
      <c r="M6" s="325" t="s">
        <v>3240</v>
      </c>
      <c r="N6" s="326" t="s">
        <v>3240</v>
      </c>
      <c r="O6" s="305" t="s">
        <v>3240</v>
      </c>
      <c r="P6" s="309"/>
      <c r="Q6" s="313"/>
    </row>
    <row r="7" spans="1:23" ht="15" customHeight="1" x14ac:dyDescent="0.25">
      <c r="A7" s="31" t="s">
        <v>3132</v>
      </c>
      <c r="B7" s="316" t="s">
        <v>3136</v>
      </c>
      <c r="C7" s="317" t="s">
        <v>3136</v>
      </c>
      <c r="D7" s="318" t="s">
        <v>3136</v>
      </c>
      <c r="E7" s="319" t="s">
        <v>3136</v>
      </c>
      <c r="F7" s="320" t="s">
        <v>3136</v>
      </c>
      <c r="G7" s="321" t="s">
        <v>3136</v>
      </c>
      <c r="H7" s="309" t="e">
        <f ca="1">AI_SUM($A$4,$A$5,$A$6)</f>
        <v>#NAME?</v>
      </c>
      <c r="I7" s="309" t="e">
        <f ca="1">AI_SUM($A$4,$A$5,$A$6)</f>
        <v>#NAME?</v>
      </c>
      <c r="J7" s="311"/>
      <c r="K7" s="312"/>
      <c r="L7" s="312"/>
      <c r="M7" s="325" t="s">
        <v>3240</v>
      </c>
      <c r="N7" s="326" t="s">
        <v>3240</v>
      </c>
      <c r="O7" s="305" t="s">
        <v>3240</v>
      </c>
      <c r="P7" s="309"/>
      <c r="Q7" s="313"/>
    </row>
    <row r="8" spans="1:23" ht="15" customHeight="1" x14ac:dyDescent="0.25">
      <c r="A8" s="253"/>
      <c r="B8" s="241"/>
      <c r="C8" s="241"/>
      <c r="D8" s="241"/>
      <c r="E8" s="242"/>
      <c r="K8" s="185"/>
      <c r="L8" s="185"/>
      <c r="M8" s="185"/>
      <c r="N8" s="185"/>
    </row>
    <row r="9" spans="1:23" ht="15" customHeight="1" x14ac:dyDescent="0.25">
      <c r="A9" s="252"/>
      <c r="B9" s="241"/>
      <c r="C9" s="241"/>
      <c r="D9" s="241"/>
      <c r="E9" s="242"/>
      <c r="K9" s="185"/>
      <c r="L9" s="185"/>
      <c r="M9" s="185"/>
      <c r="N9" s="185"/>
    </row>
    <row r="10" spans="1:23" ht="15" customHeight="1" x14ac:dyDescent="0.25">
      <c r="B10" s="241"/>
      <c r="C10" s="241"/>
      <c r="D10" s="241"/>
      <c r="E10" s="153"/>
      <c r="K10" s="185"/>
      <c r="L10" s="185"/>
      <c r="M10" s="185"/>
      <c r="N10" s="185"/>
    </row>
    <row r="11" spans="1:23" ht="15" customHeight="1" x14ac:dyDescent="0.25">
      <c r="K11" s="185"/>
      <c r="L11" s="185"/>
      <c r="M11" s="185"/>
      <c r="N11" s="185"/>
    </row>
    <row r="12" spans="1:23" ht="15" customHeight="1" x14ac:dyDescent="0.25">
      <c r="K12" s="185"/>
      <c r="L12" s="185"/>
      <c r="M12" s="185"/>
      <c r="N12" s="185"/>
    </row>
    <row r="13" spans="1:23" ht="15" customHeight="1" x14ac:dyDescent="0.25">
      <c r="K13" s="185"/>
      <c r="L13" s="185"/>
      <c r="M13" s="185"/>
      <c r="N13" s="185"/>
    </row>
    <row r="14" spans="1:23" ht="15" customHeight="1" x14ac:dyDescent="0.25">
      <c r="K14" s="185"/>
      <c r="L14" s="185"/>
      <c r="M14" s="185"/>
      <c r="N14" s="185"/>
    </row>
    <row r="15" spans="1:23" ht="15" customHeight="1" x14ac:dyDescent="0.25">
      <c r="K15" s="185"/>
      <c r="L15" s="185"/>
      <c r="M15" s="185"/>
      <c r="N15" s="185"/>
    </row>
    <row r="16" spans="1:23" ht="15" customHeight="1" x14ac:dyDescent="0.25">
      <c r="K16" s="185"/>
      <c r="L16" s="185"/>
      <c r="M16" s="185"/>
      <c r="N16" s="185"/>
    </row>
    <row r="17" spans="11:14" ht="15" customHeight="1" x14ac:dyDescent="0.25">
      <c r="K17" s="185"/>
      <c r="L17" s="185"/>
      <c r="M17" s="185"/>
      <c r="N17" s="185"/>
    </row>
    <row r="18" spans="11:14" ht="15" customHeight="1" x14ac:dyDescent="0.25">
      <c r="K18" s="185"/>
      <c r="L18" s="185"/>
      <c r="M18" s="185"/>
      <c r="N18" s="185"/>
    </row>
    <row r="19" spans="11:14" ht="15" customHeight="1" x14ac:dyDescent="0.25">
      <c r="K19" s="185"/>
      <c r="L19" s="185"/>
      <c r="M19" s="185"/>
      <c r="N19" s="185"/>
    </row>
    <row r="20" spans="11:14" ht="15" customHeight="1" x14ac:dyDescent="0.25">
      <c r="K20" s="185"/>
      <c r="L20" s="185"/>
      <c r="M20" s="185"/>
      <c r="N20" s="185"/>
    </row>
    <row r="21" spans="11:14" ht="15" customHeight="1" x14ac:dyDescent="0.25">
      <c r="K21" s="185"/>
      <c r="L21" s="185"/>
      <c r="M21" s="185"/>
      <c r="N21" s="185"/>
    </row>
    <row r="22" spans="11:14" ht="15" customHeight="1" x14ac:dyDescent="0.25">
      <c r="K22" s="185"/>
      <c r="L22" s="185"/>
      <c r="M22" s="185"/>
      <c r="N22" s="185"/>
    </row>
    <row r="23" spans="11:14" ht="15" customHeight="1" x14ac:dyDescent="0.25">
      <c r="K23" s="185"/>
      <c r="L23" s="185"/>
      <c r="M23" s="185"/>
      <c r="N23" s="185"/>
    </row>
    <row r="24" spans="11:14" ht="15" customHeight="1" x14ac:dyDescent="0.25">
      <c r="K24" s="185"/>
      <c r="L24" s="185"/>
      <c r="M24" s="185"/>
      <c r="N24" s="185"/>
    </row>
    <row r="25" spans="11:14" ht="15" customHeight="1" x14ac:dyDescent="0.25">
      <c r="K25" s="185"/>
      <c r="L25" s="185"/>
      <c r="M25" s="185"/>
      <c r="N25" s="185"/>
    </row>
    <row r="26" spans="11:14" ht="15" customHeight="1" x14ac:dyDescent="0.25">
      <c r="K26" s="185"/>
      <c r="L26" s="185"/>
      <c r="M26" s="185"/>
      <c r="N26" s="185"/>
    </row>
    <row r="27" spans="11:14" ht="15" customHeight="1" x14ac:dyDescent="0.25">
      <c r="K27" s="185"/>
      <c r="L27" s="185"/>
      <c r="M27" s="185"/>
      <c r="N27" s="185"/>
    </row>
    <row r="28" spans="11:14" ht="15" customHeight="1" x14ac:dyDescent="0.25">
      <c r="K28" s="185"/>
      <c r="L28" s="185"/>
      <c r="M28" s="185"/>
      <c r="N28" s="185"/>
    </row>
    <row r="29" spans="11:14" ht="15" customHeight="1" x14ac:dyDescent="0.25">
      <c r="K29" s="185"/>
      <c r="L29" s="185"/>
      <c r="M29" s="185"/>
      <c r="N29" s="185"/>
    </row>
    <row r="30" spans="11:14" ht="15" customHeight="1" x14ac:dyDescent="0.25">
      <c r="K30" s="185"/>
      <c r="L30" s="185"/>
      <c r="M30" s="185"/>
      <c r="N30" s="185"/>
    </row>
    <row r="31" spans="11:14" ht="15" customHeight="1" x14ac:dyDescent="0.25">
      <c r="K31" s="185"/>
      <c r="L31" s="185"/>
      <c r="M31" s="185"/>
      <c r="N31" s="185"/>
    </row>
    <row r="32" spans="11:14" ht="15" customHeight="1" x14ac:dyDescent="0.25">
      <c r="K32" s="185"/>
      <c r="L32" s="185"/>
      <c r="M32" s="185"/>
      <c r="N32" s="185"/>
    </row>
    <row r="33" spans="11:14" ht="15" customHeight="1" x14ac:dyDescent="0.25">
      <c r="K33" s="185"/>
      <c r="L33" s="185"/>
      <c r="M33" s="185"/>
      <c r="N33" s="185"/>
    </row>
    <row r="34" spans="11:14" ht="15" customHeight="1" x14ac:dyDescent="0.25">
      <c r="K34" s="185"/>
      <c r="L34" s="185"/>
      <c r="M34" s="185"/>
      <c r="N34" s="185"/>
    </row>
    <row r="35" spans="11:14" ht="15" customHeight="1" x14ac:dyDescent="0.25">
      <c r="K35" s="185"/>
      <c r="L35" s="185"/>
      <c r="M35" s="185"/>
      <c r="N35" s="185"/>
    </row>
    <row r="36" spans="11:14" ht="15" customHeight="1" x14ac:dyDescent="0.25">
      <c r="K36" s="185"/>
      <c r="L36" s="185"/>
      <c r="M36" s="185"/>
      <c r="N36" s="185"/>
    </row>
    <row r="37" spans="11:14" ht="15" customHeight="1" x14ac:dyDescent="0.25">
      <c r="K37" s="185"/>
      <c r="L37" s="185"/>
      <c r="M37" s="185"/>
      <c r="N37" s="185"/>
    </row>
    <row r="38" spans="11:14" ht="15" customHeight="1" x14ac:dyDescent="0.25">
      <c r="K38" s="185"/>
      <c r="L38" s="185"/>
      <c r="M38" s="185"/>
      <c r="N38" s="185"/>
    </row>
    <row r="39" spans="11:14" ht="15" customHeight="1" x14ac:dyDescent="0.25">
      <c r="K39" s="185"/>
      <c r="L39" s="185"/>
      <c r="M39" s="185"/>
      <c r="N39" s="185"/>
    </row>
    <row r="40" spans="11:14" ht="15" customHeight="1" x14ac:dyDescent="0.25">
      <c r="K40" s="185"/>
      <c r="L40" s="185"/>
      <c r="M40" s="185"/>
      <c r="N40" s="185"/>
    </row>
    <row r="41" spans="11:14" ht="15" customHeight="1" x14ac:dyDescent="0.25"/>
    <row r="42" spans="11:14" ht="15" customHeight="1" x14ac:dyDescent="0.25"/>
    <row r="43" spans="11:14" ht="15" customHeight="1" x14ac:dyDescent="0.25"/>
    <row r="44" spans="11:14" ht="15" customHeight="1" x14ac:dyDescent="0.25"/>
    <row r="45" spans="11:14" ht="15" customHeight="1" x14ac:dyDescent="0.25"/>
    <row r="46" spans="11:14" ht="15" customHeight="1" x14ac:dyDescent="0.25"/>
    <row r="47" spans="11:14" ht="15" customHeight="1" x14ac:dyDescent="0.25"/>
    <row r="48" spans="11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5" filterMode="1"/>
  <dimension ref="A2:O80"/>
  <sheetViews>
    <sheetView zoomScale="80" zoomScaleNormal="80" workbookViewId="0">
      <selection activeCell="A88" sqref="A88"/>
    </sheetView>
  </sheetViews>
  <sheetFormatPr defaultColWidth="9.140625" defaultRowHeight="15" customHeight="1" x14ac:dyDescent="0.25"/>
  <cols>
    <col min="1" max="1" width="58.7109375" style="30" customWidth="1"/>
    <col min="2" max="3" width="10.7109375" style="21" customWidth="1"/>
    <col min="4" max="5" width="10.7109375" style="24" hidden="1" customWidth="1"/>
    <col min="6" max="7" width="10.7109375" style="29" hidden="1" customWidth="1"/>
    <col min="8" max="12" width="10.7109375" style="30" customWidth="1"/>
    <col min="13" max="13" width="10.7109375" style="22" customWidth="1"/>
    <col min="14" max="14" width="10.7109375" style="30" customWidth="1"/>
    <col min="15" max="15" width="10.7109375" style="80" customWidth="1"/>
    <col min="16" max="17" width="10.7109375" style="30" customWidth="1"/>
    <col min="18" max="18" width="9.140625" style="30"/>
    <col min="19" max="19" width="37.5703125" style="30" bestFit="1" customWidth="1"/>
    <col min="20" max="16384" width="9.140625" style="30"/>
  </cols>
  <sheetData>
    <row r="2" spans="1:13" ht="15" customHeight="1" x14ac:dyDescent="0.25">
      <c r="A2" s="30" t="s">
        <v>2494</v>
      </c>
      <c r="B2" s="21" t="s">
        <v>1622</v>
      </c>
      <c r="C2" s="21" t="s">
        <v>1623</v>
      </c>
      <c r="H2" s="30" t="s">
        <v>1887</v>
      </c>
      <c r="J2" s="30" t="s">
        <v>1884</v>
      </c>
      <c r="K2" s="30" t="s">
        <v>1885</v>
      </c>
      <c r="L2" s="30" t="s">
        <v>1886</v>
      </c>
    </row>
    <row r="3" spans="1:13" ht="15" customHeight="1" x14ac:dyDescent="0.25">
      <c r="A3" s="92" t="s">
        <v>1869</v>
      </c>
      <c r="J3" s="30" t="s">
        <v>1882</v>
      </c>
      <c r="K3" s="30" t="s">
        <v>1883</v>
      </c>
      <c r="L3" s="30">
        <v>230</v>
      </c>
      <c r="M3" s="22">
        <v>1</v>
      </c>
    </row>
    <row r="4" spans="1:13" s="31" customFormat="1" ht="15" customHeight="1" x14ac:dyDescent="0.25">
      <c r="A4" s="31" t="s">
        <v>978</v>
      </c>
      <c r="B4" s="3" t="s">
        <v>284</v>
      </c>
      <c r="C4" s="3" t="s">
        <v>2496</v>
      </c>
      <c r="D4" s="23"/>
      <c r="E4" s="23"/>
      <c r="F4" s="28"/>
      <c r="G4" s="28"/>
      <c r="H4" s="31" t="e">
        <f ca="1">AI_SUM($A$5,$A$6,$A$7,$A$8)</f>
        <v>#NAME?</v>
      </c>
      <c r="I4" s="31" t="e">
        <f ca="1">AI_SET_DF(A8)</f>
        <v>#NAME?</v>
      </c>
      <c r="M4" s="16">
        <v>1</v>
      </c>
    </row>
    <row r="5" spans="1:13" s="31" customFormat="1" ht="15" hidden="1" customHeight="1" x14ac:dyDescent="0.25">
      <c r="A5" s="31" t="s">
        <v>1666</v>
      </c>
      <c r="B5" s="3"/>
      <c r="C5" s="17" t="s">
        <v>1662</v>
      </c>
      <c r="D5" s="25"/>
      <c r="E5" s="25"/>
      <c r="F5" s="28"/>
      <c r="G5" s="28"/>
      <c r="M5" s="16"/>
    </row>
    <row r="6" spans="1:13" s="31" customFormat="1" ht="15" hidden="1" customHeight="1" x14ac:dyDescent="0.25">
      <c r="A6" s="31" t="s">
        <v>1667</v>
      </c>
      <c r="B6" s="3"/>
      <c r="C6" s="17" t="s">
        <v>1663</v>
      </c>
      <c r="D6" s="25"/>
      <c r="E6" s="25"/>
      <c r="F6" s="28"/>
      <c r="G6" s="28"/>
      <c r="M6" s="16"/>
    </row>
    <row r="7" spans="1:13" s="31" customFormat="1" ht="15" hidden="1" customHeight="1" x14ac:dyDescent="0.25">
      <c r="A7" s="31" t="s">
        <v>1668</v>
      </c>
      <c r="B7" s="3"/>
      <c r="C7" s="17" t="s">
        <v>1664</v>
      </c>
      <c r="D7" s="25"/>
      <c r="E7" s="25"/>
      <c r="F7" s="28"/>
      <c r="G7" s="28"/>
      <c r="M7" s="16"/>
    </row>
    <row r="8" spans="1:13" s="31" customFormat="1" ht="15" hidden="1" customHeight="1" x14ac:dyDescent="0.25">
      <c r="A8" s="31" t="s">
        <v>1669</v>
      </c>
      <c r="B8" s="3"/>
      <c r="C8" s="17" t="s">
        <v>1665</v>
      </c>
      <c r="D8" s="25"/>
      <c r="E8" s="25"/>
      <c r="F8" s="28"/>
      <c r="G8" s="28"/>
      <c r="M8" s="16"/>
    </row>
    <row r="9" spans="1:13" s="31" customFormat="1" ht="15" hidden="1" customHeight="1" x14ac:dyDescent="0.25">
      <c r="A9" s="31" t="s">
        <v>285</v>
      </c>
      <c r="B9" s="17"/>
      <c r="C9" s="17"/>
      <c r="D9" s="23"/>
      <c r="E9" s="23"/>
      <c r="F9" s="28"/>
      <c r="G9" s="28"/>
      <c r="M9" s="16"/>
    </row>
    <row r="10" spans="1:13" s="31" customFormat="1" ht="15" hidden="1" customHeight="1" x14ac:dyDescent="0.25">
      <c r="A10" s="31" t="s">
        <v>979</v>
      </c>
      <c r="B10" s="3" t="s">
        <v>286</v>
      </c>
      <c r="C10" s="3" t="s">
        <v>2497</v>
      </c>
      <c r="D10" s="23"/>
      <c r="E10" s="23"/>
      <c r="F10" s="28"/>
      <c r="G10" s="28"/>
      <c r="H10" s="31" t="e">
        <f ca="1">AI_SUM($A$11,$A$12,$A$13,$A$14)</f>
        <v>#NAME?</v>
      </c>
      <c r="I10" s="31" t="e">
        <f ca="1">AI_SUM($A$11,$A$12,$A$13,$A$14)</f>
        <v>#NAME?</v>
      </c>
      <c r="M10" s="16"/>
    </row>
    <row r="11" spans="1:13" s="31" customFormat="1" ht="15" hidden="1" customHeight="1" x14ac:dyDescent="0.25">
      <c r="A11" s="31" t="s">
        <v>1674</v>
      </c>
      <c r="B11" s="3"/>
      <c r="C11" s="17" t="s">
        <v>1670</v>
      </c>
      <c r="D11" s="25"/>
      <c r="E11" s="25"/>
      <c r="F11" s="28"/>
      <c r="G11" s="28"/>
      <c r="M11" s="16"/>
    </row>
    <row r="12" spans="1:13" s="31" customFormat="1" ht="15" hidden="1" customHeight="1" x14ac:dyDescent="0.25">
      <c r="A12" s="31" t="s">
        <v>1675</v>
      </c>
      <c r="B12" s="3"/>
      <c r="C12" s="17" t="s">
        <v>1671</v>
      </c>
      <c r="D12" s="25"/>
      <c r="E12" s="25"/>
      <c r="F12" s="28"/>
      <c r="G12" s="28"/>
      <c r="M12" s="16"/>
    </row>
    <row r="13" spans="1:13" s="31" customFormat="1" ht="15" hidden="1" customHeight="1" x14ac:dyDescent="0.25">
      <c r="A13" s="31" t="s">
        <v>1676</v>
      </c>
      <c r="B13" s="3"/>
      <c r="C13" s="17" t="s">
        <v>1672</v>
      </c>
      <c r="D13" s="25"/>
      <c r="E13" s="25"/>
      <c r="F13" s="28"/>
      <c r="G13" s="28"/>
      <c r="M13" s="16"/>
    </row>
    <row r="14" spans="1:13" s="31" customFormat="1" ht="15" hidden="1" customHeight="1" x14ac:dyDescent="0.25">
      <c r="A14" s="31" t="s">
        <v>1677</v>
      </c>
      <c r="B14" s="3"/>
      <c r="C14" s="17" t="s">
        <v>1673</v>
      </c>
      <c r="D14" s="25"/>
      <c r="E14" s="25"/>
      <c r="F14" s="28"/>
      <c r="G14" s="28"/>
      <c r="M14" s="16"/>
    </row>
    <row r="15" spans="1:13" s="31" customFormat="1" ht="15" hidden="1" customHeight="1" x14ac:dyDescent="0.25">
      <c r="A15" s="31" t="s">
        <v>980</v>
      </c>
      <c r="B15" s="3" t="s">
        <v>287</v>
      </c>
      <c r="C15" s="3" t="s">
        <v>1678</v>
      </c>
      <c r="D15" s="23"/>
      <c r="E15" s="23"/>
      <c r="F15" s="28"/>
      <c r="G15" s="28"/>
      <c r="M15" s="16"/>
    </row>
    <row r="16" spans="1:13" s="31" customFormat="1" ht="15" hidden="1" customHeight="1" x14ac:dyDescent="0.25">
      <c r="A16" s="31" t="s">
        <v>981</v>
      </c>
      <c r="B16" s="3" t="s">
        <v>288</v>
      </c>
      <c r="C16" s="3" t="s">
        <v>1679</v>
      </c>
      <c r="D16" s="23"/>
      <c r="E16" s="23"/>
      <c r="F16" s="28"/>
      <c r="G16" s="28"/>
      <c r="M16" s="16"/>
    </row>
    <row r="17" spans="1:13" s="31" customFormat="1" ht="15" hidden="1" customHeight="1" x14ac:dyDescent="0.25">
      <c r="A17" s="31" t="s">
        <v>982</v>
      </c>
      <c r="B17" s="3" t="s">
        <v>289</v>
      </c>
      <c r="C17" s="3" t="s">
        <v>1680</v>
      </c>
      <c r="D17" s="23"/>
      <c r="E17" s="23"/>
      <c r="F17" s="28"/>
      <c r="G17" s="28"/>
      <c r="M17" s="16"/>
    </row>
    <row r="18" spans="1:13" s="31" customFormat="1" ht="15" hidden="1" customHeight="1" x14ac:dyDescent="0.25">
      <c r="A18" s="31" t="s">
        <v>983</v>
      </c>
      <c r="B18" s="3" t="s">
        <v>290</v>
      </c>
      <c r="C18" s="3" t="s">
        <v>1681</v>
      </c>
      <c r="D18" s="23"/>
      <c r="E18" s="23"/>
      <c r="F18" s="28"/>
      <c r="G18" s="28"/>
      <c r="M18" s="16"/>
    </row>
    <row r="19" spans="1:13" s="31" customFormat="1" ht="15" customHeight="1" x14ac:dyDescent="0.25">
      <c r="A19" s="31" t="s">
        <v>1367</v>
      </c>
      <c r="B19" s="3" t="s">
        <v>3296</v>
      </c>
      <c r="C19" s="3" t="s">
        <v>3296</v>
      </c>
      <c r="D19" s="23"/>
      <c r="E19" s="23"/>
      <c r="F19" s="28"/>
      <c r="G19" s="28"/>
      <c r="H19" s="31" t="e">
        <f ca="1">AI_DIV($A$18,$A$4)</f>
        <v>#NAME?</v>
      </c>
      <c r="I19" s="31" t="e">
        <f ca="1">AI_DIV($A$18,$A$4)</f>
        <v>#NAME?</v>
      </c>
      <c r="M19" s="16">
        <v>1</v>
      </c>
    </row>
    <row r="20" spans="1:13" s="31" customFormat="1" ht="15" hidden="1" customHeight="1" x14ac:dyDescent="0.25">
      <c r="A20" s="31" t="s">
        <v>984</v>
      </c>
      <c r="B20" s="3" t="s">
        <v>291</v>
      </c>
      <c r="C20" s="3" t="s">
        <v>1682</v>
      </c>
      <c r="D20" s="23"/>
      <c r="E20" s="23"/>
      <c r="F20" s="28"/>
      <c r="G20" s="28"/>
      <c r="M20" s="16"/>
    </row>
    <row r="21" spans="1:13" s="31" customFormat="1" ht="15" customHeight="1" x14ac:dyDescent="0.25">
      <c r="A21" s="31" t="s">
        <v>985</v>
      </c>
      <c r="B21" s="3" t="s">
        <v>292</v>
      </c>
      <c r="C21" s="3" t="s">
        <v>1683</v>
      </c>
      <c r="D21" s="23"/>
      <c r="E21" s="23"/>
      <c r="F21" s="28"/>
      <c r="G21" s="28"/>
      <c r="M21" s="16">
        <v>1</v>
      </c>
    </row>
    <row r="22" spans="1:13" s="31" customFormat="1" ht="15" hidden="1" customHeight="1" x14ac:dyDescent="0.25">
      <c r="A22" s="93" t="s">
        <v>293</v>
      </c>
      <c r="B22" s="1"/>
      <c r="C22" s="1"/>
      <c r="D22" s="34"/>
      <c r="E22" s="34"/>
      <c r="F22" s="28"/>
      <c r="G22" s="28"/>
      <c r="M22" s="16"/>
    </row>
    <row r="23" spans="1:13" s="31" customFormat="1" ht="15" customHeight="1" x14ac:dyDescent="0.25">
      <c r="A23" s="31" t="s">
        <v>986</v>
      </c>
      <c r="B23" s="3" t="s">
        <v>294</v>
      </c>
      <c r="C23" s="3" t="s">
        <v>1684</v>
      </c>
      <c r="D23" s="23"/>
      <c r="E23" s="23"/>
      <c r="F23" s="28"/>
      <c r="G23" s="28"/>
      <c r="M23" s="16">
        <v>1</v>
      </c>
    </row>
    <row r="24" spans="1:13" s="31" customFormat="1" ht="15" customHeight="1" x14ac:dyDescent="0.25">
      <c r="A24" s="31" t="s">
        <v>987</v>
      </c>
      <c r="B24" s="3" t="s">
        <v>295</v>
      </c>
      <c r="C24" s="3" t="s">
        <v>1685</v>
      </c>
      <c r="D24" s="23"/>
      <c r="E24" s="23"/>
      <c r="F24" s="28"/>
      <c r="G24" s="28"/>
      <c r="M24" s="16">
        <v>1</v>
      </c>
    </row>
    <row r="25" spans="1:13" s="31" customFormat="1" ht="15" customHeight="1" x14ac:dyDescent="0.25">
      <c r="A25" s="31" t="s">
        <v>988</v>
      </c>
      <c r="B25" s="3" t="s">
        <v>296</v>
      </c>
      <c r="C25" s="3" t="s">
        <v>1686</v>
      </c>
      <c r="D25" s="23"/>
      <c r="E25" s="23"/>
      <c r="F25" s="28"/>
      <c r="G25" s="28"/>
      <c r="M25" s="16">
        <v>1</v>
      </c>
    </row>
    <row r="26" spans="1:13" s="31" customFormat="1" ht="15" hidden="1" customHeight="1" x14ac:dyDescent="0.25">
      <c r="A26" s="93" t="s">
        <v>297</v>
      </c>
      <c r="B26" s="1"/>
      <c r="C26" s="1"/>
      <c r="D26" s="34"/>
      <c r="E26" s="34"/>
      <c r="F26" s="28"/>
      <c r="G26" s="28"/>
      <c r="M26" s="16"/>
    </row>
    <row r="27" spans="1:13" s="31" customFormat="1" ht="15" hidden="1" customHeight="1" x14ac:dyDescent="0.25">
      <c r="A27" s="31" t="s">
        <v>989</v>
      </c>
      <c r="B27" s="17"/>
      <c r="C27" s="17"/>
      <c r="D27" s="23"/>
      <c r="E27" s="23"/>
      <c r="F27" s="28"/>
      <c r="G27" s="28"/>
      <c r="M27" s="16"/>
    </row>
    <row r="28" spans="1:13" s="31" customFormat="1" ht="15" hidden="1" customHeight="1" x14ac:dyDescent="0.25">
      <c r="A28" s="31" t="s">
        <v>990</v>
      </c>
      <c r="B28" s="3" t="s">
        <v>298</v>
      </c>
      <c r="C28" s="3" t="s">
        <v>1687</v>
      </c>
      <c r="D28" s="23"/>
      <c r="E28" s="23"/>
      <c r="F28" s="28"/>
      <c r="G28" s="28"/>
      <c r="M28" s="16"/>
    </row>
    <row r="29" spans="1:13" s="31" customFormat="1" ht="15" hidden="1" customHeight="1" x14ac:dyDescent="0.25">
      <c r="A29" s="31" t="s">
        <v>991</v>
      </c>
      <c r="B29" s="3" t="s">
        <v>299</v>
      </c>
      <c r="C29" s="3" t="s">
        <v>1688</v>
      </c>
      <c r="D29" s="23"/>
      <c r="E29" s="23"/>
      <c r="F29" s="28"/>
      <c r="G29" s="28"/>
      <c r="M29" s="16"/>
    </row>
    <row r="30" spans="1:13" s="31" customFormat="1" ht="15" customHeight="1" x14ac:dyDescent="0.25">
      <c r="A30" s="31" t="s">
        <v>992</v>
      </c>
      <c r="B30" s="3" t="s">
        <v>300</v>
      </c>
      <c r="C30" s="3" t="s">
        <v>1689</v>
      </c>
      <c r="D30" s="23"/>
      <c r="E30" s="23"/>
      <c r="F30" s="28"/>
      <c r="G30" s="28"/>
      <c r="M30" s="16">
        <v>1</v>
      </c>
    </row>
    <row r="31" spans="1:13" s="31" customFormat="1" ht="15" hidden="1" customHeight="1" x14ac:dyDescent="0.25">
      <c r="A31" s="31" t="s">
        <v>993</v>
      </c>
      <c r="B31" s="3" t="s">
        <v>301</v>
      </c>
      <c r="C31" s="3" t="s">
        <v>1690</v>
      </c>
      <c r="D31" s="23"/>
      <c r="E31" s="23"/>
      <c r="F31" s="28"/>
      <c r="G31" s="28"/>
      <c r="M31" s="16"/>
    </row>
    <row r="32" spans="1:13" s="31" customFormat="1" ht="15" customHeight="1" x14ac:dyDescent="0.25">
      <c r="A32" s="31" t="s">
        <v>994</v>
      </c>
      <c r="B32" s="16"/>
      <c r="C32" s="16"/>
      <c r="D32" s="23"/>
      <c r="E32" s="23"/>
      <c r="F32" s="28"/>
      <c r="G32" s="28"/>
      <c r="M32" s="16">
        <v>1</v>
      </c>
    </row>
    <row r="33" spans="1:13" s="31" customFormat="1" ht="15" customHeight="1" x14ac:dyDescent="0.25">
      <c r="A33" s="31" t="s">
        <v>995</v>
      </c>
      <c r="B33" s="3" t="s">
        <v>302</v>
      </c>
      <c r="C33" s="3" t="s">
        <v>1691</v>
      </c>
      <c r="D33" s="23"/>
      <c r="E33" s="23"/>
      <c r="F33" s="28"/>
      <c r="G33" s="28"/>
      <c r="M33" s="16">
        <v>1</v>
      </c>
    </row>
    <row r="34" spans="1:13" s="31" customFormat="1" ht="15" hidden="1" customHeight="1" x14ac:dyDescent="0.25">
      <c r="A34" s="31" t="s">
        <v>996</v>
      </c>
      <c r="B34" s="3" t="s">
        <v>303</v>
      </c>
      <c r="C34" s="3" t="s">
        <v>1692</v>
      </c>
      <c r="D34" s="23"/>
      <c r="E34" s="23"/>
      <c r="F34" s="28"/>
      <c r="G34" s="28"/>
      <c r="M34" s="16"/>
    </row>
    <row r="35" spans="1:13" s="31" customFormat="1" ht="15" hidden="1" customHeight="1" x14ac:dyDescent="0.25">
      <c r="A35" s="31" t="s">
        <v>997</v>
      </c>
      <c r="B35" s="16"/>
      <c r="C35" s="16"/>
      <c r="D35" s="23"/>
      <c r="E35" s="23"/>
      <c r="F35" s="28"/>
      <c r="G35" s="28"/>
      <c r="M35" s="16"/>
    </row>
    <row r="36" spans="1:13" s="31" customFormat="1" ht="15" hidden="1" customHeight="1" x14ac:dyDescent="0.25">
      <c r="A36" s="31" t="s">
        <v>995</v>
      </c>
      <c r="B36" s="3" t="s">
        <v>304</v>
      </c>
      <c r="C36" s="3" t="s">
        <v>1693</v>
      </c>
      <c r="D36" s="23"/>
      <c r="E36" s="23"/>
      <c r="F36" s="28"/>
      <c r="G36" s="28"/>
      <c r="M36" s="16"/>
    </row>
    <row r="37" spans="1:13" s="31" customFormat="1" ht="15" hidden="1" customHeight="1" x14ac:dyDescent="0.25">
      <c r="A37" s="31" t="s">
        <v>998</v>
      </c>
      <c r="B37" s="3" t="s">
        <v>305</v>
      </c>
      <c r="C37" s="3" t="s">
        <v>1694</v>
      </c>
      <c r="D37" s="23"/>
      <c r="E37" s="23"/>
      <c r="F37" s="28"/>
      <c r="G37" s="28"/>
      <c r="M37" s="16"/>
    </row>
    <row r="38" spans="1:13" s="31" customFormat="1" ht="15" customHeight="1" x14ac:dyDescent="0.25">
      <c r="A38" s="31" t="s">
        <v>999</v>
      </c>
      <c r="B38" s="3" t="s">
        <v>306</v>
      </c>
      <c r="C38" s="3" t="s">
        <v>1695</v>
      </c>
      <c r="D38" s="23"/>
      <c r="E38" s="23"/>
      <c r="F38" s="28"/>
      <c r="G38" s="28"/>
      <c r="M38" s="16">
        <v>1</v>
      </c>
    </row>
    <row r="39" spans="1:13" s="31" customFormat="1" ht="15" customHeight="1" x14ac:dyDescent="0.25">
      <c r="A39" s="31" t="s">
        <v>1370</v>
      </c>
      <c r="B39" s="3" t="s">
        <v>2495</v>
      </c>
      <c r="C39" s="3" t="s">
        <v>2495</v>
      </c>
      <c r="D39" s="23"/>
      <c r="E39" s="23"/>
      <c r="F39" s="28"/>
      <c r="G39" s="28"/>
      <c r="H39" s="31" t="e">
        <f ca="1">AI_DIV($A$37,$A$38)</f>
        <v>#NAME?</v>
      </c>
      <c r="I39" s="31" t="e">
        <f ca="1">AI_DIV($A$37,$A$38)</f>
        <v>#NAME?</v>
      </c>
      <c r="M39" s="16">
        <v>1</v>
      </c>
    </row>
    <row r="40" spans="1:13" s="31" customFormat="1" ht="15" hidden="1" customHeight="1" x14ac:dyDescent="0.25">
      <c r="A40" s="93" t="s">
        <v>307</v>
      </c>
      <c r="B40" s="1"/>
      <c r="C40" s="1"/>
      <c r="D40" s="34"/>
      <c r="E40" s="34"/>
      <c r="F40" s="28"/>
      <c r="G40" s="28"/>
      <c r="M40" s="16"/>
    </row>
    <row r="41" spans="1:13" s="31" customFormat="1" ht="15" customHeight="1" x14ac:dyDescent="0.25">
      <c r="A41" s="31" t="s">
        <v>1000</v>
      </c>
      <c r="B41" s="3" t="s">
        <v>308</v>
      </c>
      <c r="C41" s="3" t="s">
        <v>1696</v>
      </c>
      <c r="D41" s="23"/>
      <c r="E41" s="23"/>
      <c r="F41" s="28"/>
      <c r="G41" s="28"/>
      <c r="M41" s="16">
        <v>1</v>
      </c>
    </row>
    <row r="42" spans="1:13" s="31" customFormat="1" ht="15" hidden="1" customHeight="1" x14ac:dyDescent="0.25">
      <c r="A42" s="31" t="s">
        <v>999</v>
      </c>
      <c r="B42" s="3" t="s">
        <v>309</v>
      </c>
      <c r="C42" s="3" t="s">
        <v>1697</v>
      </c>
      <c r="D42" s="23"/>
      <c r="E42" s="23"/>
      <c r="F42" s="28"/>
      <c r="G42" s="28"/>
      <c r="M42" s="16"/>
    </row>
    <row r="43" spans="1:13" s="31" customFormat="1" ht="15" hidden="1" customHeight="1" x14ac:dyDescent="0.25">
      <c r="A43" s="31" t="s">
        <v>1001</v>
      </c>
      <c r="B43" s="3" t="s">
        <v>310</v>
      </c>
      <c r="C43" s="3" t="s">
        <v>1698</v>
      </c>
      <c r="D43" s="23"/>
      <c r="E43" s="23"/>
      <c r="F43" s="28"/>
      <c r="G43" s="28"/>
      <c r="M43" s="16"/>
    </row>
    <row r="44" spans="1:13" s="31" customFormat="1" ht="15" customHeight="1" x14ac:dyDescent="0.25">
      <c r="A44" s="31" t="s">
        <v>1002</v>
      </c>
      <c r="B44" s="3" t="s">
        <v>311</v>
      </c>
      <c r="C44" s="3" t="s">
        <v>1699</v>
      </c>
      <c r="D44" s="23"/>
      <c r="E44" s="23"/>
      <c r="F44" s="28"/>
      <c r="G44" s="28"/>
      <c r="M44" s="16">
        <v>1</v>
      </c>
    </row>
    <row r="45" spans="1:13" s="31" customFormat="1" ht="15" hidden="1" customHeight="1" x14ac:dyDescent="0.25">
      <c r="A45" s="31" t="s">
        <v>1003</v>
      </c>
      <c r="B45" s="3" t="s">
        <v>312</v>
      </c>
      <c r="C45" s="3" t="s">
        <v>1700</v>
      </c>
      <c r="D45" s="23"/>
      <c r="E45" s="23"/>
      <c r="F45" s="28"/>
      <c r="G45" s="28"/>
      <c r="M45" s="16"/>
    </row>
    <row r="46" spans="1:13" s="31" customFormat="1" ht="15" hidden="1" customHeight="1" x14ac:dyDescent="0.25">
      <c r="A46" s="31" t="s">
        <v>1004</v>
      </c>
      <c r="B46" s="3" t="s">
        <v>313</v>
      </c>
      <c r="C46" s="3" t="s">
        <v>1701</v>
      </c>
      <c r="D46" s="23"/>
      <c r="E46" s="23"/>
      <c r="F46" s="28"/>
      <c r="G46" s="28"/>
      <c r="M46" s="16"/>
    </row>
    <row r="47" spans="1:13" s="31" customFormat="1" ht="15" hidden="1" customHeight="1" x14ac:dyDescent="0.25">
      <c r="A47" s="31" t="s">
        <v>1005</v>
      </c>
      <c r="B47" s="3" t="s">
        <v>314</v>
      </c>
      <c r="C47" s="3" t="s">
        <v>1702</v>
      </c>
      <c r="D47" s="23"/>
      <c r="E47" s="23"/>
      <c r="F47" s="28"/>
      <c r="G47" s="28"/>
      <c r="M47" s="16"/>
    </row>
    <row r="48" spans="1:13" s="31" customFormat="1" ht="15" hidden="1" customHeight="1" x14ac:dyDescent="0.25">
      <c r="A48" s="31" t="s">
        <v>1006</v>
      </c>
      <c r="B48" s="3" t="s">
        <v>315</v>
      </c>
      <c r="C48" s="3" t="s">
        <v>1703</v>
      </c>
      <c r="D48" s="23"/>
      <c r="E48" s="23"/>
      <c r="F48" s="28"/>
      <c r="G48" s="28"/>
      <c r="M48" s="16"/>
    </row>
    <row r="49" spans="1:13" s="31" customFormat="1" ht="15" customHeight="1" x14ac:dyDescent="0.25">
      <c r="A49" s="31" t="s">
        <v>1007</v>
      </c>
      <c r="B49" s="3" t="s">
        <v>316</v>
      </c>
      <c r="C49" s="3" t="s">
        <v>1704</v>
      </c>
      <c r="D49" s="23"/>
      <c r="E49" s="23"/>
      <c r="F49" s="28"/>
      <c r="G49" s="28"/>
      <c r="M49" s="16">
        <v>1</v>
      </c>
    </row>
    <row r="50" spans="1:13" s="31" customFormat="1" ht="15" hidden="1" customHeight="1" x14ac:dyDescent="0.25">
      <c r="A50" s="31" t="s">
        <v>1008</v>
      </c>
      <c r="B50" s="3" t="s">
        <v>317</v>
      </c>
      <c r="C50" s="3" t="s">
        <v>1705</v>
      </c>
      <c r="D50" s="23"/>
      <c r="E50" s="23"/>
      <c r="F50" s="28"/>
      <c r="G50" s="28"/>
      <c r="M50" s="16"/>
    </row>
    <row r="51" spans="1:13" s="31" customFormat="1" ht="15" hidden="1" customHeight="1" x14ac:dyDescent="0.25">
      <c r="A51" s="31" t="s">
        <v>1009</v>
      </c>
      <c r="B51" s="3" t="s">
        <v>318</v>
      </c>
      <c r="C51" s="3" t="s">
        <v>1706</v>
      </c>
      <c r="D51" s="23"/>
      <c r="E51" s="23"/>
      <c r="F51" s="28"/>
      <c r="G51" s="28"/>
      <c r="M51" s="16"/>
    </row>
    <row r="52" spans="1:13" s="31" customFormat="1" ht="15" hidden="1" customHeight="1" x14ac:dyDescent="0.25">
      <c r="A52" s="31" t="s">
        <v>1010</v>
      </c>
      <c r="B52" s="17"/>
      <c r="C52" s="17"/>
      <c r="D52" s="23"/>
      <c r="E52" s="23"/>
      <c r="F52" s="28"/>
      <c r="G52" s="28"/>
      <c r="M52" s="16"/>
    </row>
    <row r="53" spans="1:13" s="31" customFormat="1" ht="15" hidden="1" customHeight="1" x14ac:dyDescent="0.25">
      <c r="A53" s="31" t="s">
        <v>1011</v>
      </c>
      <c r="B53" s="3" t="s">
        <v>319</v>
      </c>
      <c r="C53" s="3" t="s">
        <v>1707</v>
      </c>
      <c r="D53" s="23"/>
      <c r="E53" s="23"/>
      <c r="F53" s="28"/>
      <c r="G53" s="28"/>
      <c r="M53" s="16"/>
    </row>
    <row r="54" spans="1:13" s="31" customFormat="1" ht="15" hidden="1" customHeight="1" x14ac:dyDescent="0.25">
      <c r="A54" s="31" t="s">
        <v>1012</v>
      </c>
      <c r="B54" s="3" t="s">
        <v>320</v>
      </c>
      <c r="C54" s="3" t="s">
        <v>1708</v>
      </c>
      <c r="D54" s="23"/>
      <c r="E54" s="23"/>
      <c r="F54" s="28"/>
      <c r="G54" s="28"/>
      <c r="M54" s="16"/>
    </row>
    <row r="55" spans="1:13" s="31" customFormat="1" ht="15" hidden="1" customHeight="1" x14ac:dyDescent="0.25">
      <c r="A55" s="31" t="s">
        <v>1013</v>
      </c>
      <c r="B55" s="3" t="s">
        <v>321</v>
      </c>
      <c r="C55" s="3" t="s">
        <v>1709</v>
      </c>
      <c r="D55" s="23"/>
      <c r="E55" s="23"/>
      <c r="F55" s="28" t="s">
        <v>1571</v>
      </c>
      <c r="G55" s="28"/>
      <c r="M55" s="16"/>
    </row>
    <row r="56" spans="1:13" s="31" customFormat="1" ht="15" hidden="1" customHeight="1" x14ac:dyDescent="0.25">
      <c r="A56" s="31" t="s">
        <v>1014</v>
      </c>
      <c r="B56" s="17"/>
      <c r="C56" s="17"/>
      <c r="D56" s="23"/>
      <c r="E56" s="23"/>
      <c r="F56" s="28"/>
      <c r="G56" s="28"/>
      <c r="M56" s="16"/>
    </row>
    <row r="57" spans="1:13" s="31" customFormat="1" ht="15" hidden="1" customHeight="1" x14ac:dyDescent="0.25">
      <c r="A57" s="31" t="s">
        <v>1011</v>
      </c>
      <c r="B57" s="3" t="s">
        <v>322</v>
      </c>
      <c r="C57" s="3" t="s">
        <v>1710</v>
      </c>
      <c r="D57" s="23"/>
      <c r="E57" s="23"/>
      <c r="F57" s="28"/>
      <c r="G57" s="28"/>
      <c r="M57" s="16"/>
    </row>
    <row r="58" spans="1:13" s="31" customFormat="1" ht="15" hidden="1" customHeight="1" x14ac:dyDescent="0.25">
      <c r="A58" s="31" t="s">
        <v>1015</v>
      </c>
      <c r="B58" s="3" t="s">
        <v>323</v>
      </c>
      <c r="C58" s="3" t="s">
        <v>1711</v>
      </c>
      <c r="D58" s="23"/>
      <c r="E58" s="23"/>
      <c r="F58" s="28"/>
      <c r="G58" s="28"/>
      <c r="M58" s="16"/>
    </row>
    <row r="59" spans="1:13" s="31" customFormat="1" ht="15" hidden="1" customHeight="1" x14ac:dyDescent="0.25">
      <c r="A59" s="31" t="s">
        <v>1016</v>
      </c>
      <c r="B59" s="3" t="s">
        <v>324</v>
      </c>
      <c r="C59" s="3" t="s">
        <v>1712</v>
      </c>
      <c r="D59" s="23"/>
      <c r="E59" s="23"/>
      <c r="F59" s="28"/>
      <c r="G59" s="28"/>
      <c r="M59" s="16"/>
    </row>
    <row r="60" spans="1:13" s="31" customFormat="1" ht="15" hidden="1" customHeight="1" x14ac:dyDescent="0.25">
      <c r="A60" s="31" t="s">
        <v>1017</v>
      </c>
      <c r="B60" s="3" t="s">
        <v>325</v>
      </c>
      <c r="C60" s="3" t="s">
        <v>1713</v>
      </c>
      <c r="D60" s="23"/>
      <c r="E60" s="23"/>
      <c r="F60" s="28"/>
      <c r="G60" s="28"/>
      <c r="M60" s="16"/>
    </row>
    <row r="61" spans="1:13" s="31" customFormat="1" ht="15" hidden="1" customHeight="1" x14ac:dyDescent="0.25">
      <c r="A61" s="31" t="s">
        <v>1018</v>
      </c>
      <c r="B61" s="3" t="s">
        <v>326</v>
      </c>
      <c r="C61" s="3" t="s">
        <v>1714</v>
      </c>
      <c r="D61" s="23"/>
      <c r="E61" s="23"/>
      <c r="F61" s="28"/>
      <c r="G61" s="28"/>
      <c r="M61" s="16"/>
    </row>
    <row r="62" spans="1:13" s="31" customFormat="1" ht="15" hidden="1" customHeight="1" x14ac:dyDescent="0.25">
      <c r="A62" s="31" t="s">
        <v>1019</v>
      </c>
      <c r="B62" s="3" t="s">
        <v>327</v>
      </c>
      <c r="C62" s="3" t="s">
        <v>1715</v>
      </c>
      <c r="D62" s="23"/>
      <c r="E62" s="23"/>
      <c r="F62" s="28"/>
      <c r="G62" s="28"/>
      <c r="M62" s="16"/>
    </row>
    <row r="63" spans="1:13" s="31" customFormat="1" ht="15" hidden="1" customHeight="1" x14ac:dyDescent="0.25">
      <c r="A63" s="31" t="s">
        <v>1020</v>
      </c>
      <c r="B63" s="3" t="s">
        <v>328</v>
      </c>
      <c r="C63" s="3" t="s">
        <v>1716</v>
      </c>
      <c r="D63" s="23"/>
      <c r="E63" s="23"/>
      <c r="F63" s="28"/>
      <c r="G63" s="28"/>
      <c r="M63" s="16"/>
    </row>
    <row r="64" spans="1:13" s="31" customFormat="1" ht="15" customHeight="1" x14ac:dyDescent="0.25">
      <c r="A64" s="31" t="s">
        <v>1021</v>
      </c>
      <c r="B64" s="3" t="s">
        <v>329</v>
      </c>
      <c r="C64" s="3" t="s">
        <v>1717</v>
      </c>
      <c r="D64" s="23"/>
      <c r="E64" s="23"/>
      <c r="F64" s="28"/>
      <c r="G64" s="28"/>
      <c r="M64" s="16">
        <v>1</v>
      </c>
    </row>
    <row r="65" spans="1:13" s="31" customFormat="1" ht="15" customHeight="1" x14ac:dyDescent="0.25">
      <c r="A65" s="31" t="s">
        <v>1022</v>
      </c>
      <c r="B65" s="3" t="s">
        <v>330</v>
      </c>
      <c r="C65" s="3" t="s">
        <v>1718</v>
      </c>
      <c r="D65" s="23"/>
      <c r="E65" s="23"/>
      <c r="F65" s="28"/>
      <c r="G65" s="28"/>
      <c r="M65" s="16">
        <v>1</v>
      </c>
    </row>
    <row r="66" spans="1:13" s="31" customFormat="1" ht="15" hidden="1" customHeight="1" x14ac:dyDescent="0.25">
      <c r="A66" s="36" t="s">
        <v>1023</v>
      </c>
      <c r="B66" s="1"/>
      <c r="C66" s="1"/>
      <c r="D66" s="34"/>
      <c r="E66" s="34"/>
      <c r="F66" s="28"/>
      <c r="G66" s="28"/>
      <c r="M66" s="16"/>
    </row>
    <row r="67" spans="1:13" s="31" customFormat="1" ht="15" hidden="1" customHeight="1" x14ac:dyDescent="0.25">
      <c r="A67" s="31" t="s">
        <v>1024</v>
      </c>
      <c r="B67" s="3" t="s">
        <v>331</v>
      </c>
      <c r="C67" s="3" t="s">
        <v>1719</v>
      </c>
      <c r="D67" s="23"/>
      <c r="E67" s="23"/>
      <c r="F67" s="28"/>
      <c r="G67" s="28"/>
      <c r="M67" s="16"/>
    </row>
    <row r="68" spans="1:13" s="31" customFormat="1" ht="15" hidden="1" customHeight="1" x14ac:dyDescent="0.25">
      <c r="A68" s="31" t="s">
        <v>1025</v>
      </c>
      <c r="B68" s="3" t="s">
        <v>332</v>
      </c>
      <c r="C68" s="3" t="s">
        <v>1720</v>
      </c>
      <c r="D68" s="23"/>
      <c r="E68" s="23"/>
      <c r="F68" s="28"/>
      <c r="G68" s="28"/>
      <c r="M68" s="16"/>
    </row>
    <row r="69" spans="1:13" s="31" customFormat="1" ht="15" hidden="1" customHeight="1" x14ac:dyDescent="0.25">
      <c r="A69" s="31" t="s">
        <v>1026</v>
      </c>
      <c r="B69" s="3" t="s">
        <v>333</v>
      </c>
      <c r="C69" s="3" t="s">
        <v>1721</v>
      </c>
      <c r="D69" s="23"/>
      <c r="E69" s="23"/>
      <c r="F69" s="28"/>
      <c r="G69" s="28"/>
      <c r="M69" s="16"/>
    </row>
    <row r="70" spans="1:13" s="31" customFormat="1" ht="15" customHeight="1" x14ac:dyDescent="0.25">
      <c r="B70" s="17"/>
      <c r="C70" s="17"/>
      <c r="D70" s="23"/>
      <c r="E70" s="23"/>
      <c r="F70" s="28"/>
      <c r="G70" s="28"/>
      <c r="M70" s="16"/>
    </row>
    <row r="71" spans="1:13" s="31" customFormat="1" ht="15" customHeight="1" x14ac:dyDescent="0.25">
      <c r="B71" s="17"/>
      <c r="C71" s="17"/>
      <c r="D71" s="23"/>
      <c r="E71" s="23"/>
      <c r="F71" s="28"/>
      <c r="G71" s="28"/>
      <c r="M71" s="16"/>
    </row>
    <row r="72" spans="1:13" s="31" customFormat="1" ht="15" customHeight="1" x14ac:dyDescent="0.25">
      <c r="B72" s="3"/>
      <c r="C72" s="3"/>
      <c r="D72" s="23"/>
      <c r="E72" s="23"/>
      <c r="F72" s="28"/>
      <c r="G72" s="28"/>
      <c r="M72" s="16"/>
    </row>
    <row r="73" spans="1:13" s="31" customFormat="1" ht="15" customHeight="1" x14ac:dyDescent="0.25">
      <c r="B73" s="17"/>
      <c r="C73" s="17"/>
      <c r="D73" s="23"/>
      <c r="E73" s="23"/>
      <c r="F73" s="28"/>
      <c r="G73" s="28"/>
      <c r="M73" s="16"/>
    </row>
    <row r="74" spans="1:13" s="31" customFormat="1" ht="15" customHeight="1" x14ac:dyDescent="0.25">
      <c r="B74" s="17"/>
      <c r="C74" s="17"/>
      <c r="D74" s="23"/>
      <c r="E74" s="23"/>
      <c r="F74" s="28"/>
      <c r="G74" s="28"/>
      <c r="M74" s="16"/>
    </row>
    <row r="75" spans="1:13" s="31" customFormat="1" ht="15" customHeight="1" x14ac:dyDescent="0.25">
      <c r="B75" s="17"/>
      <c r="C75" s="17"/>
      <c r="D75" s="23"/>
      <c r="E75" s="23"/>
      <c r="F75" s="28"/>
      <c r="G75" s="28"/>
      <c r="M75" s="16"/>
    </row>
    <row r="76" spans="1:13" s="31" customFormat="1" ht="15" customHeight="1" x14ac:dyDescent="0.25">
      <c r="B76" s="17"/>
      <c r="C76" s="17"/>
      <c r="D76" s="23"/>
      <c r="E76" s="23"/>
      <c r="F76" s="28"/>
      <c r="G76" s="28"/>
      <c r="M76" s="16"/>
    </row>
    <row r="77" spans="1:13" s="31" customFormat="1" ht="15" customHeight="1" x14ac:dyDescent="0.25">
      <c r="B77" s="3"/>
      <c r="C77" s="3"/>
      <c r="D77" s="23"/>
      <c r="E77" s="23"/>
      <c r="F77" s="28"/>
      <c r="G77" s="28"/>
      <c r="M77" s="16"/>
    </row>
    <row r="78" spans="1:13" s="31" customFormat="1" ht="15" customHeight="1" x14ac:dyDescent="0.25">
      <c r="B78" s="3"/>
      <c r="C78" s="3"/>
      <c r="D78" s="23"/>
      <c r="E78" s="23"/>
      <c r="F78" s="28"/>
      <c r="G78" s="28"/>
      <c r="M78" s="16"/>
    </row>
    <row r="79" spans="1:13" s="31" customFormat="1" ht="15" customHeight="1" x14ac:dyDescent="0.25">
      <c r="B79" s="17"/>
      <c r="C79" s="17"/>
      <c r="D79" s="23"/>
      <c r="E79" s="23"/>
      <c r="F79" s="28"/>
      <c r="G79" s="28"/>
      <c r="M79" s="16"/>
    </row>
    <row r="80" spans="1:13" s="31" customFormat="1" ht="15" customHeight="1" x14ac:dyDescent="0.25">
      <c r="B80" s="17"/>
      <c r="C80" s="17"/>
      <c r="D80" s="23"/>
      <c r="E80" s="23"/>
      <c r="F80" s="28"/>
      <c r="G80" s="28"/>
      <c r="M80" s="16"/>
    </row>
  </sheetData>
  <autoFilter ref="A2:Q69" xr:uid="{00000000-0009-0000-0000-000011000000}">
    <filterColumn colId="12">
      <customFilters>
        <customFilter operator="notEqual" val=" "/>
      </customFilters>
    </filterColumn>
  </autoFilter>
  <pageMargins left="0.7" right="0.7" top="0.75" bottom="0.75" header="0.3" footer="0.3"/>
  <pageSetup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2:N86"/>
  <sheetViews>
    <sheetView topLeftCell="A7" zoomScale="80" zoomScaleNormal="80" workbookViewId="0">
      <selection activeCell="K63" sqref="K63:L65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3" width="10.7109375" style="48" customWidth="1"/>
    <col min="14" max="14" width="10.7109375" style="70" customWidth="1"/>
    <col min="15" max="17" width="10.7109375" style="48" customWidth="1"/>
    <col min="18" max="16384" width="9.140625" style="48"/>
  </cols>
  <sheetData>
    <row r="2" spans="1:14" ht="15" customHeight="1" x14ac:dyDescent="0.25">
      <c r="A2" s="48" t="s">
        <v>2494</v>
      </c>
      <c r="B2" s="66" t="s">
        <v>1622</v>
      </c>
      <c r="C2" s="66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4" ht="15" customHeight="1" x14ac:dyDescent="0.25">
      <c r="A3" s="84" t="s">
        <v>1870</v>
      </c>
      <c r="B3" s="88"/>
      <c r="C3" s="88"/>
      <c r="D3" s="84"/>
      <c r="E3" s="84"/>
      <c r="J3" s="48" t="s">
        <v>1882</v>
      </c>
      <c r="K3" s="48" t="s">
        <v>1883</v>
      </c>
      <c r="L3" s="48">
        <v>230</v>
      </c>
      <c r="N3" s="70">
        <v>1</v>
      </c>
    </row>
    <row r="4" spans="1:14" ht="15" customHeight="1" x14ac:dyDescent="0.25">
      <c r="A4" s="46" t="s">
        <v>1044</v>
      </c>
      <c r="D4" s="5" t="s">
        <v>630</v>
      </c>
      <c r="E4" s="5" t="s">
        <v>1944</v>
      </c>
      <c r="N4" s="70">
        <v>1</v>
      </c>
    </row>
    <row r="5" spans="1:14" ht="15" customHeight="1" x14ac:dyDescent="0.25">
      <c r="A5" s="46" t="s">
        <v>1045</v>
      </c>
      <c r="D5" s="5" t="s">
        <v>631</v>
      </c>
      <c r="E5" s="5" t="s">
        <v>1945</v>
      </c>
    </row>
    <row r="6" spans="1:14" ht="15" customHeight="1" x14ac:dyDescent="0.25">
      <c r="A6" s="46" t="s">
        <v>943</v>
      </c>
      <c r="D6" s="5" t="s">
        <v>632</v>
      </c>
      <c r="E6" s="5" t="s">
        <v>1946</v>
      </c>
      <c r="N6" s="70">
        <v>1</v>
      </c>
    </row>
    <row r="7" spans="1:14" ht="15" customHeight="1" x14ac:dyDescent="0.25">
      <c r="A7" s="46" t="s">
        <v>1078</v>
      </c>
      <c r="D7" s="5" t="s">
        <v>633</v>
      </c>
      <c r="E7" s="5" t="s">
        <v>1947</v>
      </c>
    </row>
    <row r="8" spans="1:14" ht="15" customHeight="1" x14ac:dyDescent="0.25">
      <c r="A8" s="46" t="s">
        <v>1046</v>
      </c>
      <c r="D8" s="5" t="s">
        <v>634</v>
      </c>
      <c r="E8" s="5" t="s">
        <v>1948</v>
      </c>
    </row>
    <row r="9" spans="1:14" ht="15" customHeight="1" x14ac:dyDescent="0.25">
      <c r="A9" s="46" t="s">
        <v>1047</v>
      </c>
      <c r="D9" s="5" t="s">
        <v>635</v>
      </c>
      <c r="E9" s="5" t="s">
        <v>1949</v>
      </c>
    </row>
    <row r="10" spans="1:14" ht="15" customHeight="1" x14ac:dyDescent="0.25">
      <c r="A10" s="46" t="s">
        <v>1048</v>
      </c>
      <c r="D10" s="5" t="s">
        <v>636</v>
      </c>
      <c r="E10" s="5" t="s">
        <v>1950</v>
      </c>
    </row>
    <row r="11" spans="1:14" ht="15" customHeight="1" x14ac:dyDescent="0.25">
      <c r="A11" s="46" t="s">
        <v>1049</v>
      </c>
      <c r="D11" s="23"/>
      <c r="E11" s="23"/>
    </row>
    <row r="12" spans="1:14" ht="15" customHeight="1" x14ac:dyDescent="0.25">
      <c r="A12" s="46" t="s">
        <v>1050</v>
      </c>
      <c r="D12" s="5" t="s">
        <v>637</v>
      </c>
      <c r="E12" s="5" t="s">
        <v>1951</v>
      </c>
    </row>
    <row r="13" spans="1:14" ht="15" customHeight="1" x14ac:dyDescent="0.25">
      <c r="A13" s="46" t="s">
        <v>1051</v>
      </c>
      <c r="D13" s="5" t="s">
        <v>638</v>
      </c>
      <c r="E13" s="5" t="s">
        <v>1952</v>
      </c>
    </row>
    <row r="14" spans="1:14" ht="15" customHeight="1" x14ac:dyDescent="0.25">
      <c r="A14" s="46" t="s">
        <v>1052</v>
      </c>
      <c r="D14" s="5" t="s">
        <v>639</v>
      </c>
      <c r="E14" s="5" t="s">
        <v>1953</v>
      </c>
    </row>
    <row r="15" spans="1:14" ht="15" customHeight="1" x14ac:dyDescent="0.25">
      <c r="A15" s="46" t="s">
        <v>65</v>
      </c>
      <c r="D15" s="5" t="s">
        <v>640</v>
      </c>
      <c r="E15" s="5" t="s">
        <v>1954</v>
      </c>
    </row>
    <row r="16" spans="1:14" ht="15" customHeight="1" x14ac:dyDescent="0.25">
      <c r="A16" s="46" t="s">
        <v>1053</v>
      </c>
      <c r="D16" s="5" t="s">
        <v>641</v>
      </c>
      <c r="E16" s="5" t="s">
        <v>1955</v>
      </c>
    </row>
    <row r="17" spans="1:14" ht="15" customHeight="1" x14ac:dyDescent="0.25">
      <c r="A17" s="46" t="s">
        <v>1079</v>
      </c>
      <c r="D17" s="5" t="s">
        <v>642</v>
      </c>
      <c r="E17" s="5" t="s">
        <v>1956</v>
      </c>
    </row>
    <row r="18" spans="1:14" ht="15" customHeight="1" x14ac:dyDescent="0.25">
      <c r="A18" s="46" t="s">
        <v>1080</v>
      </c>
      <c r="D18" s="5" t="s">
        <v>643</v>
      </c>
      <c r="E18" s="5" t="s">
        <v>1957</v>
      </c>
    </row>
    <row r="19" spans="1:14" ht="15" customHeight="1" x14ac:dyDescent="0.25">
      <c r="A19" s="46" t="s">
        <v>1054</v>
      </c>
      <c r="D19" s="5" t="s">
        <v>644</v>
      </c>
      <c r="E19" s="5" t="s">
        <v>1958</v>
      </c>
    </row>
    <row r="20" spans="1:14" ht="15" customHeight="1" x14ac:dyDescent="0.25">
      <c r="A20" s="46" t="s">
        <v>1055</v>
      </c>
      <c r="D20" s="5" t="s">
        <v>645</v>
      </c>
      <c r="E20" s="5" t="s">
        <v>1959</v>
      </c>
    </row>
    <row r="21" spans="1:14" ht="15" customHeight="1" x14ac:dyDescent="0.25">
      <c r="A21" s="46" t="s">
        <v>1056</v>
      </c>
      <c r="D21" s="5" t="s">
        <v>646</v>
      </c>
      <c r="E21" s="5" t="s">
        <v>1960</v>
      </c>
      <c r="N21" s="70">
        <v>1</v>
      </c>
    </row>
    <row r="22" spans="1:14" ht="15" customHeight="1" x14ac:dyDescent="0.25">
      <c r="A22" s="46" t="s">
        <v>1057</v>
      </c>
      <c r="D22" s="5" t="s">
        <v>647</v>
      </c>
      <c r="E22" s="5" t="s">
        <v>1961</v>
      </c>
    </row>
    <row r="23" spans="1:14" ht="15" customHeight="1" x14ac:dyDescent="0.25">
      <c r="A23" s="46" t="s">
        <v>1058</v>
      </c>
      <c r="D23" s="5" t="s">
        <v>648</v>
      </c>
      <c r="E23" s="5" t="s">
        <v>1962</v>
      </c>
    </row>
    <row r="24" spans="1:14" ht="15" customHeight="1" x14ac:dyDescent="0.25">
      <c r="A24" s="46" t="s">
        <v>1059</v>
      </c>
      <c r="D24" s="5" t="s">
        <v>649</v>
      </c>
      <c r="E24" s="5" t="s">
        <v>1963</v>
      </c>
    </row>
    <row r="25" spans="1:14" ht="15" customHeight="1" x14ac:dyDescent="0.25">
      <c r="A25" s="46" t="s">
        <v>1060</v>
      </c>
      <c r="D25" s="5" t="s">
        <v>650</v>
      </c>
      <c r="E25" s="5" t="s">
        <v>1964</v>
      </c>
    </row>
    <row r="26" spans="1:14" ht="15" customHeight="1" x14ac:dyDescent="0.25">
      <c r="A26" s="46" t="s">
        <v>65</v>
      </c>
      <c r="D26" s="5" t="s">
        <v>651</v>
      </c>
      <c r="E26" s="5" t="s">
        <v>1965</v>
      </c>
    </row>
    <row r="27" spans="1:14" ht="15" customHeight="1" x14ac:dyDescent="0.25">
      <c r="A27" s="46" t="s">
        <v>1061</v>
      </c>
      <c r="D27" s="5" t="s">
        <v>652</v>
      </c>
      <c r="E27" s="5" t="s">
        <v>1966</v>
      </c>
    </row>
    <row r="28" spans="1:14" ht="15" customHeight="1" x14ac:dyDescent="0.25">
      <c r="A28" s="46" t="s">
        <v>1062</v>
      </c>
      <c r="D28" s="5" t="s">
        <v>653</v>
      </c>
      <c r="E28" s="5" t="s">
        <v>1967</v>
      </c>
    </row>
    <row r="29" spans="1:14" ht="15" customHeight="1" x14ac:dyDescent="0.25">
      <c r="A29" s="46" t="s">
        <v>1063</v>
      </c>
      <c r="D29" s="5" t="s">
        <v>654</v>
      </c>
      <c r="E29" s="5" t="s">
        <v>1968</v>
      </c>
    </row>
    <row r="30" spans="1:14" ht="15" customHeight="1" x14ac:dyDescent="0.25">
      <c r="A30" s="46" t="s">
        <v>1064</v>
      </c>
      <c r="D30" s="5" t="s">
        <v>655</v>
      </c>
      <c r="E30" s="5" t="s">
        <v>1969</v>
      </c>
    </row>
    <row r="31" spans="1:14" ht="15" customHeight="1" x14ac:dyDescent="0.25">
      <c r="A31" s="46" t="s">
        <v>1065</v>
      </c>
      <c r="D31" s="5" t="s">
        <v>656</v>
      </c>
      <c r="E31" s="5" t="s">
        <v>1970</v>
      </c>
    </row>
    <row r="32" spans="1:14" ht="15" customHeight="1" x14ac:dyDescent="0.25">
      <c r="A32" s="46" t="s">
        <v>1066</v>
      </c>
      <c r="D32" s="5" t="s">
        <v>657</v>
      </c>
      <c r="E32" s="5" t="s">
        <v>1971</v>
      </c>
    </row>
    <row r="33" spans="1:14" ht="15" customHeight="1" x14ac:dyDescent="0.25">
      <c r="A33" s="46" t="s">
        <v>1067</v>
      </c>
      <c r="D33" s="5" t="s">
        <v>658</v>
      </c>
      <c r="E33" s="5" t="s">
        <v>1972</v>
      </c>
    </row>
    <row r="34" spans="1:14" ht="15" customHeight="1" x14ac:dyDescent="0.25">
      <c r="A34" s="46" t="s">
        <v>65</v>
      </c>
      <c r="D34" s="5" t="s">
        <v>659</v>
      </c>
      <c r="E34" s="5" t="s">
        <v>1973</v>
      </c>
    </row>
    <row r="35" spans="1:14" ht="15" customHeight="1" x14ac:dyDescent="0.25">
      <c r="A35" s="46" t="s">
        <v>1068</v>
      </c>
      <c r="D35" s="5" t="s">
        <v>660</v>
      </c>
      <c r="E35" s="5" t="s">
        <v>1974</v>
      </c>
      <c r="N35" s="70">
        <v>1</v>
      </c>
    </row>
    <row r="36" spans="1:14" ht="15" customHeight="1" x14ac:dyDescent="0.25">
      <c r="A36" s="46" t="s">
        <v>996</v>
      </c>
      <c r="D36" s="5" t="s">
        <v>661</v>
      </c>
      <c r="E36" s="5" t="s">
        <v>1975</v>
      </c>
    </row>
    <row r="37" spans="1:14" ht="15" customHeight="1" x14ac:dyDescent="0.25">
      <c r="A37" s="46" t="s">
        <v>1069</v>
      </c>
      <c r="D37" s="5" t="s">
        <v>662</v>
      </c>
      <c r="E37" s="5" t="s">
        <v>1976</v>
      </c>
    </row>
    <row r="38" spans="1:14" ht="15" customHeight="1" x14ac:dyDescent="0.25">
      <c r="A38" s="46" t="s">
        <v>1070</v>
      </c>
      <c r="D38" s="5" t="s">
        <v>663</v>
      </c>
      <c r="E38" s="5" t="s">
        <v>1977</v>
      </c>
    </row>
    <row r="39" spans="1:14" ht="15" customHeight="1" x14ac:dyDescent="0.25">
      <c r="A39" s="46" t="s">
        <v>1071</v>
      </c>
      <c r="D39" s="5" t="s">
        <v>664</v>
      </c>
      <c r="E39" s="5" t="s">
        <v>1978</v>
      </c>
    </row>
    <row r="40" spans="1:14" ht="15" customHeight="1" x14ac:dyDescent="0.25">
      <c r="A40" s="46" t="s">
        <v>1072</v>
      </c>
      <c r="D40" s="5" t="s">
        <v>665</v>
      </c>
      <c r="E40" s="5" t="s">
        <v>1979</v>
      </c>
      <c r="N40" s="70">
        <v>1</v>
      </c>
    </row>
    <row r="41" spans="1:14" ht="15" customHeight="1" x14ac:dyDescent="0.25">
      <c r="A41" s="46" t="s">
        <v>999</v>
      </c>
      <c r="D41" s="5" t="s">
        <v>666</v>
      </c>
      <c r="E41" s="165" t="s">
        <v>1980</v>
      </c>
      <c r="N41" s="70">
        <v>1</v>
      </c>
    </row>
    <row r="42" spans="1:14" ht="15" customHeight="1" x14ac:dyDescent="0.25">
      <c r="A42" s="46" t="s">
        <v>1370</v>
      </c>
      <c r="D42" s="5" t="s">
        <v>2496</v>
      </c>
      <c r="E42" s="5" t="s">
        <v>2496</v>
      </c>
      <c r="H42" s="48" t="e">
        <f ca="1">AI_DIV($A$38,$A$41)</f>
        <v>#NAME?</v>
      </c>
      <c r="I42" s="48" t="e">
        <f ca="1">AI_DIV($A$38,$A$41)</f>
        <v>#NAME?</v>
      </c>
      <c r="N42" s="70">
        <v>1</v>
      </c>
    </row>
    <row r="43" spans="1:14" ht="15" customHeight="1" x14ac:dyDescent="0.25">
      <c r="A43" s="41" t="s">
        <v>307</v>
      </c>
      <c r="D43" s="90"/>
      <c r="E43" s="5"/>
      <c r="N43" s="70">
        <v>1</v>
      </c>
    </row>
    <row r="44" spans="1:14" ht="15" customHeight="1" x14ac:dyDescent="0.25">
      <c r="A44" s="46" t="s">
        <v>1081</v>
      </c>
      <c r="D44" s="5" t="s">
        <v>667</v>
      </c>
      <c r="E44" s="5" t="s">
        <v>1981</v>
      </c>
      <c r="N44" s="70">
        <v>1</v>
      </c>
    </row>
    <row r="45" spans="1:14" ht="15" customHeight="1" x14ac:dyDescent="0.25">
      <c r="A45" s="46" t="s">
        <v>999</v>
      </c>
      <c r="D45" s="5" t="s">
        <v>668</v>
      </c>
      <c r="E45" s="5" t="s">
        <v>1982</v>
      </c>
    </row>
    <row r="46" spans="1:14" ht="15" customHeight="1" x14ac:dyDescent="0.25">
      <c r="A46" s="46" t="s">
        <v>1082</v>
      </c>
      <c r="D46" s="5" t="s">
        <v>669</v>
      </c>
      <c r="E46" s="5" t="s">
        <v>1983</v>
      </c>
      <c r="N46" s="70">
        <v>1</v>
      </c>
    </row>
    <row r="47" spans="1:14" ht="15" customHeight="1" x14ac:dyDescent="0.25">
      <c r="A47" s="46" t="s">
        <v>1083</v>
      </c>
      <c r="D47" s="5" t="s">
        <v>670</v>
      </c>
      <c r="E47" s="5" t="s">
        <v>1984</v>
      </c>
    </row>
    <row r="48" spans="1:14" ht="15" customHeight="1" x14ac:dyDescent="0.25">
      <c r="A48" s="46" t="s">
        <v>1004</v>
      </c>
      <c r="D48" s="5" t="s">
        <v>671</v>
      </c>
      <c r="E48" s="5" t="s">
        <v>1985</v>
      </c>
    </row>
    <row r="49" spans="1:12" ht="15" customHeight="1" x14ac:dyDescent="0.25">
      <c r="A49" s="46" t="s">
        <v>1005</v>
      </c>
      <c r="D49" s="5" t="s">
        <v>672</v>
      </c>
      <c r="E49" s="5" t="s">
        <v>1986</v>
      </c>
    </row>
    <row r="50" spans="1:12" ht="15" customHeight="1" x14ac:dyDescent="0.25">
      <c r="A50" s="46" t="s">
        <v>1073</v>
      </c>
      <c r="D50" s="5" t="s">
        <v>673</v>
      </c>
      <c r="E50" s="5" t="s">
        <v>1987</v>
      </c>
    </row>
    <row r="51" spans="1:12" ht="15" customHeight="1" x14ac:dyDescent="0.25">
      <c r="A51" s="46" t="s">
        <v>1084</v>
      </c>
      <c r="D51" s="5" t="s">
        <v>674</v>
      </c>
      <c r="E51" s="5" t="s">
        <v>1988</v>
      </c>
    </row>
    <row r="52" spans="1:12" ht="15" customHeight="1" x14ac:dyDescent="0.25">
      <c r="A52" s="46" t="s">
        <v>1074</v>
      </c>
      <c r="D52" s="5" t="s">
        <v>675</v>
      </c>
      <c r="E52" s="5" t="s">
        <v>1989</v>
      </c>
    </row>
    <row r="53" spans="1:12" ht="15" customHeight="1" x14ac:dyDescent="0.25">
      <c r="A53" s="46" t="s">
        <v>1019</v>
      </c>
      <c r="D53" s="5" t="s">
        <v>676</v>
      </c>
      <c r="E53" s="5" t="s">
        <v>1990</v>
      </c>
    </row>
    <row r="54" spans="1:12" ht="15" customHeight="1" x14ac:dyDescent="0.25">
      <c r="A54" s="46" t="s">
        <v>1075</v>
      </c>
      <c r="D54" s="5" t="s">
        <v>677</v>
      </c>
      <c r="E54" s="5" t="s">
        <v>1991</v>
      </c>
    </row>
    <row r="55" spans="1:12" ht="15" customHeight="1" x14ac:dyDescent="0.25">
      <c r="A55" s="46" t="s">
        <v>1076</v>
      </c>
      <c r="D55" s="5" t="s">
        <v>678</v>
      </c>
      <c r="E55" s="5" t="s">
        <v>1992</v>
      </c>
    </row>
    <row r="56" spans="1:12" ht="15" customHeight="1" x14ac:dyDescent="0.25">
      <c r="A56" s="46" t="s">
        <v>1007</v>
      </c>
      <c r="D56" s="5" t="s">
        <v>679</v>
      </c>
      <c r="E56" s="23" t="s">
        <v>1993</v>
      </c>
    </row>
    <row r="57" spans="1:12" ht="15" customHeight="1" x14ac:dyDescent="0.25">
      <c r="A57" s="46" t="s">
        <v>1009</v>
      </c>
      <c r="D57" s="5" t="s">
        <v>680</v>
      </c>
      <c r="E57" s="5" t="s">
        <v>1994</v>
      </c>
    </row>
    <row r="58" spans="1:12" ht="15" customHeight="1" x14ac:dyDescent="0.25">
      <c r="A58" s="46" t="s">
        <v>1010</v>
      </c>
      <c r="D58" s="23"/>
      <c r="E58" s="5"/>
    </row>
    <row r="59" spans="1:12" ht="15" customHeight="1" x14ac:dyDescent="0.25">
      <c r="A59" s="46" t="s">
        <v>1011</v>
      </c>
      <c r="D59" s="5" t="s">
        <v>681</v>
      </c>
      <c r="E59" s="5" t="s">
        <v>1995</v>
      </c>
    </row>
    <row r="60" spans="1:12" ht="15" customHeight="1" x14ac:dyDescent="0.25">
      <c r="A60" s="46" t="s">
        <v>1012</v>
      </c>
      <c r="D60" s="5" t="s">
        <v>682</v>
      </c>
      <c r="E60" s="23" t="s">
        <v>1996</v>
      </c>
    </row>
    <row r="61" spans="1:12" ht="15" customHeight="1" x14ac:dyDescent="0.25">
      <c r="A61" s="46" t="s">
        <v>1013</v>
      </c>
      <c r="D61" s="5" t="s">
        <v>683</v>
      </c>
      <c r="E61" s="5" t="s">
        <v>1997</v>
      </c>
    </row>
    <row r="62" spans="1:12" ht="15" customHeight="1" x14ac:dyDescent="0.25">
      <c r="A62" s="46" t="s">
        <v>1014</v>
      </c>
      <c r="D62" s="23"/>
      <c r="E62" s="5"/>
    </row>
    <row r="63" spans="1:12" ht="15" customHeight="1" x14ac:dyDescent="0.25">
      <c r="A63" s="46" t="s">
        <v>1011</v>
      </c>
      <c r="D63" s="5" t="s">
        <v>684</v>
      </c>
      <c r="E63" s="5" t="s">
        <v>1998</v>
      </c>
      <c r="J63" s="48" t="s">
        <v>632</v>
      </c>
      <c r="K63" s="5" t="s">
        <v>632</v>
      </c>
      <c r="L63" s="5" t="s">
        <v>1946</v>
      </c>
    </row>
    <row r="64" spans="1:12" ht="15" customHeight="1" x14ac:dyDescent="0.25">
      <c r="A64" s="46" t="s">
        <v>1015</v>
      </c>
      <c r="D64" s="5" t="s">
        <v>685</v>
      </c>
      <c r="E64" s="5" t="s">
        <v>1999</v>
      </c>
      <c r="J64" s="48" t="s">
        <v>665</v>
      </c>
      <c r="K64" s="5" t="s">
        <v>665</v>
      </c>
      <c r="L64" s="5" t="s">
        <v>1979</v>
      </c>
    </row>
    <row r="65" spans="1:14" ht="15" customHeight="1" x14ac:dyDescent="0.25">
      <c r="A65" s="46" t="s">
        <v>1016</v>
      </c>
      <c r="D65" s="5" t="s">
        <v>686</v>
      </c>
      <c r="E65" s="5" t="s">
        <v>2000</v>
      </c>
      <c r="J65" s="48" t="s">
        <v>669</v>
      </c>
      <c r="K65" s="5" t="s">
        <v>669</v>
      </c>
      <c r="L65" s="5" t="s">
        <v>1983</v>
      </c>
    </row>
    <row r="66" spans="1:14" ht="15" customHeight="1" x14ac:dyDescent="0.25">
      <c r="A66" s="46" t="s">
        <v>1077</v>
      </c>
      <c r="D66" s="5" t="s">
        <v>687</v>
      </c>
      <c r="E66" s="5" t="s">
        <v>2001</v>
      </c>
    </row>
    <row r="67" spans="1:14" ht="15" customHeight="1" x14ac:dyDescent="0.25">
      <c r="A67" s="46" t="s">
        <v>1018</v>
      </c>
      <c r="D67" s="5" t="s">
        <v>688</v>
      </c>
      <c r="E67" s="5" t="s">
        <v>2002</v>
      </c>
    </row>
    <row r="68" spans="1:14" ht="15" customHeight="1" x14ac:dyDescent="0.25">
      <c r="A68" s="46" t="s">
        <v>1020</v>
      </c>
      <c r="D68" s="5" t="s">
        <v>689</v>
      </c>
      <c r="E68" s="5" t="s">
        <v>2003</v>
      </c>
    </row>
    <row r="69" spans="1:14" ht="15" customHeight="1" x14ac:dyDescent="0.25">
      <c r="A69" s="46" t="s">
        <v>1085</v>
      </c>
      <c r="D69" s="5" t="s">
        <v>690</v>
      </c>
      <c r="E69" s="91" t="s">
        <v>2004</v>
      </c>
      <c r="N69" s="70">
        <v>1</v>
      </c>
    </row>
    <row r="70" spans="1:14" ht="15" customHeight="1" x14ac:dyDescent="0.25">
      <c r="A70" s="46" t="s">
        <v>1086</v>
      </c>
      <c r="D70" s="5" t="s">
        <v>691</v>
      </c>
      <c r="E70" s="23" t="s">
        <v>2005</v>
      </c>
      <c r="N70" s="70">
        <v>1</v>
      </c>
    </row>
    <row r="71" spans="1:14" ht="15" customHeight="1" x14ac:dyDescent="0.25">
      <c r="A71" s="77"/>
      <c r="D71" s="91"/>
      <c r="E71" s="23"/>
    </row>
    <row r="72" spans="1:14" ht="15" customHeight="1" x14ac:dyDescent="0.25">
      <c r="A72" s="46"/>
      <c r="D72" s="23"/>
      <c r="E72" s="23"/>
    </row>
    <row r="73" spans="1:14" ht="15" customHeight="1" x14ac:dyDescent="0.25">
      <c r="A73" s="46"/>
      <c r="D73" s="23"/>
      <c r="E73" s="23"/>
    </row>
    <row r="74" spans="1:14" ht="15" customHeight="1" x14ac:dyDescent="0.25">
      <c r="A74" s="46"/>
      <c r="D74" s="23"/>
      <c r="E74" s="23"/>
    </row>
    <row r="75" spans="1:14" ht="15" customHeight="1" x14ac:dyDescent="0.25">
      <c r="A75" s="46"/>
      <c r="D75" s="23"/>
      <c r="E75" s="23"/>
    </row>
    <row r="76" spans="1:14" ht="15" customHeight="1" x14ac:dyDescent="0.25">
      <c r="A76" s="46"/>
      <c r="D76" s="23"/>
      <c r="E76" s="23"/>
    </row>
    <row r="77" spans="1:14" ht="15" customHeight="1" x14ac:dyDescent="0.25">
      <c r="A77" s="46"/>
      <c r="D77" s="23"/>
      <c r="E77" s="23"/>
    </row>
    <row r="78" spans="1:14" ht="15" customHeight="1" x14ac:dyDescent="0.25">
      <c r="A78" s="46"/>
      <c r="D78" s="23"/>
      <c r="E78" s="23"/>
    </row>
    <row r="79" spans="1:14" ht="15" customHeight="1" x14ac:dyDescent="0.25">
      <c r="A79" s="46"/>
      <c r="D79" s="23"/>
      <c r="E79" s="23"/>
    </row>
    <row r="80" spans="1:14" ht="15" customHeight="1" x14ac:dyDescent="0.25">
      <c r="A80" s="46"/>
      <c r="D80" s="23"/>
      <c r="E80" s="23"/>
    </row>
    <row r="81" spans="1:5" ht="15" customHeight="1" x14ac:dyDescent="0.25">
      <c r="A81" s="46"/>
      <c r="D81" s="23"/>
      <c r="E81" s="23"/>
    </row>
    <row r="82" spans="1:5" ht="15" customHeight="1" x14ac:dyDescent="0.25">
      <c r="A82" s="46"/>
      <c r="D82" s="23"/>
      <c r="E82" s="23"/>
    </row>
    <row r="83" spans="1:5" ht="15" customHeight="1" x14ac:dyDescent="0.25">
      <c r="A83" s="46"/>
      <c r="D83" s="23"/>
      <c r="E83" s="23"/>
    </row>
    <row r="84" spans="1:5" ht="15" customHeight="1" x14ac:dyDescent="0.25">
      <c r="A84" s="46"/>
      <c r="D84" s="23"/>
      <c r="E84" s="23"/>
    </row>
    <row r="85" spans="1:5" ht="15" customHeight="1" x14ac:dyDescent="0.25">
      <c r="A85" s="46"/>
      <c r="D85" s="23"/>
    </row>
    <row r="86" spans="1:5" ht="15" customHeight="1" x14ac:dyDescent="0.25">
      <c r="A86" s="46"/>
      <c r="D86" s="23"/>
    </row>
  </sheetData>
  <autoFilter ref="A2:N2" xr:uid="{00000000-0009-0000-0000-000012000000}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0"/>
  <dimension ref="A1:O72"/>
  <sheetViews>
    <sheetView topLeftCell="A31" zoomScale="80" zoomScaleNormal="80" workbookViewId="0">
      <selection activeCell="K46" sqref="K46"/>
    </sheetView>
  </sheetViews>
  <sheetFormatPr defaultColWidth="9.140625" defaultRowHeight="15" customHeight="1" x14ac:dyDescent="0.25"/>
  <cols>
    <col min="1" max="1" width="58.7109375" style="20" customWidth="1"/>
    <col min="2" max="3" width="10.7109375" style="50" customWidth="1"/>
    <col min="4" max="5" width="10.7109375" style="70" customWidth="1"/>
    <col min="6" max="7" width="10.7109375" style="49" customWidth="1"/>
    <col min="8" max="14" width="10.7109375" style="48" customWidth="1"/>
    <col min="15" max="15" width="10.7109375" style="49" customWidth="1"/>
    <col min="16" max="17" width="10.7109375" style="48" customWidth="1"/>
    <col min="18" max="16384" width="9.140625" style="48"/>
  </cols>
  <sheetData>
    <row r="1" spans="1:15" ht="15" customHeight="1" x14ac:dyDescent="0.25">
      <c r="A1" s="44"/>
    </row>
    <row r="2" spans="1:15" ht="15" customHeight="1" x14ac:dyDescent="0.25">
      <c r="A2" s="48" t="s">
        <v>2494</v>
      </c>
      <c r="B2" s="50" t="s">
        <v>1622</v>
      </c>
      <c r="C2" s="50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5" ht="15" customHeight="1" x14ac:dyDescent="0.25">
      <c r="A3" s="84" t="s">
        <v>1871</v>
      </c>
      <c r="B3" s="88"/>
      <c r="C3" s="88"/>
      <c r="D3" s="89"/>
      <c r="E3" s="89"/>
      <c r="F3" s="248"/>
      <c r="G3" s="248"/>
      <c r="J3" s="48" t="s">
        <v>1882</v>
      </c>
      <c r="K3" s="48" t="s">
        <v>1883</v>
      </c>
      <c r="L3" s="48">
        <v>230</v>
      </c>
      <c r="O3" s="49">
        <v>1</v>
      </c>
    </row>
    <row r="4" spans="1:15" ht="15" customHeight="1" x14ac:dyDescent="0.25">
      <c r="A4" s="46" t="s">
        <v>1087</v>
      </c>
      <c r="F4" s="7" t="s">
        <v>820</v>
      </c>
      <c r="G4" s="7" t="s">
        <v>2081</v>
      </c>
    </row>
    <row r="5" spans="1:15" ht="15" customHeight="1" x14ac:dyDescent="0.25">
      <c r="A5" s="46" t="s">
        <v>1110</v>
      </c>
      <c r="F5" s="7" t="s">
        <v>821</v>
      </c>
      <c r="G5" s="7" t="s">
        <v>2082</v>
      </c>
      <c r="O5" s="49">
        <v>1</v>
      </c>
    </row>
    <row r="6" spans="1:15" ht="15" customHeight="1" x14ac:dyDescent="0.25">
      <c r="A6" s="46" t="s">
        <v>1088</v>
      </c>
      <c r="F6" s="7" t="s">
        <v>822</v>
      </c>
      <c r="G6" s="7" t="s">
        <v>2083</v>
      </c>
    </row>
    <row r="7" spans="1:15" ht="15" customHeight="1" x14ac:dyDescent="0.25">
      <c r="A7" s="46" t="s">
        <v>1111</v>
      </c>
      <c r="F7" s="7" t="s">
        <v>823</v>
      </c>
      <c r="G7" s="7" t="s">
        <v>2084</v>
      </c>
    </row>
    <row r="8" spans="1:15" ht="15" customHeight="1" x14ac:dyDescent="0.25">
      <c r="A8" s="46" t="s">
        <v>1089</v>
      </c>
      <c r="F8" s="7" t="s">
        <v>824</v>
      </c>
      <c r="G8" s="7" t="s">
        <v>2085</v>
      </c>
    </row>
    <row r="9" spans="1:15" ht="15" customHeight="1" x14ac:dyDescent="0.25">
      <c r="A9" s="46" t="s">
        <v>1090</v>
      </c>
      <c r="F9" s="7" t="s">
        <v>825</v>
      </c>
      <c r="G9" s="7" t="s">
        <v>2086</v>
      </c>
    </row>
    <row r="10" spans="1:15" ht="15" customHeight="1" x14ac:dyDescent="0.25">
      <c r="A10" s="46" t="s">
        <v>1091</v>
      </c>
      <c r="F10" s="7" t="s">
        <v>826</v>
      </c>
      <c r="G10" s="7" t="s">
        <v>2087</v>
      </c>
    </row>
    <row r="11" spans="1:15" ht="15" customHeight="1" x14ac:dyDescent="0.25">
      <c r="A11" s="46" t="s">
        <v>1112</v>
      </c>
      <c r="F11" s="7" t="s">
        <v>827</v>
      </c>
      <c r="G11" s="7" t="s">
        <v>2088</v>
      </c>
    </row>
    <row r="12" spans="1:15" ht="15" customHeight="1" x14ac:dyDescent="0.25">
      <c r="A12" s="18" t="s">
        <v>796</v>
      </c>
      <c r="F12" s="43"/>
      <c r="G12" s="43"/>
    </row>
    <row r="13" spans="1:15" ht="15" customHeight="1" x14ac:dyDescent="0.25">
      <c r="A13" s="46" t="s">
        <v>1092</v>
      </c>
      <c r="F13" s="7" t="s">
        <v>828</v>
      </c>
      <c r="G13" s="7" t="s">
        <v>2089</v>
      </c>
    </row>
    <row r="14" spans="1:15" ht="15" customHeight="1" x14ac:dyDescent="0.25">
      <c r="A14" s="46" t="s">
        <v>1093</v>
      </c>
      <c r="F14" s="7" t="s">
        <v>829</v>
      </c>
      <c r="G14" s="7" t="s">
        <v>2090</v>
      </c>
    </row>
    <row r="15" spans="1:15" ht="15" customHeight="1" x14ac:dyDescent="0.25">
      <c r="A15" s="46" t="s">
        <v>1094</v>
      </c>
      <c r="F15" s="7" t="s">
        <v>830</v>
      </c>
      <c r="G15" s="7" t="s">
        <v>2091</v>
      </c>
    </row>
    <row r="16" spans="1:15" ht="15" customHeight="1" x14ac:dyDescent="0.25">
      <c r="A16" s="46" t="s">
        <v>1095</v>
      </c>
      <c r="F16" s="7" t="s">
        <v>831</v>
      </c>
      <c r="G16" s="7" t="s">
        <v>2092</v>
      </c>
    </row>
    <row r="17" spans="1:15" ht="15" customHeight="1" x14ac:dyDescent="0.25">
      <c r="A17" s="46" t="s">
        <v>1096</v>
      </c>
      <c r="F17" s="7" t="s">
        <v>832</v>
      </c>
      <c r="G17" s="7" t="s">
        <v>2093</v>
      </c>
    </row>
    <row r="18" spans="1:15" ht="15" customHeight="1" x14ac:dyDescent="0.25">
      <c r="A18" s="46" t="s">
        <v>1097</v>
      </c>
      <c r="F18" s="7" t="s">
        <v>833</v>
      </c>
      <c r="G18" s="7" t="s">
        <v>2094</v>
      </c>
    </row>
    <row r="19" spans="1:15" ht="15" customHeight="1" x14ac:dyDescent="0.25">
      <c r="A19" s="46" t="s">
        <v>1098</v>
      </c>
      <c r="F19" s="7" t="s">
        <v>834</v>
      </c>
      <c r="G19" s="7" t="s">
        <v>2095</v>
      </c>
    </row>
    <row r="20" spans="1:15" ht="15" customHeight="1" x14ac:dyDescent="0.25">
      <c r="A20" s="46" t="s">
        <v>1113</v>
      </c>
      <c r="F20" s="7" t="s">
        <v>835</v>
      </c>
      <c r="G20" s="7" t="s">
        <v>2096</v>
      </c>
    </row>
    <row r="21" spans="1:15" ht="15" customHeight="1" x14ac:dyDescent="0.25">
      <c r="A21" s="18" t="s">
        <v>797</v>
      </c>
      <c r="F21" s="43"/>
      <c r="G21" s="43"/>
    </row>
    <row r="22" spans="1:15" ht="15" customHeight="1" x14ac:dyDescent="0.25">
      <c r="A22" s="46" t="s">
        <v>1099</v>
      </c>
      <c r="F22" s="7" t="s">
        <v>836</v>
      </c>
      <c r="G22" s="7" t="s">
        <v>2097</v>
      </c>
    </row>
    <row r="23" spans="1:15" ht="15" customHeight="1" x14ac:dyDescent="0.25">
      <c r="A23" s="46" t="s">
        <v>1114</v>
      </c>
      <c r="F23" s="7" t="s">
        <v>837</v>
      </c>
      <c r="G23" s="7" t="s">
        <v>2098</v>
      </c>
    </row>
    <row r="24" spans="1:15" ht="15" customHeight="1" x14ac:dyDescent="0.25">
      <c r="A24" s="46" t="s">
        <v>1100</v>
      </c>
      <c r="F24" s="7" t="s">
        <v>838</v>
      </c>
      <c r="G24" s="7" t="s">
        <v>2099</v>
      </c>
    </row>
    <row r="25" spans="1:15" ht="15" customHeight="1" x14ac:dyDescent="0.25">
      <c r="A25" s="46" t="s">
        <v>1115</v>
      </c>
      <c r="F25" s="7" t="s">
        <v>839</v>
      </c>
      <c r="G25" s="7" t="s">
        <v>2100</v>
      </c>
    </row>
    <row r="26" spans="1:15" ht="15" customHeight="1" x14ac:dyDescent="0.25">
      <c r="A26" s="46" t="s">
        <v>1101</v>
      </c>
      <c r="F26" s="7" t="s">
        <v>840</v>
      </c>
      <c r="G26" s="7" t="s">
        <v>2101</v>
      </c>
    </row>
    <row r="27" spans="1:15" ht="15" customHeight="1" x14ac:dyDescent="0.25">
      <c r="A27" s="46" t="s">
        <v>1116</v>
      </c>
      <c r="F27" s="7" t="s">
        <v>841</v>
      </c>
      <c r="G27" s="7" t="s">
        <v>2102</v>
      </c>
    </row>
    <row r="28" spans="1:15" ht="15" customHeight="1" x14ac:dyDescent="0.25">
      <c r="A28" s="46" t="s">
        <v>983</v>
      </c>
      <c r="F28" s="7" t="s">
        <v>842</v>
      </c>
      <c r="G28" s="7" t="s">
        <v>2103</v>
      </c>
    </row>
    <row r="29" spans="1:15" ht="15" customHeight="1" x14ac:dyDescent="0.25">
      <c r="A29" s="46" t="s">
        <v>1117</v>
      </c>
      <c r="F29" s="7" t="s">
        <v>843</v>
      </c>
      <c r="G29" s="7" t="s">
        <v>2104</v>
      </c>
      <c r="O29" s="49">
        <v>1</v>
      </c>
    </row>
    <row r="30" spans="1:15" ht="15" customHeight="1" x14ac:dyDescent="0.25">
      <c r="A30" s="46" t="s">
        <v>986</v>
      </c>
      <c r="F30" s="7" t="s">
        <v>844</v>
      </c>
      <c r="G30" s="7" t="s">
        <v>2105</v>
      </c>
      <c r="O30" s="49">
        <v>1</v>
      </c>
    </row>
    <row r="31" spans="1:15" ht="15" customHeight="1" x14ac:dyDescent="0.25">
      <c r="A31" s="46" t="s">
        <v>1118</v>
      </c>
      <c r="F31" s="7" t="s">
        <v>845</v>
      </c>
      <c r="G31" s="7" t="s">
        <v>2106</v>
      </c>
      <c r="O31" s="49">
        <v>1</v>
      </c>
    </row>
    <row r="32" spans="1:15" ht="15" customHeight="1" x14ac:dyDescent="0.25">
      <c r="A32" s="46" t="s">
        <v>1119</v>
      </c>
      <c r="F32" s="7" t="s">
        <v>846</v>
      </c>
      <c r="G32" s="7" t="s">
        <v>2107</v>
      </c>
      <c r="O32" s="49">
        <v>1</v>
      </c>
    </row>
    <row r="33" spans="1:15" ht="15" customHeight="1" x14ac:dyDescent="0.25">
      <c r="A33" s="46" t="s">
        <v>1120</v>
      </c>
      <c r="F33" s="7" t="s">
        <v>847</v>
      </c>
      <c r="G33" s="7" t="s">
        <v>2108</v>
      </c>
    </row>
    <row r="34" spans="1:15" ht="15" customHeight="1" x14ac:dyDescent="0.25">
      <c r="A34" s="46" t="s">
        <v>1102</v>
      </c>
      <c r="F34" s="7" t="s">
        <v>848</v>
      </c>
      <c r="G34" s="7" t="s">
        <v>2109</v>
      </c>
      <c r="O34" s="49">
        <v>1</v>
      </c>
    </row>
    <row r="35" spans="1:15" ht="15" customHeight="1" x14ac:dyDescent="0.25">
      <c r="A35" s="46" t="s">
        <v>1121</v>
      </c>
      <c r="F35" s="7" t="s">
        <v>849</v>
      </c>
      <c r="G35" s="7" t="s">
        <v>2110</v>
      </c>
      <c r="K35" s="27" t="s">
        <v>844</v>
      </c>
      <c r="L35" s="7" t="s">
        <v>844</v>
      </c>
      <c r="M35" s="7" t="s">
        <v>2105</v>
      </c>
      <c r="O35" s="49">
        <v>1</v>
      </c>
    </row>
    <row r="36" spans="1:15" ht="15" customHeight="1" x14ac:dyDescent="0.25">
      <c r="A36" s="46" t="s">
        <v>998</v>
      </c>
      <c r="F36" s="7" t="s">
        <v>850</v>
      </c>
      <c r="G36" s="49" t="s">
        <v>2111</v>
      </c>
      <c r="K36" s="27" t="s">
        <v>845</v>
      </c>
      <c r="L36" s="7" t="s">
        <v>845</v>
      </c>
      <c r="M36" s="7" t="s">
        <v>2106</v>
      </c>
    </row>
    <row r="37" spans="1:15" ht="15" customHeight="1" x14ac:dyDescent="0.25">
      <c r="A37" s="46" t="s">
        <v>1122</v>
      </c>
      <c r="F37" s="7" t="s">
        <v>851</v>
      </c>
      <c r="G37" s="7" t="s">
        <v>2112</v>
      </c>
      <c r="K37" s="27" t="s">
        <v>802</v>
      </c>
      <c r="L37" s="7" t="s">
        <v>802</v>
      </c>
      <c r="M37" s="7" t="s">
        <v>2116</v>
      </c>
      <c r="O37" s="49">
        <v>1</v>
      </c>
    </row>
    <row r="38" spans="1:15" ht="15" customHeight="1" x14ac:dyDescent="0.25">
      <c r="A38" s="46" t="s">
        <v>1370</v>
      </c>
      <c r="F38" s="7" t="s">
        <v>2497</v>
      </c>
      <c r="G38" s="7" t="s">
        <v>2497</v>
      </c>
      <c r="H38" s="48" t="e">
        <f ca="1">AI_DIV($A$36,$A$37)</f>
        <v>#NAME?</v>
      </c>
      <c r="I38" s="48" t="e">
        <f ca="1">AI_DIV($A$36,$A$37)</f>
        <v>#NAME?</v>
      </c>
      <c r="O38" s="49">
        <v>1</v>
      </c>
    </row>
    <row r="39" spans="1:15" ht="15" customHeight="1" x14ac:dyDescent="0.25">
      <c r="A39" s="44" t="s">
        <v>798</v>
      </c>
      <c r="B39" s="66"/>
      <c r="C39" s="66"/>
      <c r="D39" s="68"/>
      <c r="E39" s="68"/>
      <c r="G39" s="7"/>
    </row>
    <row r="40" spans="1:15" ht="15" customHeight="1" x14ac:dyDescent="0.25">
      <c r="A40" s="46" t="s">
        <v>1103</v>
      </c>
      <c r="B40" s="3"/>
      <c r="C40" s="3"/>
      <c r="D40" s="69"/>
      <c r="E40" s="69"/>
      <c r="F40" s="7" t="s">
        <v>799</v>
      </c>
      <c r="G40" s="7" t="s">
        <v>2113</v>
      </c>
      <c r="O40" s="49">
        <v>1</v>
      </c>
    </row>
    <row r="41" spans="1:15" ht="15" customHeight="1" x14ac:dyDescent="0.25">
      <c r="A41" s="46" t="s">
        <v>1104</v>
      </c>
      <c r="B41" s="3"/>
      <c r="C41" s="3"/>
      <c r="D41" s="69"/>
      <c r="E41" s="69"/>
      <c r="F41" s="7" t="s">
        <v>800</v>
      </c>
      <c r="G41" s="7" t="s">
        <v>2114</v>
      </c>
    </row>
    <row r="42" spans="1:15" ht="15" customHeight="1" x14ac:dyDescent="0.25">
      <c r="A42" s="46" t="s">
        <v>1105</v>
      </c>
      <c r="B42" s="3"/>
      <c r="C42" s="3"/>
      <c r="D42" s="69"/>
      <c r="E42" s="69"/>
      <c r="F42" s="7" t="s">
        <v>801</v>
      </c>
      <c r="G42" s="7" t="s">
        <v>2115</v>
      </c>
    </row>
    <row r="43" spans="1:15" ht="15" customHeight="1" x14ac:dyDescent="0.25">
      <c r="A43" s="46" t="s">
        <v>1123</v>
      </c>
      <c r="B43" s="3"/>
      <c r="C43" s="3"/>
      <c r="D43" s="69"/>
      <c r="E43" s="69"/>
      <c r="F43" s="7" t="s">
        <v>802</v>
      </c>
      <c r="G43" s="7" t="s">
        <v>2116</v>
      </c>
      <c r="O43" s="49">
        <v>1</v>
      </c>
    </row>
    <row r="44" spans="1:15" ht="15" customHeight="1" x14ac:dyDescent="0.25">
      <c r="A44" s="46" t="s">
        <v>1106</v>
      </c>
      <c r="B44" s="3"/>
      <c r="C44" s="3"/>
      <c r="D44" s="69"/>
      <c r="E44" s="69"/>
      <c r="F44" s="7" t="s">
        <v>803</v>
      </c>
      <c r="G44" s="7" t="s">
        <v>2117</v>
      </c>
    </row>
    <row r="45" spans="1:15" ht="15" customHeight="1" x14ac:dyDescent="0.25">
      <c r="A45" s="46" t="s">
        <v>1004</v>
      </c>
      <c r="B45" s="3"/>
      <c r="C45" s="3"/>
      <c r="D45" s="69"/>
      <c r="E45" s="69"/>
      <c r="F45" s="7" t="s">
        <v>804</v>
      </c>
      <c r="G45" s="7" t="s">
        <v>2118</v>
      </c>
    </row>
    <row r="46" spans="1:15" ht="15" customHeight="1" x14ac:dyDescent="0.25">
      <c r="A46" s="46" t="s">
        <v>1005</v>
      </c>
      <c r="B46" s="3"/>
      <c r="C46" s="3"/>
      <c r="D46" s="69"/>
      <c r="E46" s="69"/>
      <c r="F46" s="7" t="s">
        <v>805</v>
      </c>
      <c r="G46" s="7" t="s">
        <v>2119</v>
      </c>
    </row>
    <row r="47" spans="1:15" ht="15" customHeight="1" x14ac:dyDescent="0.25">
      <c r="A47" s="46" t="s">
        <v>1107</v>
      </c>
      <c r="B47" s="3"/>
      <c r="C47" s="3"/>
      <c r="D47" s="69"/>
      <c r="E47" s="69"/>
      <c r="F47" s="7" t="s">
        <v>806</v>
      </c>
      <c r="G47" s="7" t="s">
        <v>2120</v>
      </c>
    </row>
    <row r="48" spans="1:15" ht="15" customHeight="1" x14ac:dyDescent="0.25">
      <c r="A48" s="46" t="s">
        <v>1019</v>
      </c>
      <c r="B48" s="3"/>
      <c r="C48" s="3"/>
      <c r="D48" s="69"/>
      <c r="E48" s="69"/>
      <c r="F48" s="7" t="s">
        <v>807</v>
      </c>
      <c r="G48" s="45" t="s">
        <v>2121</v>
      </c>
    </row>
    <row r="49" spans="1:15" ht="15" customHeight="1" x14ac:dyDescent="0.25">
      <c r="A49" s="46" t="s">
        <v>1007</v>
      </c>
      <c r="B49" s="3"/>
      <c r="C49" s="3"/>
      <c r="D49" s="69"/>
      <c r="E49" s="69"/>
      <c r="F49" s="7" t="s">
        <v>808</v>
      </c>
      <c r="G49" s="7" t="s">
        <v>2122</v>
      </c>
      <c r="O49" s="49">
        <v>1</v>
      </c>
    </row>
    <row r="50" spans="1:15" ht="15" customHeight="1" x14ac:dyDescent="0.25">
      <c r="A50" s="46" t="s">
        <v>1009</v>
      </c>
      <c r="B50" s="3"/>
      <c r="C50" s="3"/>
      <c r="D50" s="69"/>
      <c r="E50" s="69"/>
      <c r="F50" s="7" t="s">
        <v>809</v>
      </c>
      <c r="G50" s="7" t="s">
        <v>2123</v>
      </c>
    </row>
    <row r="51" spans="1:15" ht="15" customHeight="1" x14ac:dyDescent="0.25">
      <c r="A51" s="46" t="s">
        <v>1108</v>
      </c>
      <c r="B51" s="67"/>
      <c r="C51" s="67"/>
      <c r="D51" s="69"/>
      <c r="E51" s="69"/>
      <c r="F51" s="45"/>
      <c r="G51" s="7"/>
    </row>
    <row r="52" spans="1:15" ht="15" customHeight="1" x14ac:dyDescent="0.25">
      <c r="A52" s="46" t="s">
        <v>1011</v>
      </c>
      <c r="B52" s="3"/>
      <c r="C52" s="3"/>
      <c r="D52" s="69"/>
      <c r="E52" s="69"/>
      <c r="F52" s="7" t="s">
        <v>810</v>
      </c>
      <c r="G52" s="45" t="s">
        <v>2124</v>
      </c>
    </row>
    <row r="53" spans="1:15" ht="15" customHeight="1" x14ac:dyDescent="0.25">
      <c r="A53" s="46" t="s">
        <v>1012</v>
      </c>
      <c r="B53" s="3"/>
      <c r="C53" s="3"/>
      <c r="D53" s="69"/>
      <c r="E53" s="69"/>
      <c r="F53" s="7" t="s">
        <v>811</v>
      </c>
      <c r="G53" s="7" t="s">
        <v>2125</v>
      </c>
    </row>
    <row r="54" spans="1:15" ht="15" customHeight="1" x14ac:dyDescent="0.25">
      <c r="A54" s="46" t="s">
        <v>1013</v>
      </c>
      <c r="B54" s="3"/>
      <c r="C54" s="3"/>
      <c r="D54" s="69"/>
      <c r="E54" s="69"/>
      <c r="F54" s="7" t="s">
        <v>812</v>
      </c>
      <c r="G54" s="7" t="s">
        <v>2126</v>
      </c>
    </row>
    <row r="55" spans="1:15" ht="15" customHeight="1" x14ac:dyDescent="0.25">
      <c r="A55" s="46" t="s">
        <v>1014</v>
      </c>
      <c r="B55" s="67"/>
      <c r="C55" s="67"/>
      <c r="D55" s="69"/>
      <c r="E55" s="69"/>
      <c r="F55" s="45"/>
      <c r="G55" s="7"/>
    </row>
    <row r="56" spans="1:15" ht="15" customHeight="1" x14ac:dyDescent="0.25">
      <c r="A56" s="46" t="s">
        <v>1011</v>
      </c>
      <c r="B56" s="3"/>
      <c r="C56" s="3"/>
      <c r="D56" s="69"/>
      <c r="E56" s="69"/>
      <c r="F56" s="7" t="s">
        <v>813</v>
      </c>
      <c r="G56" s="7" t="s">
        <v>2127</v>
      </c>
    </row>
    <row r="57" spans="1:15" ht="15" customHeight="1" x14ac:dyDescent="0.25">
      <c r="A57" s="46" t="s">
        <v>1015</v>
      </c>
      <c r="B57" s="3"/>
      <c r="C57" s="3"/>
      <c r="D57" s="69"/>
      <c r="E57" s="69"/>
      <c r="F57" s="7" t="s">
        <v>814</v>
      </c>
      <c r="G57" s="7" t="s">
        <v>2128</v>
      </c>
    </row>
    <row r="58" spans="1:15" ht="15" customHeight="1" x14ac:dyDescent="0.25">
      <c r="A58" s="46" t="s">
        <v>1016</v>
      </c>
      <c r="B58" s="3"/>
      <c r="C58" s="3"/>
      <c r="D58" s="69"/>
      <c r="E58" s="69"/>
      <c r="F58" s="7" t="s">
        <v>815</v>
      </c>
      <c r="G58" s="7" t="s">
        <v>2129</v>
      </c>
    </row>
    <row r="59" spans="1:15" ht="15" customHeight="1" x14ac:dyDescent="0.25">
      <c r="A59" s="46" t="s">
        <v>1018</v>
      </c>
      <c r="B59" s="3"/>
      <c r="C59" s="3"/>
      <c r="D59" s="69"/>
      <c r="E59" s="69"/>
      <c r="F59" s="7" t="s">
        <v>816</v>
      </c>
      <c r="G59" s="7" t="s">
        <v>2130</v>
      </c>
    </row>
    <row r="60" spans="1:15" ht="15" customHeight="1" x14ac:dyDescent="0.25">
      <c r="A60" s="46" t="s">
        <v>1109</v>
      </c>
      <c r="B60" s="3"/>
      <c r="C60" s="3"/>
      <c r="D60" s="69"/>
      <c r="E60" s="69"/>
      <c r="F60" s="7" t="s">
        <v>817</v>
      </c>
      <c r="G60" s="49" t="s">
        <v>2131</v>
      </c>
    </row>
    <row r="61" spans="1:15" ht="15" customHeight="1" x14ac:dyDescent="0.25">
      <c r="A61" s="46" t="s">
        <v>1124</v>
      </c>
      <c r="B61" s="3"/>
      <c r="C61" s="3"/>
      <c r="D61" s="69"/>
      <c r="E61" s="69"/>
      <c r="F61" s="7" t="s">
        <v>818</v>
      </c>
      <c r="G61" s="49" t="s">
        <v>2132</v>
      </c>
      <c r="O61" s="49">
        <v>1</v>
      </c>
    </row>
    <row r="62" spans="1:15" ht="15" customHeight="1" x14ac:dyDescent="0.25">
      <c r="A62" s="46" t="s">
        <v>1125</v>
      </c>
      <c r="B62" s="3"/>
      <c r="C62" s="3"/>
      <c r="D62" s="69"/>
      <c r="E62" s="69"/>
      <c r="F62" s="7" t="s">
        <v>819</v>
      </c>
      <c r="G62" s="49" t="s">
        <v>2133</v>
      </c>
      <c r="O62" s="49">
        <v>1</v>
      </c>
    </row>
    <row r="63" spans="1:15" ht="15" customHeight="1" x14ac:dyDescent="0.25">
      <c r="A63" s="46"/>
      <c r="B63" s="16"/>
      <c r="C63" s="16"/>
      <c r="D63" s="25"/>
      <c r="E63" s="25"/>
      <c r="F63" s="53"/>
    </row>
    <row r="64" spans="1:15" ht="15" customHeight="1" x14ac:dyDescent="0.25">
      <c r="A64" s="77"/>
      <c r="B64" s="75"/>
      <c r="C64" s="75"/>
      <c r="D64" s="76"/>
      <c r="E64" s="76"/>
      <c r="F64" s="53"/>
    </row>
    <row r="65" spans="1:6" ht="15" customHeight="1" x14ac:dyDescent="0.25">
      <c r="A65" s="46"/>
      <c r="B65" s="1"/>
      <c r="C65" s="1"/>
      <c r="D65" s="23"/>
      <c r="E65" s="23"/>
      <c r="F65" s="53"/>
    </row>
    <row r="66" spans="1:6" ht="15" customHeight="1" x14ac:dyDescent="0.25">
      <c r="A66" s="46"/>
      <c r="B66" s="1"/>
      <c r="C66" s="1"/>
      <c r="D66" s="23"/>
      <c r="E66" s="23"/>
      <c r="F66" s="53"/>
    </row>
    <row r="67" spans="1:6" ht="15" customHeight="1" x14ac:dyDescent="0.25">
      <c r="A67" s="46"/>
      <c r="B67" s="1"/>
      <c r="C67" s="1"/>
      <c r="D67" s="23"/>
      <c r="E67" s="23"/>
      <c r="F67" s="53"/>
    </row>
    <row r="68" spans="1:6" ht="15" customHeight="1" x14ac:dyDescent="0.25">
      <c r="A68" s="46"/>
      <c r="B68" s="1"/>
      <c r="C68" s="1"/>
      <c r="D68" s="23"/>
      <c r="E68" s="23"/>
      <c r="F68" s="53"/>
    </row>
    <row r="69" spans="1:6" ht="15" customHeight="1" x14ac:dyDescent="0.25">
      <c r="A69" s="46"/>
      <c r="B69" s="1"/>
      <c r="C69" s="1"/>
      <c r="D69" s="23"/>
      <c r="E69" s="23"/>
      <c r="F69" s="53"/>
    </row>
    <row r="70" spans="1:6" ht="15" customHeight="1" x14ac:dyDescent="0.25">
      <c r="F70" s="53"/>
    </row>
    <row r="71" spans="1:6" ht="15" customHeight="1" x14ac:dyDescent="0.25">
      <c r="F71" s="53"/>
    </row>
    <row r="72" spans="1:6" ht="15" customHeight="1" x14ac:dyDescent="0.25">
      <c r="F72" s="53"/>
    </row>
  </sheetData>
  <autoFilter ref="A2:Q2" xr:uid="{00000000-0009-0000-0000-000013000000}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2:M30"/>
  <sheetViews>
    <sheetView zoomScale="80" zoomScaleNormal="80" workbookViewId="0">
      <selection activeCell="I1" sqref="I1:I1048576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2" width="10.7109375" style="48" customWidth="1"/>
    <col min="13" max="13" width="10.7109375" style="50" customWidth="1"/>
    <col min="14" max="17" width="10.7109375" style="48" customWidth="1"/>
    <col min="18" max="16384" width="9.140625" style="48"/>
  </cols>
  <sheetData>
    <row r="2" spans="1:13" ht="15" customHeight="1" x14ac:dyDescent="0.25">
      <c r="B2" s="50" t="s">
        <v>1622</v>
      </c>
      <c r="C2" s="50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3" ht="15" customHeight="1" x14ac:dyDescent="0.25">
      <c r="A3" s="87" t="s">
        <v>1342</v>
      </c>
      <c r="J3" s="48" t="s">
        <v>1882</v>
      </c>
      <c r="K3" s="48" t="s">
        <v>1883</v>
      </c>
      <c r="L3" s="48">
        <v>231</v>
      </c>
    </row>
    <row r="4" spans="1:13" ht="15" customHeight="1" x14ac:dyDescent="0.25">
      <c r="A4" s="48" t="s">
        <v>742</v>
      </c>
      <c r="B4" s="50" t="s">
        <v>769</v>
      </c>
      <c r="M4" s="50">
        <v>1</v>
      </c>
    </row>
    <row r="5" spans="1:13" ht="15" customHeight="1" x14ac:dyDescent="0.25">
      <c r="A5" s="48" t="s">
        <v>743</v>
      </c>
      <c r="B5" s="50" t="s">
        <v>770</v>
      </c>
    </row>
    <row r="6" spans="1:13" ht="15" customHeight="1" x14ac:dyDescent="0.25">
      <c r="A6" s="48" t="s">
        <v>744</v>
      </c>
      <c r="B6" s="50" t="s">
        <v>771</v>
      </c>
      <c r="M6" s="50">
        <v>1</v>
      </c>
    </row>
    <row r="7" spans="1:13" ht="15" customHeight="1" x14ac:dyDescent="0.25">
      <c r="A7" s="48" t="s">
        <v>745</v>
      </c>
      <c r="B7" s="50" t="s">
        <v>772</v>
      </c>
    </row>
    <row r="8" spans="1:13" ht="15" customHeight="1" x14ac:dyDescent="0.25">
      <c r="A8" s="48" t="s">
        <v>746</v>
      </c>
      <c r="B8" s="50" t="s">
        <v>773</v>
      </c>
      <c r="M8" s="50">
        <v>1</v>
      </c>
    </row>
    <row r="9" spans="1:13" ht="15" customHeight="1" x14ac:dyDescent="0.25">
      <c r="A9" s="48" t="s">
        <v>747</v>
      </c>
      <c r="B9" s="50" t="s">
        <v>774</v>
      </c>
    </row>
    <row r="10" spans="1:13" ht="15" customHeight="1" x14ac:dyDescent="0.25">
      <c r="A10" s="48" t="s">
        <v>748</v>
      </c>
      <c r="B10" s="50" t="s">
        <v>775</v>
      </c>
      <c r="M10" s="50">
        <v>1</v>
      </c>
    </row>
    <row r="11" spans="1:13" ht="15" customHeight="1" x14ac:dyDescent="0.25">
      <c r="A11" s="48" t="s">
        <v>749</v>
      </c>
      <c r="B11" s="50" t="s">
        <v>776</v>
      </c>
    </row>
    <row r="12" spans="1:13" ht="15" customHeight="1" x14ac:dyDescent="0.25">
      <c r="A12" s="48" t="s">
        <v>750</v>
      </c>
      <c r="B12" s="50" t="s">
        <v>777</v>
      </c>
      <c r="M12" s="50">
        <v>1</v>
      </c>
    </row>
    <row r="13" spans="1:13" ht="15" customHeight="1" x14ac:dyDescent="0.25">
      <c r="A13" s="48" t="s">
        <v>751</v>
      </c>
      <c r="B13" s="50" t="s">
        <v>778</v>
      </c>
    </row>
    <row r="14" spans="1:13" ht="15" customHeight="1" x14ac:dyDescent="0.25">
      <c r="A14" s="48" t="s">
        <v>752</v>
      </c>
      <c r="B14" s="50" t="s">
        <v>779</v>
      </c>
      <c r="M14" s="50">
        <v>1</v>
      </c>
    </row>
    <row r="15" spans="1:13" ht="15" customHeight="1" x14ac:dyDescent="0.25">
      <c r="A15" s="48" t="s">
        <v>753</v>
      </c>
      <c r="B15" s="50" t="s">
        <v>780</v>
      </c>
    </row>
    <row r="16" spans="1:13" ht="15" customHeight="1" x14ac:dyDescent="0.25">
      <c r="A16" s="48" t="s">
        <v>754</v>
      </c>
      <c r="B16" s="50" t="s">
        <v>781</v>
      </c>
      <c r="M16" s="50">
        <v>1</v>
      </c>
    </row>
    <row r="17" spans="1:13" ht="15" customHeight="1" x14ac:dyDescent="0.25">
      <c r="A17" s="48" t="s">
        <v>755</v>
      </c>
      <c r="B17" s="50" t="s">
        <v>782</v>
      </c>
    </row>
    <row r="18" spans="1:13" ht="15" customHeight="1" x14ac:dyDescent="0.25">
      <c r="A18" s="48" t="s">
        <v>756</v>
      </c>
      <c r="B18" s="50" t="s">
        <v>783</v>
      </c>
      <c r="M18" s="50">
        <v>1</v>
      </c>
    </row>
    <row r="19" spans="1:13" ht="15" customHeight="1" x14ac:dyDescent="0.25">
      <c r="A19" s="48" t="s">
        <v>757</v>
      </c>
      <c r="B19" s="50" t="s">
        <v>784</v>
      </c>
    </row>
    <row r="20" spans="1:13" ht="15" customHeight="1" x14ac:dyDescent="0.25">
      <c r="A20" s="48" t="s">
        <v>758</v>
      </c>
      <c r="B20" s="50" t="s">
        <v>785</v>
      </c>
      <c r="M20" s="50">
        <v>1</v>
      </c>
    </row>
    <row r="21" spans="1:13" ht="15" customHeight="1" x14ac:dyDescent="0.25">
      <c r="A21" s="48" t="s">
        <v>759</v>
      </c>
      <c r="B21" s="50" t="s">
        <v>786</v>
      </c>
    </row>
    <row r="22" spans="1:13" ht="15" customHeight="1" x14ac:dyDescent="0.25">
      <c r="A22" s="48" t="s">
        <v>760</v>
      </c>
      <c r="B22" s="50" t="s">
        <v>787</v>
      </c>
      <c r="M22" s="50">
        <v>1</v>
      </c>
    </row>
    <row r="23" spans="1:13" ht="15" customHeight="1" x14ac:dyDescent="0.25">
      <c r="A23" s="48" t="s">
        <v>761</v>
      </c>
      <c r="B23" s="50" t="s">
        <v>788</v>
      </c>
    </row>
    <row r="24" spans="1:13" ht="15" customHeight="1" x14ac:dyDescent="0.25">
      <c r="A24" s="48" t="s">
        <v>762</v>
      </c>
      <c r="B24" s="50" t="s">
        <v>789</v>
      </c>
      <c r="M24" s="50">
        <v>1</v>
      </c>
    </row>
    <row r="25" spans="1:13" ht="15" customHeight="1" x14ac:dyDescent="0.25">
      <c r="A25" s="48" t="s">
        <v>763</v>
      </c>
      <c r="B25" s="50" t="s">
        <v>790</v>
      </c>
    </row>
    <row r="26" spans="1:13" ht="15" customHeight="1" x14ac:dyDescent="0.25">
      <c r="A26" s="48" t="s">
        <v>764</v>
      </c>
      <c r="B26" s="50" t="s">
        <v>791</v>
      </c>
      <c r="M26" s="50">
        <v>1</v>
      </c>
    </row>
    <row r="27" spans="1:13" ht="15" customHeight="1" x14ac:dyDescent="0.25">
      <c r="A27" s="48" t="s">
        <v>765</v>
      </c>
      <c r="B27" s="50" t="s">
        <v>792</v>
      </c>
    </row>
    <row r="28" spans="1:13" ht="15" customHeight="1" x14ac:dyDescent="0.25">
      <c r="A28" s="48" t="s">
        <v>766</v>
      </c>
      <c r="B28" s="50" t="s">
        <v>793</v>
      </c>
      <c r="M28" s="50">
        <v>1</v>
      </c>
    </row>
    <row r="29" spans="1:13" ht="15" customHeight="1" x14ac:dyDescent="0.25">
      <c r="A29" s="48" t="s">
        <v>767</v>
      </c>
      <c r="B29" s="50" t="s">
        <v>794</v>
      </c>
    </row>
    <row r="30" spans="1:13" ht="15" customHeight="1" x14ac:dyDescent="0.25">
      <c r="A30" s="48" t="s">
        <v>768</v>
      </c>
      <c r="B30" s="50" t="s">
        <v>795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2"/>
  <dimension ref="A2:N28"/>
  <sheetViews>
    <sheetView zoomScale="80" zoomScaleNormal="80" workbookViewId="0">
      <selection activeCell="I1" sqref="I1:I1048576"/>
    </sheetView>
  </sheetViews>
  <sheetFormatPr defaultColWidth="10.7109375" defaultRowHeight="15" customHeight="1" x14ac:dyDescent="0.25"/>
  <cols>
    <col min="1" max="1" width="58.7109375" style="48" customWidth="1"/>
    <col min="2" max="3" width="10.7109375" style="50"/>
    <col min="4" max="5" width="10.7109375" style="70"/>
    <col min="6" max="7" width="10.7109375" style="49"/>
    <col min="8" max="13" width="10.7109375" style="48"/>
    <col min="14" max="14" width="10.7109375" style="70"/>
    <col min="15" max="16384" width="10.7109375" style="48"/>
  </cols>
  <sheetData>
    <row r="2" spans="1:14" ht="15" customHeight="1" x14ac:dyDescent="0.25">
      <c r="B2" s="50" t="s">
        <v>1622</v>
      </c>
      <c r="C2" s="50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4" ht="15" customHeight="1" x14ac:dyDescent="0.25">
      <c r="A3" s="87" t="s">
        <v>1342</v>
      </c>
      <c r="J3" s="48" t="s">
        <v>1882</v>
      </c>
      <c r="K3" s="48" t="s">
        <v>1883</v>
      </c>
      <c r="L3" s="48">
        <v>229</v>
      </c>
    </row>
    <row r="4" spans="1:14" ht="15" customHeight="1" x14ac:dyDescent="0.25">
      <c r="A4" s="48" t="s">
        <v>692</v>
      </c>
      <c r="D4" s="70" t="s">
        <v>693</v>
      </c>
      <c r="N4" s="70">
        <v>1</v>
      </c>
    </row>
    <row r="5" spans="1:14" ht="15" customHeight="1" x14ac:dyDescent="0.25">
      <c r="A5" s="48" t="s">
        <v>694</v>
      </c>
      <c r="D5" s="70" t="s">
        <v>695</v>
      </c>
    </row>
    <row r="6" spans="1:14" ht="15" customHeight="1" x14ac:dyDescent="0.25">
      <c r="A6" s="48" t="s">
        <v>696</v>
      </c>
      <c r="D6" s="70" t="s">
        <v>697</v>
      </c>
      <c r="N6" s="70">
        <v>1</v>
      </c>
    </row>
    <row r="7" spans="1:14" ht="15" customHeight="1" x14ac:dyDescent="0.25">
      <c r="A7" s="48" t="s">
        <v>698</v>
      </c>
      <c r="D7" s="70" t="s">
        <v>699</v>
      </c>
    </row>
    <row r="8" spans="1:14" ht="15" customHeight="1" x14ac:dyDescent="0.25">
      <c r="A8" s="48" t="s">
        <v>700</v>
      </c>
      <c r="D8" s="70" t="s">
        <v>701</v>
      </c>
      <c r="N8" s="70">
        <v>1</v>
      </c>
    </row>
    <row r="9" spans="1:14" ht="15" customHeight="1" x14ac:dyDescent="0.25">
      <c r="A9" s="48" t="s">
        <v>702</v>
      </c>
      <c r="D9" s="70" t="s">
        <v>703</v>
      </c>
    </row>
    <row r="10" spans="1:14" ht="15" customHeight="1" x14ac:dyDescent="0.25">
      <c r="A10" s="48" t="s">
        <v>704</v>
      </c>
      <c r="D10" s="70" t="s">
        <v>705</v>
      </c>
      <c r="N10" s="70">
        <v>1</v>
      </c>
    </row>
    <row r="11" spans="1:14" ht="15" customHeight="1" x14ac:dyDescent="0.25">
      <c r="A11" s="48" t="s">
        <v>706</v>
      </c>
      <c r="D11" s="70" t="s">
        <v>707</v>
      </c>
    </row>
    <row r="12" spans="1:14" ht="15" customHeight="1" x14ac:dyDescent="0.25">
      <c r="A12" s="48" t="s">
        <v>708</v>
      </c>
      <c r="D12" s="70" t="s">
        <v>709</v>
      </c>
      <c r="N12" s="70">
        <v>1</v>
      </c>
    </row>
    <row r="13" spans="1:14" ht="15" customHeight="1" x14ac:dyDescent="0.25">
      <c r="A13" s="48" t="s">
        <v>710</v>
      </c>
      <c r="D13" s="70" t="s">
        <v>711</v>
      </c>
    </row>
    <row r="14" spans="1:14" ht="15" customHeight="1" x14ac:dyDescent="0.25">
      <c r="A14" s="48" t="s">
        <v>712</v>
      </c>
      <c r="D14" s="70" t="s">
        <v>713</v>
      </c>
      <c r="N14" s="70">
        <v>1</v>
      </c>
    </row>
    <row r="15" spans="1:14" ht="15" customHeight="1" x14ac:dyDescent="0.25">
      <c r="A15" s="48" t="s">
        <v>714</v>
      </c>
      <c r="D15" s="70" t="s">
        <v>715</v>
      </c>
    </row>
    <row r="16" spans="1:14" ht="15" customHeight="1" x14ac:dyDescent="0.25">
      <c r="A16" s="48" t="s">
        <v>716</v>
      </c>
      <c r="D16" s="70" t="s">
        <v>717</v>
      </c>
      <c r="N16" s="70">
        <v>1</v>
      </c>
    </row>
    <row r="17" spans="1:14" ht="15" customHeight="1" x14ac:dyDescent="0.25">
      <c r="A17" s="48" t="s">
        <v>718</v>
      </c>
      <c r="D17" s="70" t="s">
        <v>719</v>
      </c>
    </row>
    <row r="18" spans="1:14" ht="15" customHeight="1" x14ac:dyDescent="0.25">
      <c r="A18" s="48" t="s">
        <v>720</v>
      </c>
      <c r="D18" s="70" t="s">
        <v>721</v>
      </c>
      <c r="N18" s="70">
        <v>1</v>
      </c>
    </row>
    <row r="19" spans="1:14" ht="15" customHeight="1" x14ac:dyDescent="0.25">
      <c r="A19" s="48" t="s">
        <v>722</v>
      </c>
      <c r="D19" s="70" t="s">
        <v>723</v>
      </c>
    </row>
    <row r="20" spans="1:14" ht="15" customHeight="1" x14ac:dyDescent="0.25">
      <c r="A20" s="48" t="s">
        <v>724</v>
      </c>
      <c r="D20" s="70" t="s">
        <v>725</v>
      </c>
      <c r="N20" s="70">
        <v>1</v>
      </c>
    </row>
    <row r="21" spans="1:14" ht="15" customHeight="1" x14ac:dyDescent="0.25">
      <c r="A21" s="48" t="s">
        <v>726</v>
      </c>
      <c r="D21" s="70" t="s">
        <v>727</v>
      </c>
    </row>
    <row r="22" spans="1:14" ht="15" customHeight="1" x14ac:dyDescent="0.25">
      <c r="A22" s="48" t="s">
        <v>728</v>
      </c>
      <c r="D22" s="70" t="s">
        <v>729</v>
      </c>
      <c r="N22" s="70">
        <v>1</v>
      </c>
    </row>
    <row r="23" spans="1:14" ht="15" customHeight="1" x14ac:dyDescent="0.25">
      <c r="A23" s="48" t="s">
        <v>730</v>
      </c>
      <c r="D23" s="70" t="s">
        <v>731</v>
      </c>
    </row>
    <row r="24" spans="1:14" ht="15" customHeight="1" x14ac:dyDescent="0.25">
      <c r="A24" s="48" t="s">
        <v>732</v>
      </c>
      <c r="D24" s="70" t="s">
        <v>733</v>
      </c>
      <c r="N24" s="70">
        <v>1</v>
      </c>
    </row>
    <row r="25" spans="1:14" ht="15" customHeight="1" x14ac:dyDescent="0.25">
      <c r="A25" s="48" t="s">
        <v>734</v>
      </c>
      <c r="D25" s="70" t="s">
        <v>735</v>
      </c>
    </row>
    <row r="26" spans="1:14" ht="15" customHeight="1" x14ac:dyDescent="0.25">
      <c r="A26" s="48" t="s">
        <v>736</v>
      </c>
      <c r="D26" s="70" t="s">
        <v>737</v>
      </c>
      <c r="N26" s="70">
        <v>1</v>
      </c>
    </row>
    <row r="27" spans="1:14" ht="15" customHeight="1" x14ac:dyDescent="0.25">
      <c r="A27" s="48" t="s">
        <v>738</v>
      </c>
      <c r="D27" s="70" t="s">
        <v>739</v>
      </c>
    </row>
    <row r="28" spans="1:14" ht="15" customHeight="1" x14ac:dyDescent="0.25">
      <c r="A28" s="48" t="s">
        <v>740</v>
      </c>
      <c r="D28" s="70" t="s"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5C94-A1D4-4CF8-9398-FC7809EC7CE7}">
  <dimension ref="A1:GS3"/>
  <sheetViews>
    <sheetView topLeftCell="E1" zoomScale="80" zoomScaleNormal="80" workbookViewId="0">
      <pane ySplit="1" topLeftCell="A2" activePane="bottomLeft" state="frozen"/>
      <selection pane="bottomLeft" activeCell="CK20" sqref="CK20"/>
    </sheetView>
  </sheetViews>
  <sheetFormatPr defaultColWidth="12" defaultRowHeight="15" x14ac:dyDescent="0.25"/>
  <cols>
    <col min="1" max="1" width="46.28515625" style="135" customWidth="1"/>
    <col min="2" max="4" width="15.7109375" style="135" customWidth="1"/>
    <col min="5" max="9" width="15.7109375" style="185" customWidth="1"/>
    <col min="10" max="11" width="15.7109375" style="238" customWidth="1"/>
    <col min="12" max="17" width="15.7109375" style="231" customWidth="1"/>
    <col min="18" max="18" width="15.7109375" style="240" customWidth="1"/>
    <col min="19" max="19" width="15.7109375" style="377" customWidth="1"/>
    <col min="20" max="20" width="15.7109375" style="238" customWidth="1"/>
    <col min="21" max="21" width="15.7109375" style="240" customWidth="1"/>
    <col min="22" max="22" width="15.7109375" style="377" customWidth="1"/>
    <col min="23" max="23" width="15.7109375" style="238" customWidth="1"/>
    <col min="24" max="24" width="15.7109375" style="240" customWidth="1"/>
    <col min="25" max="25" width="15.7109375" style="377" customWidth="1"/>
    <col min="26" max="26" width="15.7109375" style="238" customWidth="1"/>
    <col min="27" max="27" width="15.7109375" style="240" customWidth="1"/>
    <col min="28" max="28" width="15.7109375" style="377" customWidth="1"/>
    <col min="29" max="29" width="15.7109375" style="238" customWidth="1"/>
    <col min="30" max="30" width="15.7109375" style="240" customWidth="1"/>
    <col min="31" max="31" width="15.7109375" style="377" customWidth="1"/>
    <col min="32" max="32" width="15.7109375" style="238" customWidth="1"/>
    <col min="33" max="33" width="15.7109375" style="240" customWidth="1"/>
    <col min="34" max="34" width="15.7109375" style="377" customWidth="1"/>
    <col min="35" max="35" width="15.7109375" style="238" customWidth="1"/>
    <col min="36" max="36" width="15.7109375" style="240" customWidth="1"/>
    <col min="37" max="37" width="15.7109375" style="377" customWidth="1"/>
    <col min="38" max="38" width="15.7109375" style="238" customWidth="1"/>
    <col min="39" max="39" width="15.7109375" style="240" customWidth="1"/>
    <col min="40" max="40" width="15.7109375" style="377" customWidth="1"/>
    <col min="41" max="41" width="15.7109375" style="238" customWidth="1"/>
    <col min="42" max="42" width="15.7109375" style="240" customWidth="1"/>
    <col min="43" max="43" width="15.7109375" style="377" customWidth="1"/>
    <col min="44" max="44" width="15.7109375" style="238" customWidth="1"/>
    <col min="45" max="45" width="15.7109375" style="240" customWidth="1"/>
    <col min="46" max="46" width="15.7109375" style="377" customWidth="1"/>
    <col min="47" max="47" width="15.7109375" style="238" customWidth="1"/>
    <col min="48" max="48" width="15.7109375" style="240" customWidth="1"/>
    <col min="49" max="49" width="15.7109375" style="377" customWidth="1"/>
    <col min="50" max="50" width="15.7109375" style="238" customWidth="1"/>
    <col min="51" max="51" width="15.7109375" style="240" customWidth="1"/>
    <col min="52" max="52" width="15.7109375" style="377" customWidth="1"/>
    <col min="53" max="53" width="15.7109375" style="238" customWidth="1"/>
    <col min="54" max="54" width="15.7109375" style="240" customWidth="1"/>
    <col min="55" max="55" width="15.7109375" style="377" customWidth="1"/>
    <col min="56" max="56" width="15.7109375" style="238" customWidth="1"/>
    <col min="57" max="57" width="15.7109375" style="240" customWidth="1"/>
    <col min="58" max="58" width="15.7109375" style="377" customWidth="1"/>
    <col min="59" max="59" width="15.7109375" style="238" customWidth="1"/>
    <col min="60" max="60" width="15.7109375" style="240" customWidth="1"/>
    <col min="61" max="61" width="15.7109375" style="377" customWidth="1"/>
    <col min="62" max="62" width="15.7109375" style="238" customWidth="1"/>
    <col min="63" max="63" width="15.7109375" style="240" customWidth="1"/>
    <col min="64" max="64" width="15.7109375" style="377" customWidth="1"/>
    <col min="65" max="65" width="15.7109375" style="238" customWidth="1"/>
    <col min="66" max="66" width="15.7109375" style="240" customWidth="1"/>
    <col min="67" max="67" width="15.7109375" style="377" customWidth="1"/>
    <col min="68" max="68" width="15.7109375" style="238" customWidth="1"/>
    <col min="69" max="69" width="15.7109375" style="240" customWidth="1"/>
    <col min="70" max="70" width="15.7109375" style="377" customWidth="1"/>
    <col min="71" max="71" width="15.7109375" style="238" customWidth="1"/>
    <col min="72" max="72" width="15.7109375" style="240" customWidth="1"/>
    <col min="73" max="73" width="15.7109375" style="377" customWidth="1"/>
    <col min="74" max="74" width="15.7109375" style="238" customWidth="1"/>
    <col min="75" max="75" width="15.7109375" style="240" customWidth="1"/>
    <col min="76" max="76" width="15.7109375" style="377" customWidth="1"/>
    <col min="77" max="77" width="15.7109375" style="238" customWidth="1"/>
    <col min="78" max="78" width="15.7109375" style="240" customWidth="1"/>
    <col min="79" max="79" width="15.7109375" style="377" customWidth="1"/>
    <col min="80" max="80" width="15.7109375" style="238" customWidth="1"/>
    <col min="81" max="81" width="15.7109375" style="240" customWidth="1"/>
    <col min="82" max="82" width="15.7109375" style="377" customWidth="1"/>
    <col min="83" max="83" width="15.7109375" style="238" customWidth="1"/>
    <col min="84" max="84" width="15.7109375" style="240" customWidth="1"/>
    <col min="85" max="85" width="15.7109375" style="377" customWidth="1"/>
    <col min="86" max="86" width="12" style="117"/>
    <col min="87" max="88" width="15.7109375" style="377" customWidth="1"/>
    <col min="89" max="89" width="15.7109375" style="185" customWidth="1"/>
    <col min="90" max="91" width="15.7109375" style="377" customWidth="1"/>
    <col min="92" max="92" width="15.7109375" style="185" customWidth="1"/>
    <col min="93" max="94" width="15.7109375" style="377" customWidth="1"/>
    <col min="95" max="95" width="15.7109375" style="185" customWidth="1"/>
    <col min="96" max="97" width="15.7109375" style="377" customWidth="1"/>
    <col min="98" max="98" width="15.7109375" style="185" customWidth="1"/>
    <col min="99" max="142" width="12" style="117"/>
    <col min="143" max="16384" width="12" style="417"/>
  </cols>
  <sheetData>
    <row r="1" spans="1:201" x14ac:dyDescent="0.25">
      <c r="S1" s="240"/>
      <c r="V1" s="240"/>
      <c r="Y1" s="240"/>
      <c r="AB1" s="240"/>
      <c r="AE1" s="240"/>
      <c r="AH1" s="240"/>
      <c r="AK1" s="240"/>
      <c r="AN1" s="240"/>
      <c r="AQ1" s="240"/>
      <c r="AT1" s="240"/>
      <c r="AW1" s="240"/>
      <c r="AZ1" s="240"/>
      <c r="BC1" s="240"/>
      <c r="BF1" s="240"/>
      <c r="BI1" s="240"/>
      <c r="BL1" s="240"/>
      <c r="BO1" s="240"/>
      <c r="BR1" s="240"/>
      <c r="BU1" s="240"/>
      <c r="BX1" s="240"/>
      <c r="CA1" s="240"/>
      <c r="CD1" s="240"/>
      <c r="CF1" s="514" t="s">
        <v>3251</v>
      </c>
      <c r="CG1" s="514"/>
      <c r="CH1" s="514"/>
      <c r="CI1" s="514"/>
      <c r="CJ1" s="514"/>
      <c r="CK1" s="514"/>
      <c r="CL1" s="514"/>
      <c r="CM1" s="514"/>
      <c r="CN1" s="514"/>
      <c r="CO1" s="514"/>
      <c r="CP1" s="514"/>
      <c r="CQ1" s="514"/>
      <c r="CR1" s="514"/>
      <c r="CS1" s="514"/>
      <c r="CT1" s="514"/>
    </row>
    <row r="2" spans="1:201" s="223" customFormat="1" ht="65.099999999999994" customHeight="1" x14ac:dyDescent="0.25">
      <c r="A2" s="224" t="s">
        <v>2172</v>
      </c>
      <c r="B2" s="224" t="s">
        <v>2500</v>
      </c>
      <c r="C2" s="224" t="s">
        <v>2501</v>
      </c>
      <c r="D2" s="224" t="s">
        <v>2504</v>
      </c>
      <c r="E2" s="355" t="s">
        <v>1880</v>
      </c>
      <c r="F2" s="355" t="s">
        <v>2776</v>
      </c>
      <c r="G2" s="355" t="s">
        <v>2777</v>
      </c>
      <c r="H2" s="355" t="s">
        <v>3127</v>
      </c>
      <c r="I2" s="355" t="s">
        <v>2785</v>
      </c>
      <c r="J2" s="355" t="s">
        <v>1801</v>
      </c>
      <c r="K2" s="375" t="s">
        <v>2410</v>
      </c>
      <c r="L2" s="247" t="s">
        <v>1573</v>
      </c>
      <c r="M2" s="246" t="s">
        <v>1896</v>
      </c>
      <c r="N2" s="232" t="s">
        <v>2451</v>
      </c>
      <c r="O2" s="232" t="s">
        <v>2450</v>
      </c>
      <c r="P2" s="232" t="s">
        <v>2448</v>
      </c>
      <c r="Q2" s="232" t="s">
        <v>2449</v>
      </c>
      <c r="R2" s="515" t="s">
        <v>42</v>
      </c>
      <c r="S2" s="516"/>
      <c r="T2" s="517"/>
      <c r="U2" s="515" t="s">
        <v>43</v>
      </c>
      <c r="V2" s="516"/>
      <c r="W2" s="517"/>
      <c r="X2" s="515" t="s">
        <v>44</v>
      </c>
      <c r="Y2" s="516"/>
      <c r="Z2" s="517"/>
      <c r="AA2" s="515" t="s">
        <v>45</v>
      </c>
      <c r="AB2" s="516"/>
      <c r="AC2" s="517"/>
      <c r="AD2" s="515" t="s">
        <v>46</v>
      </c>
      <c r="AE2" s="516"/>
      <c r="AF2" s="517"/>
      <c r="AG2" s="515" t="s">
        <v>47</v>
      </c>
      <c r="AH2" s="516"/>
      <c r="AI2" s="517"/>
      <c r="AJ2" s="515" t="s">
        <v>48</v>
      </c>
      <c r="AK2" s="516"/>
      <c r="AL2" s="517"/>
      <c r="AM2" s="515" t="s">
        <v>49</v>
      </c>
      <c r="AN2" s="516"/>
      <c r="AO2" s="517"/>
      <c r="AP2" s="515" t="s">
        <v>50</v>
      </c>
      <c r="AQ2" s="516"/>
      <c r="AR2" s="517"/>
      <c r="AS2" s="515" t="s">
        <v>51</v>
      </c>
      <c r="AT2" s="516"/>
      <c r="AU2" s="517"/>
      <c r="AV2" s="515" t="s">
        <v>52</v>
      </c>
      <c r="AW2" s="516"/>
      <c r="AX2" s="517"/>
      <c r="AY2" s="515" t="s">
        <v>53</v>
      </c>
      <c r="AZ2" s="516"/>
      <c r="BA2" s="517"/>
      <c r="BB2" s="515" t="s">
        <v>54</v>
      </c>
      <c r="BC2" s="516"/>
      <c r="BD2" s="517"/>
      <c r="BE2" s="515" t="s">
        <v>55</v>
      </c>
      <c r="BF2" s="516"/>
      <c r="BG2" s="517"/>
      <c r="BH2" s="515" t="s">
        <v>56</v>
      </c>
      <c r="BI2" s="516"/>
      <c r="BJ2" s="517"/>
      <c r="BK2" s="515" t="s">
        <v>57</v>
      </c>
      <c r="BL2" s="516"/>
      <c r="BM2" s="517"/>
      <c r="BN2" s="515" t="s">
        <v>58</v>
      </c>
      <c r="BO2" s="516"/>
      <c r="BP2" s="517"/>
      <c r="BQ2" s="515" t="s">
        <v>59</v>
      </c>
      <c r="BR2" s="516"/>
      <c r="BS2" s="517"/>
      <c r="BT2" s="515" t="s">
        <v>60</v>
      </c>
      <c r="BU2" s="516"/>
      <c r="BV2" s="517"/>
      <c r="BW2" s="515" t="s">
        <v>61</v>
      </c>
      <c r="BX2" s="516"/>
      <c r="BY2" s="517"/>
      <c r="BZ2" s="515" t="s">
        <v>62</v>
      </c>
      <c r="CA2" s="516"/>
      <c r="CB2" s="517"/>
      <c r="CC2" s="515" t="s">
        <v>63</v>
      </c>
      <c r="CD2" s="516"/>
      <c r="CE2" s="517"/>
      <c r="CF2" s="515" t="s">
        <v>64</v>
      </c>
      <c r="CG2" s="516"/>
      <c r="CH2" s="517"/>
      <c r="CI2" s="515" t="s">
        <v>3129</v>
      </c>
      <c r="CJ2" s="516"/>
      <c r="CK2" s="517"/>
      <c r="CL2" s="515" t="s">
        <v>3130</v>
      </c>
      <c r="CM2" s="516"/>
      <c r="CN2" s="517"/>
      <c r="CO2" s="515" t="s">
        <v>3131</v>
      </c>
      <c r="CP2" s="516"/>
      <c r="CQ2" s="517"/>
      <c r="CR2" s="515" t="s">
        <v>3132</v>
      </c>
      <c r="CS2" s="516"/>
      <c r="CT2" s="517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2"/>
      <c r="EB2" s="222"/>
      <c r="EC2" s="222"/>
      <c r="ED2" s="222"/>
      <c r="EE2" s="222"/>
      <c r="EF2" s="222"/>
      <c r="EG2" s="222"/>
      <c r="EH2" s="222"/>
      <c r="EI2" s="222"/>
      <c r="EJ2" s="222"/>
      <c r="EK2" s="222"/>
      <c r="EL2" s="222"/>
      <c r="EM2" s="222"/>
      <c r="GS2" s="221"/>
    </row>
    <row r="3" spans="1:201" x14ac:dyDescent="0.25">
      <c r="A3" s="225"/>
      <c r="B3" s="225"/>
      <c r="C3" s="225"/>
      <c r="D3" s="225"/>
      <c r="E3" s="271"/>
      <c r="F3" s="271"/>
      <c r="G3" s="271"/>
      <c r="H3" s="271"/>
      <c r="I3" s="271"/>
      <c r="J3" s="237"/>
      <c r="K3" s="237"/>
      <c r="L3" s="236"/>
      <c r="M3" s="236"/>
      <c r="N3" s="236"/>
      <c r="O3" s="236"/>
      <c r="P3" s="236"/>
      <c r="Q3" s="376"/>
      <c r="R3" s="239" t="s">
        <v>2447</v>
      </c>
      <c r="S3" s="239" t="s">
        <v>3556</v>
      </c>
      <c r="T3" s="239" t="s">
        <v>2446</v>
      </c>
      <c r="U3" s="239" t="s">
        <v>2447</v>
      </c>
      <c r="V3" s="239" t="s">
        <v>3556</v>
      </c>
      <c r="W3" s="239" t="s">
        <v>2446</v>
      </c>
      <c r="X3" s="239" t="s">
        <v>2447</v>
      </c>
      <c r="Y3" s="239" t="s">
        <v>3556</v>
      </c>
      <c r="Z3" s="239" t="s">
        <v>2446</v>
      </c>
      <c r="AA3" s="239" t="s">
        <v>2447</v>
      </c>
      <c r="AB3" s="239" t="s">
        <v>3556</v>
      </c>
      <c r="AC3" s="239" t="s">
        <v>2446</v>
      </c>
      <c r="AD3" s="239" t="s">
        <v>2447</v>
      </c>
      <c r="AE3" s="239" t="s">
        <v>3556</v>
      </c>
      <c r="AF3" s="239" t="s">
        <v>2446</v>
      </c>
      <c r="AG3" s="239" t="s">
        <v>2447</v>
      </c>
      <c r="AH3" s="239" t="s">
        <v>3556</v>
      </c>
      <c r="AI3" s="239" t="s">
        <v>2446</v>
      </c>
      <c r="AJ3" s="239" t="s">
        <v>2447</v>
      </c>
      <c r="AK3" s="239" t="s">
        <v>3556</v>
      </c>
      <c r="AL3" s="239" t="s">
        <v>2446</v>
      </c>
      <c r="AM3" s="239" t="s">
        <v>2447</v>
      </c>
      <c r="AN3" s="239" t="s">
        <v>3556</v>
      </c>
      <c r="AO3" s="239" t="s">
        <v>2446</v>
      </c>
      <c r="AP3" s="239" t="s">
        <v>2447</v>
      </c>
      <c r="AQ3" s="239" t="s">
        <v>3556</v>
      </c>
      <c r="AR3" s="239" t="s">
        <v>2446</v>
      </c>
      <c r="AS3" s="239" t="s">
        <v>2447</v>
      </c>
      <c r="AT3" s="239" t="s">
        <v>3556</v>
      </c>
      <c r="AU3" s="239" t="s">
        <v>2446</v>
      </c>
      <c r="AV3" s="239" t="s">
        <v>2447</v>
      </c>
      <c r="AW3" s="239" t="s">
        <v>3556</v>
      </c>
      <c r="AX3" s="239" t="s">
        <v>2446</v>
      </c>
      <c r="AY3" s="239" t="s">
        <v>2447</v>
      </c>
      <c r="AZ3" s="239" t="s">
        <v>3556</v>
      </c>
      <c r="BA3" s="239" t="s">
        <v>2446</v>
      </c>
      <c r="BB3" s="239" t="s">
        <v>2447</v>
      </c>
      <c r="BC3" s="239" t="s">
        <v>3556</v>
      </c>
      <c r="BD3" s="239" t="s">
        <v>2446</v>
      </c>
      <c r="BE3" s="239" t="s">
        <v>2447</v>
      </c>
      <c r="BF3" s="239" t="s">
        <v>3556</v>
      </c>
      <c r="BG3" s="239" t="s">
        <v>2446</v>
      </c>
      <c r="BH3" s="239" t="s">
        <v>2447</v>
      </c>
      <c r="BI3" s="239" t="s">
        <v>3556</v>
      </c>
      <c r="BJ3" s="239" t="s">
        <v>2446</v>
      </c>
      <c r="BK3" s="239" t="s">
        <v>2447</v>
      </c>
      <c r="BL3" s="239" t="s">
        <v>3556</v>
      </c>
      <c r="BM3" s="239" t="s">
        <v>2446</v>
      </c>
      <c r="BN3" s="239" t="s">
        <v>2447</v>
      </c>
      <c r="BO3" s="239" t="s">
        <v>3556</v>
      </c>
      <c r="BP3" s="239" t="s">
        <v>2446</v>
      </c>
      <c r="BQ3" s="239" t="s">
        <v>2447</v>
      </c>
      <c r="BR3" s="239" t="s">
        <v>3556</v>
      </c>
      <c r="BS3" s="239" t="s">
        <v>2446</v>
      </c>
      <c r="BT3" s="239" t="s">
        <v>2447</v>
      </c>
      <c r="BU3" s="239" t="s">
        <v>3556</v>
      </c>
      <c r="BV3" s="239" t="s">
        <v>2446</v>
      </c>
      <c r="BW3" s="239" t="s">
        <v>2447</v>
      </c>
      <c r="BX3" s="239" t="s">
        <v>3556</v>
      </c>
      <c r="BY3" s="239" t="s">
        <v>2446</v>
      </c>
      <c r="BZ3" s="239" t="s">
        <v>2447</v>
      </c>
      <c r="CA3" s="239" t="s">
        <v>3556</v>
      </c>
      <c r="CB3" s="239" t="s">
        <v>2446</v>
      </c>
      <c r="CC3" s="239" t="s">
        <v>2447</v>
      </c>
      <c r="CD3" s="239" t="s">
        <v>3556</v>
      </c>
      <c r="CE3" s="239" t="s">
        <v>2446</v>
      </c>
      <c r="CF3" s="239" t="s">
        <v>2447</v>
      </c>
      <c r="CG3" s="239" t="s">
        <v>3556</v>
      </c>
      <c r="CH3" s="239" t="s">
        <v>2446</v>
      </c>
      <c r="CI3" s="239" t="s">
        <v>2447</v>
      </c>
      <c r="CJ3" s="239" t="s">
        <v>3556</v>
      </c>
      <c r="CK3" s="239" t="s">
        <v>2446</v>
      </c>
      <c r="CL3" s="239" t="s">
        <v>2447</v>
      </c>
      <c r="CM3" s="239" t="s">
        <v>3556</v>
      </c>
      <c r="CN3" s="239" t="s">
        <v>2446</v>
      </c>
      <c r="CO3" s="239" t="s">
        <v>2447</v>
      </c>
      <c r="CP3" s="239" t="s">
        <v>3556</v>
      </c>
      <c r="CQ3" s="239" t="s">
        <v>2446</v>
      </c>
      <c r="CR3" s="239" t="s">
        <v>2447</v>
      </c>
      <c r="CS3" s="239" t="s">
        <v>3556</v>
      </c>
      <c r="CT3" s="239" t="s">
        <v>2446</v>
      </c>
    </row>
  </sheetData>
  <autoFilter ref="A3:CT3" xr:uid="{00000000-0009-0000-0000-000000000000}"/>
  <mergeCells count="28">
    <mergeCell ref="BZ2:CB2"/>
    <mergeCell ref="CR2:CT2"/>
    <mergeCell ref="CO2:CQ2"/>
    <mergeCell ref="CL2:CN2"/>
    <mergeCell ref="CI2:CK2"/>
    <mergeCell ref="CF2:CH2"/>
    <mergeCell ref="CC2:CE2"/>
    <mergeCell ref="BW2:BY2"/>
    <mergeCell ref="BT2:BV2"/>
    <mergeCell ref="BQ2:BS2"/>
    <mergeCell ref="BN2:BP2"/>
    <mergeCell ref="BK2:BM2"/>
    <mergeCell ref="CF1:CT1"/>
    <mergeCell ref="BH2:BJ2"/>
    <mergeCell ref="R2:T2"/>
    <mergeCell ref="X2:Z2"/>
    <mergeCell ref="U2:W2"/>
    <mergeCell ref="AP2:AR2"/>
    <mergeCell ref="AM2:AO2"/>
    <mergeCell ref="AJ2:AL2"/>
    <mergeCell ref="AG2:AI2"/>
    <mergeCell ref="AD2:AF2"/>
    <mergeCell ref="AA2:AC2"/>
    <mergeCell ref="BE2:BG2"/>
    <mergeCell ref="BB2:BD2"/>
    <mergeCell ref="AY2:BA2"/>
    <mergeCell ref="AV2:AX2"/>
    <mergeCell ref="AS2:AU2"/>
  </mergeCells>
  <pageMargins left="0.7" right="0.7" top="0.75" bottom="0.75" header="0.3" footer="0.3"/>
  <pageSetup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3:M52"/>
  <sheetViews>
    <sheetView topLeftCell="A21" zoomScale="80" zoomScaleNormal="80" workbookViewId="0">
      <selection activeCell="I21" sqref="I1:I1048576"/>
    </sheetView>
  </sheetViews>
  <sheetFormatPr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2" width="10.7109375" style="48" customWidth="1"/>
    <col min="13" max="13" width="10.7109375" style="50" customWidth="1"/>
    <col min="14" max="17" width="10.7109375" style="48" customWidth="1"/>
    <col min="18" max="16384" width="9.140625" style="48"/>
  </cols>
  <sheetData>
    <row r="3" spans="1:5" ht="15" customHeight="1" x14ac:dyDescent="0.25">
      <c r="A3" s="84" t="s">
        <v>1343</v>
      </c>
      <c r="B3" s="85"/>
      <c r="C3" s="85"/>
      <c r="D3" s="86"/>
      <c r="E3" s="86"/>
    </row>
    <row r="4" spans="1:5" ht="15" customHeight="1" x14ac:dyDescent="0.25">
      <c r="A4" s="46" t="s">
        <v>1297</v>
      </c>
      <c r="B4" s="3" t="s">
        <v>1249</v>
      </c>
      <c r="C4" s="3"/>
    </row>
    <row r="5" spans="1:5" ht="15" customHeight="1" x14ac:dyDescent="0.25">
      <c r="A5" s="46" t="s">
        <v>1296</v>
      </c>
      <c r="B5" s="3" t="s">
        <v>1250</v>
      </c>
      <c r="C5" s="3"/>
    </row>
    <row r="6" spans="1:5" ht="15" customHeight="1" x14ac:dyDescent="0.25">
      <c r="A6" s="46" t="s">
        <v>1295</v>
      </c>
      <c r="B6" s="3" t="s">
        <v>1251</v>
      </c>
      <c r="C6" s="3"/>
    </row>
    <row r="7" spans="1:5" ht="15" customHeight="1" x14ac:dyDescent="0.25">
      <c r="A7" s="46" t="s">
        <v>1298</v>
      </c>
      <c r="B7" s="3" t="s">
        <v>1252</v>
      </c>
      <c r="C7" s="3"/>
    </row>
    <row r="8" spans="1:5" ht="15" customHeight="1" x14ac:dyDescent="0.25">
      <c r="A8" s="46" t="s">
        <v>1299</v>
      </c>
      <c r="B8" s="3" t="s">
        <v>1253</v>
      </c>
      <c r="C8" s="3"/>
    </row>
    <row r="9" spans="1:5" ht="15" customHeight="1" x14ac:dyDescent="0.25">
      <c r="A9" s="46" t="s">
        <v>1300</v>
      </c>
      <c r="B9" s="3" t="s">
        <v>1254</v>
      </c>
      <c r="C9" s="3"/>
    </row>
    <row r="10" spans="1:5" ht="15" customHeight="1" x14ac:dyDescent="0.25">
      <c r="A10" s="46" t="s">
        <v>1302</v>
      </c>
      <c r="B10" s="3" t="s">
        <v>1255</v>
      </c>
      <c r="C10" s="3"/>
    </row>
    <row r="11" spans="1:5" ht="15" customHeight="1" x14ac:dyDescent="0.25">
      <c r="A11" s="46" t="s">
        <v>1301</v>
      </c>
      <c r="B11" s="3" t="s">
        <v>1256</v>
      </c>
      <c r="C11" s="3"/>
    </row>
    <row r="12" spans="1:5" ht="15" customHeight="1" x14ac:dyDescent="0.25">
      <c r="A12" s="46" t="s">
        <v>1303</v>
      </c>
      <c r="B12" s="3" t="s">
        <v>1257</v>
      </c>
      <c r="C12" s="3"/>
    </row>
    <row r="13" spans="1:5" ht="15" customHeight="1" x14ac:dyDescent="0.25">
      <c r="A13" s="46" t="s">
        <v>1304</v>
      </c>
      <c r="B13" s="3" t="s">
        <v>1258</v>
      </c>
      <c r="C13" s="3"/>
    </row>
    <row r="14" spans="1:5" ht="15" customHeight="1" x14ac:dyDescent="0.25">
      <c r="A14" s="46" t="s">
        <v>1305</v>
      </c>
      <c r="B14" s="3" t="s">
        <v>1259</v>
      </c>
      <c r="C14" s="3"/>
    </row>
    <row r="15" spans="1:5" ht="15" customHeight="1" x14ac:dyDescent="0.25">
      <c r="A15" s="46" t="s">
        <v>1306</v>
      </c>
      <c r="B15" s="17"/>
      <c r="C15" s="17"/>
    </row>
    <row r="16" spans="1:5" ht="15" customHeight="1" x14ac:dyDescent="0.25">
      <c r="A16" s="46" t="s">
        <v>1307</v>
      </c>
      <c r="B16" s="3" t="s">
        <v>1260</v>
      </c>
      <c r="C16" s="3"/>
    </row>
    <row r="17" spans="1:3" ht="15" customHeight="1" x14ac:dyDescent="0.25">
      <c r="A17" s="46" t="s">
        <v>1308</v>
      </c>
      <c r="B17" s="3" t="s">
        <v>1261</v>
      </c>
      <c r="C17" s="3"/>
    </row>
    <row r="18" spans="1:3" ht="15" customHeight="1" x14ac:dyDescent="0.25">
      <c r="A18" s="46" t="s">
        <v>1309</v>
      </c>
      <c r="B18" s="3" t="s">
        <v>1262</v>
      </c>
      <c r="C18" s="3"/>
    </row>
    <row r="19" spans="1:3" ht="15" customHeight="1" x14ac:dyDescent="0.25">
      <c r="A19" s="46" t="s">
        <v>1310</v>
      </c>
      <c r="B19" s="3" t="s">
        <v>1263</v>
      </c>
      <c r="C19" s="3"/>
    </row>
    <row r="20" spans="1:3" ht="15" customHeight="1" x14ac:dyDescent="0.25">
      <c r="A20" s="46" t="s">
        <v>1311</v>
      </c>
      <c r="B20" s="3" t="s">
        <v>1264</v>
      </c>
      <c r="C20" s="3"/>
    </row>
    <row r="21" spans="1:3" ht="15" customHeight="1" x14ac:dyDescent="0.25">
      <c r="A21" s="46" t="s">
        <v>1312</v>
      </c>
      <c r="B21" s="3" t="s">
        <v>1265</v>
      </c>
      <c r="C21" s="3"/>
    </row>
    <row r="22" spans="1:3" ht="15" customHeight="1" x14ac:dyDescent="0.25">
      <c r="A22" s="46" t="s">
        <v>1335</v>
      </c>
      <c r="B22" s="3" t="s">
        <v>1266</v>
      </c>
      <c r="C22" s="3"/>
    </row>
    <row r="23" spans="1:3" ht="15" customHeight="1" x14ac:dyDescent="0.25">
      <c r="A23" s="46" t="s">
        <v>1336</v>
      </c>
      <c r="B23" s="3" t="s">
        <v>1267</v>
      </c>
      <c r="C23" s="3"/>
    </row>
    <row r="24" spans="1:3" ht="15" customHeight="1" x14ac:dyDescent="0.25">
      <c r="A24" s="46" t="s">
        <v>1313</v>
      </c>
      <c r="B24" s="3" t="s">
        <v>1268</v>
      </c>
      <c r="C24" s="3"/>
    </row>
    <row r="25" spans="1:3" ht="15" customHeight="1" x14ac:dyDescent="0.25">
      <c r="A25" s="46" t="s">
        <v>1314</v>
      </c>
      <c r="B25" s="3" t="s">
        <v>1269</v>
      </c>
      <c r="C25" s="3"/>
    </row>
    <row r="26" spans="1:3" ht="15" customHeight="1" x14ac:dyDescent="0.25">
      <c r="A26" s="46" t="s">
        <v>1315</v>
      </c>
      <c r="B26" s="3" t="s">
        <v>1270</v>
      </c>
      <c r="C26" s="3"/>
    </row>
    <row r="27" spans="1:3" ht="15" customHeight="1" x14ac:dyDescent="0.25">
      <c r="A27" s="46" t="s">
        <v>1316</v>
      </c>
      <c r="B27" s="3" t="s">
        <v>1271</v>
      </c>
      <c r="C27" s="3"/>
    </row>
    <row r="28" spans="1:3" ht="15" customHeight="1" x14ac:dyDescent="0.25">
      <c r="A28" s="46" t="s">
        <v>1317</v>
      </c>
      <c r="B28" s="3" t="s">
        <v>1272</v>
      </c>
      <c r="C28" s="3"/>
    </row>
    <row r="29" spans="1:3" ht="15" customHeight="1" x14ac:dyDescent="0.25">
      <c r="A29" s="46" t="s">
        <v>1318</v>
      </c>
      <c r="B29" s="3" t="s">
        <v>1273</v>
      </c>
      <c r="C29" s="3"/>
    </row>
    <row r="30" spans="1:3" ht="15" customHeight="1" x14ac:dyDescent="0.25">
      <c r="A30" s="46" t="s">
        <v>1334</v>
      </c>
      <c r="B30" s="3" t="s">
        <v>1274</v>
      </c>
      <c r="C30" s="3"/>
    </row>
    <row r="31" spans="1:3" ht="15" customHeight="1" x14ac:dyDescent="0.25">
      <c r="A31" s="46" t="s">
        <v>1319</v>
      </c>
      <c r="B31" s="3" t="s">
        <v>1275</v>
      </c>
      <c r="C31" s="3"/>
    </row>
    <row r="32" spans="1:3" ht="15" customHeight="1" x14ac:dyDescent="0.25">
      <c r="A32" s="46" t="s">
        <v>1333</v>
      </c>
      <c r="B32" s="3" t="s">
        <v>1276</v>
      </c>
      <c r="C32" s="3"/>
    </row>
    <row r="33" spans="1:3" ht="15" customHeight="1" x14ac:dyDescent="0.25">
      <c r="A33" s="46" t="s">
        <v>1320</v>
      </c>
      <c r="B33" s="3" t="s">
        <v>1277</v>
      </c>
      <c r="C33" s="3"/>
    </row>
    <row r="34" spans="1:3" ht="15" customHeight="1" x14ac:dyDescent="0.25">
      <c r="A34" s="46" t="s">
        <v>1337</v>
      </c>
      <c r="B34" s="3" t="s">
        <v>1278</v>
      </c>
      <c r="C34" s="3"/>
    </row>
    <row r="35" spans="1:3" ht="15" customHeight="1" x14ac:dyDescent="0.25">
      <c r="A35" s="46" t="s">
        <v>1321</v>
      </c>
      <c r="B35" s="3" t="s">
        <v>1279</v>
      </c>
      <c r="C35" s="3"/>
    </row>
    <row r="36" spans="1:3" ht="15" customHeight="1" x14ac:dyDescent="0.25">
      <c r="A36" s="46" t="s">
        <v>1322</v>
      </c>
      <c r="B36" s="3" t="s">
        <v>1280</v>
      </c>
      <c r="C36" s="3"/>
    </row>
    <row r="37" spans="1:3" ht="15" customHeight="1" x14ac:dyDescent="0.25">
      <c r="A37" s="46" t="s">
        <v>1323</v>
      </c>
      <c r="B37" s="3" t="s">
        <v>1281</v>
      </c>
      <c r="C37" s="3"/>
    </row>
    <row r="38" spans="1:3" ht="15" customHeight="1" x14ac:dyDescent="0.25">
      <c r="A38" s="46" t="s">
        <v>1324</v>
      </c>
      <c r="B38" s="3" t="s">
        <v>1282</v>
      </c>
      <c r="C38" s="3"/>
    </row>
    <row r="39" spans="1:3" ht="15" customHeight="1" x14ac:dyDescent="0.25">
      <c r="A39" s="46" t="s">
        <v>1325</v>
      </c>
      <c r="B39" s="3" t="s">
        <v>1283</v>
      </c>
      <c r="C39" s="3"/>
    </row>
    <row r="40" spans="1:3" ht="15" customHeight="1" x14ac:dyDescent="0.25">
      <c r="A40" s="46" t="s">
        <v>1326</v>
      </c>
      <c r="B40" s="3" t="s">
        <v>1284</v>
      </c>
      <c r="C40" s="3"/>
    </row>
    <row r="41" spans="1:3" ht="15" customHeight="1" x14ac:dyDescent="0.25">
      <c r="A41" s="46" t="s">
        <v>1327</v>
      </c>
      <c r="B41" s="3" t="s">
        <v>1285</v>
      </c>
      <c r="C41" s="3"/>
    </row>
    <row r="42" spans="1:3" ht="15" customHeight="1" x14ac:dyDescent="0.25">
      <c r="A42" s="46" t="s">
        <v>1328</v>
      </c>
      <c r="B42" s="17"/>
      <c r="C42" s="17"/>
    </row>
    <row r="43" spans="1:3" ht="15" customHeight="1" x14ac:dyDescent="0.25">
      <c r="A43" s="46" t="s">
        <v>1338</v>
      </c>
      <c r="B43" s="3" t="s">
        <v>1286</v>
      </c>
      <c r="C43" s="3"/>
    </row>
    <row r="44" spans="1:3" ht="15" customHeight="1" x14ac:dyDescent="0.25">
      <c r="A44" s="46" t="s">
        <v>1339</v>
      </c>
      <c r="B44" s="3" t="s">
        <v>1287</v>
      </c>
      <c r="C44" s="3"/>
    </row>
    <row r="45" spans="1:3" ht="15" customHeight="1" x14ac:dyDescent="0.25">
      <c r="A45" s="46" t="s">
        <v>1340</v>
      </c>
      <c r="B45" s="3" t="s">
        <v>1288</v>
      </c>
      <c r="C45" s="3"/>
    </row>
    <row r="46" spans="1:3" ht="15" customHeight="1" x14ac:dyDescent="0.25">
      <c r="A46" s="46" t="s">
        <v>65</v>
      </c>
      <c r="B46" s="3" t="s">
        <v>1289</v>
      </c>
      <c r="C46" s="3"/>
    </row>
    <row r="47" spans="1:3" ht="15" customHeight="1" x14ac:dyDescent="0.25">
      <c r="A47" s="46"/>
      <c r="B47" s="16"/>
      <c r="C47" s="16"/>
    </row>
    <row r="48" spans="1:3" ht="15" customHeight="1" x14ac:dyDescent="0.25">
      <c r="A48" s="18" t="s">
        <v>1290</v>
      </c>
      <c r="B48" s="1"/>
      <c r="C48" s="1"/>
    </row>
    <row r="49" spans="1:3" ht="15" customHeight="1" x14ac:dyDescent="0.25">
      <c r="A49" s="46" t="s">
        <v>1329</v>
      </c>
      <c r="B49" s="3" t="s">
        <v>1291</v>
      </c>
      <c r="C49" s="3"/>
    </row>
    <row r="50" spans="1:3" ht="15" customHeight="1" x14ac:dyDescent="0.25">
      <c r="A50" s="46" t="s">
        <v>1330</v>
      </c>
      <c r="B50" s="3" t="s">
        <v>1292</v>
      </c>
      <c r="C50" s="3"/>
    </row>
    <row r="51" spans="1:3" ht="15" customHeight="1" x14ac:dyDescent="0.25">
      <c r="A51" s="46" t="s">
        <v>1331</v>
      </c>
      <c r="B51" s="3" t="s">
        <v>1293</v>
      </c>
      <c r="C51" s="3"/>
    </row>
    <row r="52" spans="1:3" ht="15" customHeight="1" x14ac:dyDescent="0.25">
      <c r="A52" s="46" t="s">
        <v>1332</v>
      </c>
      <c r="B52" s="3" t="s">
        <v>1294</v>
      </c>
      <c r="C52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3:N67"/>
  <sheetViews>
    <sheetView topLeftCell="A6" zoomScale="80" zoomScaleNormal="80" workbookViewId="0">
      <selection activeCell="I6" sqref="I1:I1048576"/>
    </sheetView>
  </sheetViews>
  <sheetFormatPr defaultRowHeight="15" customHeight="1" x14ac:dyDescent="0.25"/>
  <cols>
    <col min="1" max="1" width="58.7109375" style="20" customWidth="1"/>
    <col min="2" max="3" width="10.7109375" style="22" customWidth="1"/>
    <col min="4" max="5" width="10.7109375" style="24" customWidth="1"/>
    <col min="6" max="7" width="10.7109375" style="29" customWidth="1"/>
    <col min="8" max="13" width="10.7109375" style="20" customWidth="1"/>
    <col min="14" max="14" width="10.7109375" style="26" customWidth="1"/>
    <col min="15" max="17" width="10.7109375" style="20" customWidth="1"/>
    <col min="18" max="16384" width="9.140625" style="20"/>
  </cols>
  <sheetData>
    <row r="3" spans="1:14" ht="15" customHeight="1" x14ac:dyDescent="0.25">
      <c r="A3" s="60" t="s">
        <v>1371</v>
      </c>
      <c r="B3" s="71"/>
      <c r="C3" s="71"/>
      <c r="D3" s="78"/>
      <c r="E3" s="78"/>
    </row>
    <row r="4" spans="1:14" s="46" customFormat="1" ht="15" customHeight="1" x14ac:dyDescent="0.25">
      <c r="A4" s="46" t="s">
        <v>1457</v>
      </c>
      <c r="B4" s="16"/>
      <c r="C4" s="16"/>
      <c r="D4" s="5" t="s">
        <v>1372</v>
      </c>
      <c r="E4" s="5"/>
      <c r="F4" s="28"/>
      <c r="G4" s="28"/>
      <c r="N4" s="25"/>
    </row>
    <row r="5" spans="1:14" s="46" customFormat="1" ht="15" customHeight="1" x14ac:dyDescent="0.25">
      <c r="A5" s="46" t="s">
        <v>1458</v>
      </c>
      <c r="B5" s="16"/>
      <c r="C5" s="16"/>
      <c r="D5" s="5" t="s">
        <v>1373</v>
      </c>
      <c r="E5" s="5"/>
      <c r="F5" s="28"/>
      <c r="G5" s="28"/>
      <c r="N5" s="25"/>
    </row>
    <row r="6" spans="1:14" s="46" customFormat="1" ht="15" customHeight="1" x14ac:dyDescent="0.25">
      <c r="A6" s="46" t="s">
        <v>1459</v>
      </c>
      <c r="B6" s="16"/>
      <c r="C6" s="16"/>
      <c r="D6" s="5" t="s">
        <v>1374</v>
      </c>
      <c r="E6" s="5"/>
      <c r="F6" s="28"/>
      <c r="G6" s="28"/>
      <c r="N6" s="25"/>
    </row>
    <row r="7" spans="1:14" s="46" customFormat="1" ht="15" customHeight="1" x14ac:dyDescent="0.25">
      <c r="A7" s="46" t="s">
        <v>1430</v>
      </c>
      <c r="B7" s="16"/>
      <c r="C7" s="16"/>
      <c r="D7" s="23"/>
      <c r="E7" s="23"/>
      <c r="F7" s="28"/>
      <c r="G7" s="28"/>
      <c r="N7" s="25"/>
    </row>
    <row r="8" spans="1:14" s="46" customFormat="1" ht="15" customHeight="1" x14ac:dyDescent="0.25">
      <c r="A8" s="46" t="s">
        <v>1460</v>
      </c>
      <c r="B8" s="16"/>
      <c r="C8" s="16"/>
      <c r="D8" s="5" t="s">
        <v>1375</v>
      </c>
      <c r="E8" s="5"/>
      <c r="F8" s="28"/>
      <c r="G8" s="28"/>
      <c r="N8" s="25"/>
    </row>
    <row r="9" spans="1:14" s="46" customFormat="1" ht="15" customHeight="1" x14ac:dyDescent="0.25">
      <c r="A9" s="46" t="s">
        <v>1461</v>
      </c>
      <c r="B9" s="16"/>
      <c r="C9" s="16"/>
      <c r="D9" s="5" t="s">
        <v>1376</v>
      </c>
      <c r="E9" s="5"/>
      <c r="F9" s="28"/>
      <c r="G9" s="28"/>
      <c r="N9" s="25"/>
    </row>
    <row r="10" spans="1:14" s="46" customFormat="1" ht="15" customHeight="1" x14ac:dyDescent="0.25">
      <c r="A10" s="46" t="s">
        <v>1462</v>
      </c>
      <c r="B10" s="16"/>
      <c r="C10" s="16"/>
      <c r="D10" s="5" t="s">
        <v>1377</v>
      </c>
      <c r="E10" s="5"/>
      <c r="F10" s="28"/>
      <c r="G10" s="28"/>
      <c r="N10" s="25"/>
    </row>
    <row r="11" spans="1:14" s="46" customFormat="1" ht="15" customHeight="1" x14ac:dyDescent="0.25">
      <c r="A11" s="46" t="s">
        <v>1463</v>
      </c>
      <c r="B11" s="16"/>
      <c r="C11" s="16"/>
      <c r="D11" s="23"/>
      <c r="E11" s="23"/>
      <c r="F11" s="28"/>
      <c r="G11" s="28"/>
      <c r="N11" s="25"/>
    </row>
    <row r="12" spans="1:14" s="46" customFormat="1" ht="15" customHeight="1" x14ac:dyDescent="0.25">
      <c r="A12" s="46" t="s">
        <v>1464</v>
      </c>
      <c r="B12" s="16"/>
      <c r="C12" s="16"/>
      <c r="D12" s="5" t="s">
        <v>1378</v>
      </c>
      <c r="E12" s="5"/>
      <c r="F12" s="28"/>
      <c r="G12" s="28"/>
      <c r="N12" s="25"/>
    </row>
    <row r="13" spans="1:14" s="46" customFormat="1" ht="15" customHeight="1" x14ac:dyDescent="0.25">
      <c r="A13" s="46" t="s">
        <v>1465</v>
      </c>
      <c r="B13" s="16"/>
      <c r="C13" s="16"/>
      <c r="D13" s="5" t="s">
        <v>1379</v>
      </c>
      <c r="E13" s="5"/>
      <c r="F13" s="28"/>
      <c r="G13" s="28"/>
      <c r="N13" s="25"/>
    </row>
    <row r="14" spans="1:14" s="46" customFormat="1" ht="15" customHeight="1" x14ac:dyDescent="0.25">
      <c r="A14" s="46" t="s">
        <v>1466</v>
      </c>
      <c r="B14" s="16"/>
      <c r="C14" s="16"/>
      <c r="D14" s="5" t="s">
        <v>1380</v>
      </c>
      <c r="E14" s="5"/>
      <c r="F14" s="28"/>
      <c r="G14" s="28"/>
      <c r="N14" s="25"/>
    </row>
    <row r="15" spans="1:14" s="46" customFormat="1" ht="15" customHeight="1" x14ac:dyDescent="0.25">
      <c r="A15" s="46" t="s">
        <v>1467</v>
      </c>
      <c r="B15" s="16"/>
      <c r="C15" s="16"/>
      <c r="D15" s="5" t="s">
        <v>1381</v>
      </c>
      <c r="E15" s="5"/>
      <c r="F15" s="28"/>
      <c r="G15" s="28"/>
      <c r="N15" s="25"/>
    </row>
    <row r="16" spans="1:14" s="46" customFormat="1" ht="15" customHeight="1" x14ac:dyDescent="0.25">
      <c r="A16" s="46" t="s">
        <v>1468</v>
      </c>
      <c r="B16" s="16"/>
      <c r="C16" s="16"/>
      <c r="D16" s="23"/>
      <c r="E16" s="23"/>
      <c r="F16" s="28"/>
      <c r="G16" s="28"/>
      <c r="N16" s="25"/>
    </row>
    <row r="17" spans="1:14" s="46" customFormat="1" ht="15" customHeight="1" x14ac:dyDescent="0.25">
      <c r="A17" s="46" t="s">
        <v>1469</v>
      </c>
      <c r="B17" s="16"/>
      <c r="C17" s="16"/>
      <c r="D17" s="5" t="s">
        <v>1382</v>
      </c>
      <c r="E17" s="5"/>
      <c r="F17" s="28"/>
      <c r="G17" s="28"/>
      <c r="N17" s="25"/>
    </row>
    <row r="18" spans="1:14" s="46" customFormat="1" ht="15" customHeight="1" x14ac:dyDescent="0.25">
      <c r="A18" s="46" t="s">
        <v>1431</v>
      </c>
      <c r="B18" s="16"/>
      <c r="C18" s="16"/>
      <c r="D18" s="23"/>
      <c r="E18" s="23"/>
      <c r="F18" s="28"/>
      <c r="G18" s="28"/>
      <c r="N18" s="25"/>
    </row>
    <row r="19" spans="1:14" s="46" customFormat="1" ht="15" customHeight="1" x14ac:dyDescent="0.25">
      <c r="A19" s="46" t="s">
        <v>1432</v>
      </c>
      <c r="B19" s="16"/>
      <c r="C19" s="16"/>
      <c r="D19" s="5" t="s">
        <v>1383</v>
      </c>
      <c r="E19" s="5"/>
      <c r="F19" s="28"/>
      <c r="G19" s="28"/>
      <c r="N19" s="25"/>
    </row>
    <row r="20" spans="1:14" s="46" customFormat="1" ht="15" customHeight="1" x14ac:dyDescent="0.25">
      <c r="A20" s="46" t="s">
        <v>1470</v>
      </c>
      <c r="B20" s="16"/>
      <c r="C20" s="16"/>
      <c r="D20" s="5" t="s">
        <v>1384</v>
      </c>
      <c r="E20" s="5"/>
      <c r="F20" s="28"/>
      <c r="G20" s="28"/>
      <c r="N20" s="25"/>
    </row>
    <row r="21" spans="1:14" s="46" customFormat="1" ht="15" customHeight="1" x14ac:dyDescent="0.25">
      <c r="A21" s="46" t="s">
        <v>1471</v>
      </c>
      <c r="B21" s="16"/>
      <c r="C21" s="16"/>
      <c r="D21" s="5" t="s">
        <v>1385</v>
      </c>
      <c r="E21" s="5"/>
      <c r="F21" s="28"/>
      <c r="G21" s="28"/>
      <c r="N21" s="25"/>
    </row>
    <row r="22" spans="1:14" s="46" customFormat="1" ht="15" customHeight="1" x14ac:dyDescent="0.25">
      <c r="A22" s="46" t="s">
        <v>1433</v>
      </c>
      <c r="B22" s="16"/>
      <c r="C22" s="16"/>
      <c r="D22" s="5" t="s">
        <v>1386</v>
      </c>
      <c r="E22" s="5"/>
      <c r="F22" s="28"/>
      <c r="G22" s="28"/>
      <c r="N22" s="25"/>
    </row>
    <row r="23" spans="1:14" s="46" customFormat="1" ht="15" customHeight="1" x14ac:dyDescent="0.25">
      <c r="A23" s="46" t="s">
        <v>1472</v>
      </c>
      <c r="B23" s="16"/>
      <c r="C23" s="16"/>
      <c r="D23" s="23"/>
      <c r="E23" s="23"/>
      <c r="F23" s="28"/>
      <c r="G23" s="28"/>
      <c r="N23" s="25"/>
    </row>
    <row r="24" spans="1:14" s="46" customFormat="1" ht="15" customHeight="1" x14ac:dyDescent="0.25">
      <c r="A24" s="46" t="s">
        <v>1429</v>
      </c>
      <c r="B24" s="16"/>
      <c r="C24" s="16"/>
      <c r="D24" s="5" t="s">
        <v>1387</v>
      </c>
      <c r="E24" s="5"/>
      <c r="F24" s="28"/>
      <c r="G24" s="28"/>
      <c r="N24" s="25"/>
    </row>
    <row r="25" spans="1:14" s="46" customFormat="1" ht="15" customHeight="1" x14ac:dyDescent="0.25">
      <c r="A25" s="46" t="s">
        <v>1434</v>
      </c>
      <c r="B25" s="16"/>
      <c r="C25" s="16"/>
      <c r="D25" s="5" t="s">
        <v>1388</v>
      </c>
      <c r="E25" s="5"/>
      <c r="F25" s="28"/>
      <c r="G25" s="28"/>
      <c r="N25" s="25"/>
    </row>
    <row r="26" spans="1:14" s="46" customFormat="1" ht="15" customHeight="1" x14ac:dyDescent="0.25">
      <c r="A26" s="46" t="s">
        <v>1473</v>
      </c>
      <c r="B26" s="16"/>
      <c r="C26" s="16"/>
      <c r="D26" s="5" t="s">
        <v>1389</v>
      </c>
      <c r="E26" s="5"/>
      <c r="F26" s="28"/>
      <c r="G26" s="28"/>
      <c r="N26" s="25"/>
    </row>
    <row r="27" spans="1:14" s="46" customFormat="1" ht="15" customHeight="1" x14ac:dyDescent="0.25">
      <c r="A27" s="46" t="s">
        <v>1474</v>
      </c>
      <c r="B27" s="16"/>
      <c r="C27" s="16"/>
      <c r="D27" s="5" t="s">
        <v>1390</v>
      </c>
      <c r="E27" s="5"/>
      <c r="F27" s="28"/>
      <c r="G27" s="28"/>
      <c r="N27" s="25"/>
    </row>
    <row r="28" spans="1:14" s="46" customFormat="1" ht="15" customHeight="1" x14ac:dyDescent="0.25">
      <c r="A28" s="46" t="s">
        <v>1475</v>
      </c>
      <c r="B28" s="16"/>
      <c r="C28" s="16"/>
      <c r="D28" s="5" t="s">
        <v>1391</v>
      </c>
      <c r="E28" s="5"/>
      <c r="F28" s="28"/>
      <c r="G28" s="28"/>
      <c r="N28" s="25"/>
    </row>
    <row r="29" spans="1:14" s="46" customFormat="1" ht="15" customHeight="1" x14ac:dyDescent="0.25">
      <c r="A29" s="46" t="s">
        <v>1476</v>
      </c>
      <c r="B29" s="16"/>
      <c r="C29" s="16"/>
      <c r="D29" s="5" t="s">
        <v>1392</v>
      </c>
      <c r="E29" s="5"/>
      <c r="F29" s="28"/>
      <c r="G29" s="28"/>
      <c r="N29" s="25"/>
    </row>
    <row r="30" spans="1:14" s="46" customFormat="1" ht="15" customHeight="1" x14ac:dyDescent="0.25">
      <c r="A30" s="46" t="s">
        <v>1435</v>
      </c>
      <c r="B30" s="16"/>
      <c r="C30" s="16"/>
      <c r="D30" s="5" t="s">
        <v>1393</v>
      </c>
      <c r="E30" s="5"/>
      <c r="F30" s="28"/>
      <c r="G30" s="28"/>
      <c r="N30" s="25"/>
    </row>
    <row r="31" spans="1:14" s="46" customFormat="1" ht="15" customHeight="1" x14ac:dyDescent="0.25">
      <c r="A31" s="46" t="s">
        <v>1436</v>
      </c>
      <c r="B31" s="16"/>
      <c r="C31" s="16"/>
      <c r="D31" s="5" t="s">
        <v>1394</v>
      </c>
      <c r="E31" s="5"/>
      <c r="F31" s="28"/>
      <c r="G31" s="28"/>
      <c r="N31" s="25"/>
    </row>
    <row r="32" spans="1:14" s="46" customFormat="1" ht="15" customHeight="1" x14ac:dyDescent="0.25">
      <c r="A32" s="46" t="s">
        <v>1437</v>
      </c>
      <c r="B32" s="16"/>
      <c r="C32" s="16"/>
      <c r="D32" s="5" t="s">
        <v>1395</v>
      </c>
      <c r="E32" s="5"/>
      <c r="F32" s="28"/>
      <c r="G32" s="28"/>
      <c r="N32" s="25"/>
    </row>
    <row r="33" spans="1:14" s="46" customFormat="1" ht="15" customHeight="1" x14ac:dyDescent="0.25">
      <c r="A33" s="46" t="s">
        <v>1477</v>
      </c>
      <c r="B33" s="16"/>
      <c r="C33" s="16"/>
      <c r="D33" s="5" t="s">
        <v>1396</v>
      </c>
      <c r="E33" s="5"/>
      <c r="F33" s="28"/>
      <c r="G33" s="28"/>
      <c r="N33" s="25"/>
    </row>
    <row r="34" spans="1:14" s="46" customFormat="1" ht="15" customHeight="1" x14ac:dyDescent="0.25">
      <c r="A34" s="46" t="s">
        <v>1438</v>
      </c>
      <c r="B34" s="16"/>
      <c r="C34" s="16"/>
      <c r="D34" s="5" t="s">
        <v>1397</v>
      </c>
      <c r="E34" s="5"/>
      <c r="F34" s="28"/>
      <c r="G34" s="28"/>
      <c r="N34" s="25"/>
    </row>
    <row r="35" spans="1:14" s="46" customFormat="1" ht="15" customHeight="1" x14ac:dyDescent="0.25">
      <c r="A35" s="46" t="s">
        <v>1439</v>
      </c>
      <c r="B35" s="16"/>
      <c r="C35" s="16"/>
      <c r="D35" s="5" t="s">
        <v>1398</v>
      </c>
      <c r="E35" s="5"/>
      <c r="F35" s="28"/>
      <c r="G35" s="28"/>
      <c r="N35" s="25"/>
    </row>
    <row r="36" spans="1:14" s="46" customFormat="1" ht="15" customHeight="1" x14ac:dyDescent="0.25">
      <c r="A36" s="46" t="s">
        <v>1440</v>
      </c>
      <c r="B36" s="16"/>
      <c r="C36" s="16"/>
      <c r="D36" s="5" t="s">
        <v>1399</v>
      </c>
      <c r="E36" s="5"/>
      <c r="F36" s="28"/>
      <c r="G36" s="28"/>
      <c r="N36" s="25"/>
    </row>
    <row r="37" spans="1:14" s="46" customFormat="1" ht="15" customHeight="1" x14ac:dyDescent="0.25">
      <c r="A37" s="46" t="s">
        <v>1478</v>
      </c>
      <c r="B37" s="16"/>
      <c r="C37" s="16"/>
      <c r="D37" s="5" t="s">
        <v>1400</v>
      </c>
      <c r="E37" s="5"/>
      <c r="F37" s="28"/>
      <c r="G37" s="28"/>
      <c r="N37" s="25"/>
    </row>
    <row r="38" spans="1:14" s="46" customFormat="1" ht="15" customHeight="1" x14ac:dyDescent="0.25">
      <c r="A38" s="46" t="s">
        <v>1441</v>
      </c>
      <c r="B38" s="16"/>
      <c r="C38" s="16"/>
      <c r="D38" s="5" t="s">
        <v>1401</v>
      </c>
      <c r="E38" s="5"/>
      <c r="F38" s="28"/>
      <c r="G38" s="28"/>
      <c r="N38" s="25"/>
    </row>
    <row r="39" spans="1:14" s="46" customFormat="1" ht="15" customHeight="1" x14ac:dyDescent="0.25">
      <c r="A39" s="46" t="s">
        <v>1442</v>
      </c>
      <c r="B39" s="16"/>
      <c r="C39" s="16"/>
      <c r="D39" s="23"/>
      <c r="E39" s="23"/>
      <c r="F39" s="28"/>
      <c r="G39" s="28"/>
      <c r="N39" s="25"/>
    </row>
    <row r="40" spans="1:14" s="46" customFormat="1" ht="15" customHeight="1" x14ac:dyDescent="0.25">
      <c r="A40" s="46" t="s">
        <v>1480</v>
      </c>
      <c r="B40" s="16"/>
      <c r="C40" s="16"/>
      <c r="D40" s="5" t="s">
        <v>1402</v>
      </c>
      <c r="E40" s="5"/>
      <c r="F40" s="28"/>
      <c r="G40" s="28"/>
      <c r="N40" s="25"/>
    </row>
    <row r="41" spans="1:14" s="46" customFormat="1" ht="15" customHeight="1" x14ac:dyDescent="0.25">
      <c r="A41" s="46" t="s">
        <v>1481</v>
      </c>
      <c r="B41" s="16"/>
      <c r="C41" s="16"/>
      <c r="D41" s="5" t="s">
        <v>1403</v>
      </c>
      <c r="E41" s="5"/>
      <c r="F41" s="28"/>
      <c r="G41" s="28"/>
      <c r="N41" s="25"/>
    </row>
    <row r="42" spans="1:14" s="46" customFormat="1" ht="15" customHeight="1" x14ac:dyDescent="0.25">
      <c r="A42" s="46" t="s">
        <v>1479</v>
      </c>
      <c r="B42" s="16"/>
      <c r="C42" s="16"/>
      <c r="D42" s="5" t="s">
        <v>1404</v>
      </c>
      <c r="E42" s="5"/>
      <c r="F42" s="28"/>
      <c r="G42" s="28"/>
      <c r="N42" s="25"/>
    </row>
    <row r="43" spans="1:14" s="46" customFormat="1" ht="15" customHeight="1" x14ac:dyDescent="0.25">
      <c r="A43" s="46" t="s">
        <v>1443</v>
      </c>
      <c r="B43" s="16"/>
      <c r="C43" s="16"/>
      <c r="D43" s="5" t="s">
        <v>1405</v>
      </c>
      <c r="E43" s="5"/>
      <c r="F43" s="28"/>
      <c r="G43" s="28"/>
      <c r="N43" s="25"/>
    </row>
    <row r="44" spans="1:14" s="46" customFormat="1" ht="15" customHeight="1" x14ac:dyDescent="0.25">
      <c r="A44" s="46" t="s">
        <v>1444</v>
      </c>
      <c r="B44" s="16"/>
      <c r="C44" s="16"/>
      <c r="D44" s="5" t="s">
        <v>1406</v>
      </c>
      <c r="E44" s="5"/>
      <c r="F44" s="28"/>
      <c r="G44" s="28"/>
      <c r="N44" s="25"/>
    </row>
    <row r="45" spans="1:14" s="46" customFormat="1" ht="15" customHeight="1" x14ac:dyDescent="0.25">
      <c r="A45" s="46" t="s">
        <v>1445</v>
      </c>
      <c r="B45" s="16"/>
      <c r="C45" s="16"/>
      <c r="D45" s="5" t="s">
        <v>1407</v>
      </c>
      <c r="E45" s="5"/>
      <c r="F45" s="28"/>
      <c r="G45" s="28"/>
      <c r="N45" s="25"/>
    </row>
    <row r="46" spans="1:14" s="46" customFormat="1" ht="15" customHeight="1" x14ac:dyDescent="0.25">
      <c r="A46" s="46" t="s">
        <v>1446</v>
      </c>
      <c r="B46" s="16"/>
      <c r="C46" s="16"/>
      <c r="D46" s="5" t="s">
        <v>1408</v>
      </c>
      <c r="E46" s="5"/>
      <c r="F46" s="28"/>
      <c r="G46" s="28"/>
      <c r="N46" s="25"/>
    </row>
    <row r="47" spans="1:14" s="46" customFormat="1" ht="15" customHeight="1" x14ac:dyDescent="0.25">
      <c r="A47" s="46" t="s">
        <v>1447</v>
      </c>
      <c r="B47" s="16"/>
      <c r="C47" s="16"/>
      <c r="D47" s="5" t="s">
        <v>1409</v>
      </c>
      <c r="E47" s="5"/>
      <c r="F47" s="28"/>
      <c r="G47" s="28"/>
      <c r="N47" s="25"/>
    </row>
    <row r="48" spans="1:14" s="46" customFormat="1" ht="15" customHeight="1" x14ac:dyDescent="0.25">
      <c r="A48" s="46" t="s">
        <v>1448</v>
      </c>
      <c r="B48" s="16"/>
      <c r="C48" s="16"/>
      <c r="D48" s="5" t="s">
        <v>1410</v>
      </c>
      <c r="E48" s="5"/>
      <c r="F48" s="28"/>
      <c r="G48" s="28"/>
      <c r="N48" s="25"/>
    </row>
    <row r="49" spans="1:14" s="46" customFormat="1" ht="15" customHeight="1" x14ac:dyDescent="0.25">
      <c r="A49" s="46" t="s">
        <v>1449</v>
      </c>
      <c r="B49" s="16"/>
      <c r="C49" s="16"/>
      <c r="D49" s="5" t="s">
        <v>1411</v>
      </c>
      <c r="E49" s="5"/>
      <c r="F49" s="28"/>
      <c r="G49" s="28"/>
      <c r="N49" s="25"/>
    </row>
    <row r="50" spans="1:14" s="46" customFormat="1" ht="15" customHeight="1" x14ac:dyDescent="0.25">
      <c r="A50" s="46" t="s">
        <v>1482</v>
      </c>
      <c r="B50" s="16"/>
      <c r="C50" s="16"/>
      <c r="D50" s="5" t="s">
        <v>1412</v>
      </c>
      <c r="E50" s="5"/>
      <c r="F50" s="28"/>
      <c r="G50" s="28"/>
      <c r="N50" s="25"/>
    </row>
    <row r="51" spans="1:14" s="46" customFormat="1" ht="15" customHeight="1" x14ac:dyDescent="0.25">
      <c r="A51" s="46" t="s">
        <v>1450</v>
      </c>
      <c r="B51" s="16"/>
      <c r="C51" s="16"/>
      <c r="D51" s="5" t="s">
        <v>1413</v>
      </c>
      <c r="E51" s="5"/>
      <c r="F51" s="28"/>
      <c r="G51" s="28"/>
      <c r="N51" s="25"/>
    </row>
    <row r="52" spans="1:14" s="46" customFormat="1" ht="15" customHeight="1" x14ac:dyDescent="0.25">
      <c r="A52" s="46" t="s">
        <v>1483</v>
      </c>
      <c r="B52" s="16"/>
      <c r="C52" s="16"/>
      <c r="D52" s="5" t="s">
        <v>1414</v>
      </c>
      <c r="E52" s="5"/>
      <c r="F52" s="28"/>
      <c r="G52" s="28"/>
      <c r="N52" s="25"/>
    </row>
    <row r="53" spans="1:14" s="46" customFormat="1" ht="15" customHeight="1" x14ac:dyDescent="0.25">
      <c r="A53" s="46" t="s">
        <v>1451</v>
      </c>
      <c r="B53" s="16"/>
      <c r="C53" s="16"/>
      <c r="D53" s="5" t="s">
        <v>1415</v>
      </c>
      <c r="E53" s="5"/>
      <c r="F53" s="28"/>
      <c r="G53" s="28"/>
      <c r="N53" s="25"/>
    </row>
    <row r="54" spans="1:14" s="46" customFormat="1" ht="15" customHeight="1" x14ac:dyDescent="0.25">
      <c r="A54" s="46" t="s">
        <v>1337</v>
      </c>
      <c r="B54" s="16"/>
      <c r="C54" s="16"/>
      <c r="D54" s="5" t="s">
        <v>1416</v>
      </c>
      <c r="E54" s="5"/>
      <c r="F54" s="28"/>
      <c r="G54" s="28"/>
      <c r="N54" s="25"/>
    </row>
    <row r="55" spans="1:14" s="46" customFormat="1" ht="15" customHeight="1" x14ac:dyDescent="0.25">
      <c r="A55" s="46" t="s">
        <v>1452</v>
      </c>
      <c r="B55" s="16"/>
      <c r="C55" s="16"/>
      <c r="D55" s="5" t="s">
        <v>1417</v>
      </c>
      <c r="E55" s="5"/>
      <c r="F55" s="28"/>
      <c r="G55" s="28"/>
      <c r="N55" s="25"/>
    </row>
    <row r="56" spans="1:14" s="46" customFormat="1" ht="15" customHeight="1" x14ac:dyDescent="0.25">
      <c r="A56" s="46" t="s">
        <v>1453</v>
      </c>
      <c r="B56" s="16"/>
      <c r="C56" s="16"/>
      <c r="D56" s="5" t="s">
        <v>1418</v>
      </c>
      <c r="E56" s="5"/>
      <c r="F56" s="28"/>
      <c r="G56" s="28"/>
      <c r="N56" s="25"/>
    </row>
    <row r="57" spans="1:14" s="46" customFormat="1" ht="15" customHeight="1" x14ac:dyDescent="0.25">
      <c r="A57" s="46" t="s">
        <v>1454</v>
      </c>
      <c r="B57" s="16"/>
      <c r="C57" s="16"/>
      <c r="D57" s="5" t="s">
        <v>1419</v>
      </c>
      <c r="E57" s="5"/>
      <c r="F57" s="28"/>
      <c r="G57" s="28"/>
      <c r="N57" s="25"/>
    </row>
    <row r="58" spans="1:14" s="46" customFormat="1" ht="15" customHeight="1" x14ac:dyDescent="0.25">
      <c r="A58" s="46" t="s">
        <v>1484</v>
      </c>
      <c r="B58" s="16"/>
      <c r="C58" s="16"/>
      <c r="D58" s="5" t="s">
        <v>1420</v>
      </c>
      <c r="E58" s="5"/>
      <c r="F58" s="28"/>
      <c r="G58" s="28"/>
      <c r="N58" s="25"/>
    </row>
    <row r="59" spans="1:14" s="46" customFormat="1" ht="15" customHeight="1" x14ac:dyDescent="0.25">
      <c r="A59" s="46" t="s">
        <v>1485</v>
      </c>
      <c r="B59" s="16"/>
      <c r="C59" s="16"/>
      <c r="D59" s="5" t="s">
        <v>1421</v>
      </c>
      <c r="E59" s="5"/>
      <c r="F59" s="28"/>
      <c r="G59" s="28"/>
      <c r="N59" s="25"/>
    </row>
    <row r="60" spans="1:14" s="46" customFormat="1" ht="15" customHeight="1" x14ac:dyDescent="0.25">
      <c r="A60" s="46" t="s">
        <v>1455</v>
      </c>
      <c r="B60" s="16"/>
      <c r="C60" s="16"/>
      <c r="D60" s="5" t="s">
        <v>1422</v>
      </c>
      <c r="E60" s="5"/>
      <c r="F60" s="28"/>
      <c r="G60" s="28"/>
      <c r="N60" s="25"/>
    </row>
    <row r="61" spans="1:14" s="46" customFormat="1" ht="15" customHeight="1" x14ac:dyDescent="0.25">
      <c r="A61" s="46" t="s">
        <v>1456</v>
      </c>
      <c r="B61" s="16"/>
      <c r="C61" s="16"/>
      <c r="D61" s="5" t="s">
        <v>1423</v>
      </c>
      <c r="E61" s="5"/>
      <c r="F61" s="28"/>
      <c r="G61" s="28"/>
      <c r="N61" s="25"/>
    </row>
    <row r="62" spans="1:14" s="46" customFormat="1" ht="15" customHeight="1" x14ac:dyDescent="0.25">
      <c r="A62" s="46" t="s">
        <v>1328</v>
      </c>
      <c r="B62" s="16"/>
      <c r="C62" s="16"/>
      <c r="D62" s="23"/>
      <c r="E62" s="23"/>
      <c r="F62" s="28"/>
      <c r="G62" s="28"/>
      <c r="N62" s="25"/>
    </row>
    <row r="63" spans="1:14" s="46" customFormat="1" ht="15" customHeight="1" x14ac:dyDescent="0.25">
      <c r="A63" s="46" t="s">
        <v>1486</v>
      </c>
      <c r="B63" s="16"/>
      <c r="C63" s="16"/>
      <c r="D63" s="5" t="s">
        <v>1424</v>
      </c>
      <c r="E63" s="5"/>
      <c r="F63" s="28"/>
      <c r="G63" s="28"/>
      <c r="N63" s="25"/>
    </row>
    <row r="64" spans="1:14" s="46" customFormat="1" ht="15" customHeight="1" x14ac:dyDescent="0.25">
      <c r="A64" s="46" t="s">
        <v>1487</v>
      </c>
      <c r="B64" s="16"/>
      <c r="C64" s="16"/>
      <c r="D64" s="5" t="s">
        <v>1425</v>
      </c>
      <c r="E64" s="5"/>
      <c r="F64" s="28"/>
      <c r="G64" s="28"/>
      <c r="N64" s="25"/>
    </row>
    <row r="65" spans="1:14" s="46" customFormat="1" ht="15" customHeight="1" x14ac:dyDescent="0.25">
      <c r="A65" s="46" t="s">
        <v>1488</v>
      </c>
      <c r="B65" s="16"/>
      <c r="C65" s="16"/>
      <c r="D65" s="5" t="s">
        <v>1426</v>
      </c>
      <c r="E65" s="5"/>
      <c r="F65" s="28"/>
      <c r="G65" s="28"/>
      <c r="N65" s="25"/>
    </row>
    <row r="66" spans="1:14" s="46" customFormat="1" ht="15" customHeight="1" x14ac:dyDescent="0.25">
      <c r="A66" s="46" t="s">
        <v>1489</v>
      </c>
      <c r="B66" s="16"/>
      <c r="C66" s="16"/>
      <c r="D66" s="5" t="s">
        <v>1427</v>
      </c>
      <c r="E66" s="5"/>
      <c r="F66" s="28"/>
      <c r="G66" s="28"/>
      <c r="N66" s="25"/>
    </row>
    <row r="67" spans="1:14" s="46" customFormat="1" ht="15" customHeight="1" x14ac:dyDescent="0.25">
      <c r="A67" s="46" t="s">
        <v>1490</v>
      </c>
      <c r="B67" s="16"/>
      <c r="C67" s="16"/>
      <c r="D67" s="5" t="s">
        <v>1428</v>
      </c>
      <c r="E67" s="5"/>
      <c r="F67" s="28"/>
      <c r="G67" s="28"/>
      <c r="N67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5"/>
  <dimension ref="A1:O61"/>
  <sheetViews>
    <sheetView topLeftCell="A10" zoomScale="80" zoomScaleNormal="80" workbookViewId="0">
      <selection activeCell="I1" sqref="I1:I1048576"/>
    </sheetView>
  </sheetViews>
  <sheetFormatPr defaultRowHeight="15" customHeight="1" x14ac:dyDescent="0.25"/>
  <cols>
    <col min="1" max="1" width="58.7109375" style="20" customWidth="1"/>
    <col min="2" max="3" width="10.7109375" style="21" customWidth="1"/>
    <col min="4" max="5" width="10.7109375" style="24" customWidth="1"/>
    <col min="6" max="7" width="10.7109375" style="64" customWidth="1"/>
    <col min="8" max="9" width="10.7109375" style="65" customWidth="1"/>
    <col min="10" max="14" width="10.7109375" style="20" customWidth="1"/>
    <col min="15" max="15" width="10.7109375" style="29" customWidth="1"/>
    <col min="16" max="17" width="10.7109375" style="20" customWidth="1"/>
    <col min="18" max="16384" width="9.140625" style="20"/>
  </cols>
  <sheetData>
    <row r="1" spans="1:15" s="46" customFormat="1" ht="15" customHeight="1" x14ac:dyDescent="0.25">
      <c r="A1" s="44"/>
      <c r="B1" s="72"/>
      <c r="C1" s="72"/>
      <c r="D1" s="73"/>
      <c r="E1" s="73"/>
      <c r="F1" s="62"/>
      <c r="G1" s="62"/>
      <c r="H1" s="40"/>
      <c r="I1" s="40"/>
      <c r="O1" s="28"/>
    </row>
    <row r="2" spans="1:15" s="46" customFormat="1" ht="15" customHeight="1" x14ac:dyDescent="0.25">
      <c r="A2" s="44"/>
      <c r="B2" s="66"/>
      <c r="C2" s="66"/>
      <c r="D2" s="68"/>
      <c r="E2" s="68"/>
      <c r="F2" s="63"/>
      <c r="G2" s="63"/>
      <c r="H2" s="40"/>
      <c r="I2" s="40"/>
      <c r="O2" s="28"/>
    </row>
    <row r="3" spans="1:15" s="46" customFormat="1" ht="15" customHeight="1" x14ac:dyDescent="0.25">
      <c r="A3" s="48" t="s">
        <v>1491</v>
      </c>
      <c r="B3" s="66"/>
      <c r="C3" s="66"/>
      <c r="D3" s="68"/>
      <c r="E3" s="68"/>
      <c r="F3" s="63"/>
      <c r="G3" s="63"/>
      <c r="H3" s="40"/>
      <c r="I3" s="40"/>
      <c r="O3" s="28"/>
    </row>
    <row r="4" spans="1:15" s="46" customFormat="1" ht="15" customHeight="1" x14ac:dyDescent="0.25">
      <c r="A4" s="48" t="s">
        <v>1528</v>
      </c>
      <c r="B4" s="3"/>
      <c r="C4" s="3"/>
      <c r="D4" s="5"/>
      <c r="E4" s="5"/>
      <c r="F4" s="7" t="s">
        <v>1492</v>
      </c>
      <c r="G4" s="7"/>
      <c r="H4" s="47"/>
      <c r="I4" s="47"/>
      <c r="O4" s="28"/>
    </row>
    <row r="5" spans="1:15" s="46" customFormat="1" ht="15" customHeight="1" x14ac:dyDescent="0.25">
      <c r="A5" s="48" t="s">
        <v>1529</v>
      </c>
      <c r="B5" s="3"/>
      <c r="C5" s="3"/>
      <c r="D5" s="5"/>
      <c r="E5" s="5"/>
      <c r="F5" s="7" t="s">
        <v>1493</v>
      </c>
      <c r="G5" s="7"/>
      <c r="H5" s="47"/>
      <c r="I5" s="47"/>
      <c r="O5" s="28"/>
    </row>
    <row r="6" spans="1:15" s="46" customFormat="1" ht="15" customHeight="1" x14ac:dyDescent="0.25">
      <c r="A6" s="48" t="s">
        <v>1530</v>
      </c>
      <c r="B6" s="3"/>
      <c r="C6" s="3"/>
      <c r="D6" s="5"/>
      <c r="E6" s="5"/>
      <c r="F6" s="7" t="s">
        <v>1494</v>
      </c>
      <c r="G6" s="7"/>
      <c r="H6" s="47"/>
      <c r="I6" s="47"/>
      <c r="O6" s="28"/>
    </row>
    <row r="7" spans="1:15" s="46" customFormat="1" ht="15" customHeight="1" x14ac:dyDescent="0.25">
      <c r="A7" s="48" t="s">
        <v>1531</v>
      </c>
      <c r="B7" s="3"/>
      <c r="C7" s="3"/>
      <c r="D7" s="5"/>
      <c r="E7" s="5"/>
      <c r="F7" s="7"/>
      <c r="G7" s="7"/>
      <c r="H7" s="47"/>
      <c r="I7" s="47"/>
      <c r="O7" s="28"/>
    </row>
    <row r="8" spans="1:15" s="46" customFormat="1" ht="15" customHeight="1" x14ac:dyDescent="0.25">
      <c r="A8" s="48" t="s">
        <v>1532</v>
      </c>
      <c r="B8" s="3"/>
      <c r="C8" s="3"/>
      <c r="D8" s="5"/>
      <c r="E8" s="5"/>
      <c r="F8" s="7" t="s">
        <v>1495</v>
      </c>
      <c r="G8" s="7"/>
      <c r="H8" s="47"/>
      <c r="I8" s="47"/>
      <c r="O8" s="28"/>
    </row>
    <row r="9" spans="1:15" s="46" customFormat="1" ht="15" customHeight="1" x14ac:dyDescent="0.25">
      <c r="A9" s="48" t="s">
        <v>1533</v>
      </c>
      <c r="B9" s="3"/>
      <c r="C9" s="3"/>
      <c r="D9" s="5"/>
      <c r="E9" s="5"/>
      <c r="F9" s="7" t="s">
        <v>1496</v>
      </c>
      <c r="G9" s="7"/>
      <c r="H9" s="47"/>
      <c r="I9" s="47"/>
      <c r="O9" s="28"/>
    </row>
    <row r="10" spans="1:15" s="46" customFormat="1" ht="15" customHeight="1" x14ac:dyDescent="0.25">
      <c r="A10" s="48" t="s">
        <v>1534</v>
      </c>
      <c r="B10" s="3"/>
      <c r="C10" s="3"/>
      <c r="D10" s="5"/>
      <c r="E10" s="5"/>
      <c r="F10" s="7" t="s">
        <v>1497</v>
      </c>
      <c r="G10" s="7"/>
      <c r="H10" s="47"/>
      <c r="I10" s="47"/>
      <c r="O10" s="28"/>
    </row>
    <row r="11" spans="1:15" s="46" customFormat="1" ht="15" customHeight="1" x14ac:dyDescent="0.25">
      <c r="A11" s="48" t="s">
        <v>1535</v>
      </c>
      <c r="B11" s="3"/>
      <c r="C11" s="3"/>
      <c r="D11" s="5"/>
      <c r="E11" s="5"/>
      <c r="F11" s="7" t="s">
        <v>1498</v>
      </c>
      <c r="G11" s="7"/>
      <c r="H11" s="47"/>
      <c r="I11" s="47"/>
      <c r="O11" s="28"/>
    </row>
    <row r="12" spans="1:15" s="46" customFormat="1" ht="15" customHeight="1" x14ac:dyDescent="0.25">
      <c r="A12" s="48" t="s">
        <v>1536</v>
      </c>
      <c r="B12" s="3"/>
      <c r="C12" s="3"/>
      <c r="D12" s="5"/>
      <c r="E12" s="5"/>
      <c r="F12" s="7" t="s">
        <v>1499</v>
      </c>
      <c r="G12" s="7"/>
      <c r="H12" s="47"/>
      <c r="I12" s="47"/>
      <c r="O12" s="28"/>
    </row>
    <row r="13" spans="1:15" s="46" customFormat="1" ht="15" customHeight="1" x14ac:dyDescent="0.25">
      <c r="A13" s="48" t="s">
        <v>1473</v>
      </c>
      <c r="B13" s="3"/>
      <c r="C13" s="3"/>
      <c r="D13" s="5"/>
      <c r="E13" s="5"/>
      <c r="F13" s="7" t="s">
        <v>1500</v>
      </c>
      <c r="G13" s="7"/>
      <c r="H13" s="47"/>
      <c r="I13" s="47"/>
      <c r="O13" s="28"/>
    </row>
    <row r="14" spans="1:15" s="46" customFormat="1" ht="15" customHeight="1" x14ac:dyDescent="0.25">
      <c r="A14" s="48" t="s">
        <v>1537</v>
      </c>
      <c r="B14" s="67"/>
      <c r="C14" s="67"/>
      <c r="D14" s="69"/>
      <c r="E14" s="69"/>
      <c r="F14" s="7" t="s">
        <v>1501</v>
      </c>
      <c r="G14" s="7"/>
      <c r="H14" s="47"/>
      <c r="I14" s="47"/>
      <c r="O14" s="28"/>
    </row>
    <row r="15" spans="1:15" s="46" customFormat="1" ht="15" customHeight="1" x14ac:dyDescent="0.25">
      <c r="A15" s="48" t="s">
        <v>1435</v>
      </c>
      <c r="B15" s="3"/>
      <c r="C15" s="3"/>
      <c r="D15" s="5"/>
      <c r="E15" s="5"/>
      <c r="F15" s="7" t="s">
        <v>1502</v>
      </c>
      <c r="G15" s="7"/>
      <c r="H15" s="47"/>
      <c r="I15" s="47"/>
      <c r="O15" s="28"/>
    </row>
    <row r="16" spans="1:15" s="46" customFormat="1" ht="15" customHeight="1" x14ac:dyDescent="0.25">
      <c r="A16" s="48" t="s">
        <v>1309</v>
      </c>
      <c r="B16" s="3"/>
      <c r="C16" s="3"/>
      <c r="D16" s="5"/>
      <c r="E16" s="5"/>
      <c r="F16" s="7" t="s">
        <v>1503</v>
      </c>
      <c r="G16" s="7"/>
      <c r="H16" s="47"/>
      <c r="I16" s="47"/>
      <c r="O16" s="28"/>
    </row>
    <row r="17" spans="1:15" s="46" customFormat="1" ht="15" customHeight="1" x14ac:dyDescent="0.25">
      <c r="A17" s="48" t="s">
        <v>1538</v>
      </c>
      <c r="B17" s="3"/>
      <c r="C17" s="3"/>
      <c r="D17" s="5"/>
      <c r="E17" s="5"/>
      <c r="F17" s="7" t="s">
        <v>1504</v>
      </c>
      <c r="G17" s="7"/>
      <c r="H17" s="47"/>
      <c r="I17" s="47"/>
      <c r="O17" s="28"/>
    </row>
    <row r="18" spans="1:15" s="46" customFormat="1" ht="15" customHeight="1" x14ac:dyDescent="0.25">
      <c r="A18" s="48" t="s">
        <v>1539</v>
      </c>
      <c r="B18" s="3"/>
      <c r="C18" s="3"/>
      <c r="D18" s="5"/>
      <c r="E18" s="5"/>
      <c r="F18" s="7" t="s">
        <v>1505</v>
      </c>
      <c r="G18" s="7"/>
      <c r="H18" s="47"/>
      <c r="I18" s="47"/>
      <c r="O18" s="28"/>
    </row>
    <row r="19" spans="1:15" s="46" customFormat="1" ht="15" customHeight="1" x14ac:dyDescent="0.25">
      <c r="A19" s="48" t="s">
        <v>1303</v>
      </c>
      <c r="B19" s="3"/>
      <c r="C19" s="3"/>
      <c r="D19" s="5"/>
      <c r="E19" s="5"/>
      <c r="F19" s="7" t="s">
        <v>1506</v>
      </c>
      <c r="G19" s="7"/>
      <c r="H19" s="47"/>
      <c r="I19" s="47"/>
      <c r="O19" s="28"/>
    </row>
    <row r="20" spans="1:15" s="46" customFormat="1" ht="15" customHeight="1" x14ac:dyDescent="0.25">
      <c r="A20" s="48" t="s">
        <v>1540</v>
      </c>
      <c r="B20" s="67"/>
      <c r="C20" s="67"/>
      <c r="D20" s="69"/>
      <c r="E20" s="69"/>
      <c r="F20" s="7" t="s">
        <v>1507</v>
      </c>
      <c r="G20" s="7"/>
      <c r="H20" s="47"/>
      <c r="I20" s="47"/>
      <c r="O20" s="28"/>
    </row>
    <row r="21" spans="1:15" s="46" customFormat="1" ht="15" customHeight="1" x14ac:dyDescent="0.25">
      <c r="A21" s="48" t="s">
        <v>893</v>
      </c>
      <c r="B21" s="3"/>
      <c r="C21" s="3"/>
      <c r="D21" s="5"/>
      <c r="E21" s="5"/>
      <c r="F21" s="7" t="s">
        <v>1508</v>
      </c>
      <c r="G21" s="7"/>
      <c r="H21" s="47"/>
      <c r="I21" s="47"/>
      <c r="O21" s="28"/>
    </row>
    <row r="22" spans="1:15" s="46" customFormat="1" ht="15" customHeight="1" x14ac:dyDescent="0.25">
      <c r="A22" s="48" t="s">
        <v>1541</v>
      </c>
      <c r="B22" s="3"/>
      <c r="C22" s="3"/>
      <c r="D22" s="5"/>
      <c r="E22" s="5"/>
      <c r="F22" s="7" t="s">
        <v>1509</v>
      </c>
      <c r="G22" s="7"/>
      <c r="H22" s="47"/>
      <c r="I22" s="47"/>
      <c r="O22" s="28"/>
    </row>
    <row r="23" spans="1:15" s="46" customFormat="1" ht="15" customHeight="1" x14ac:dyDescent="0.25">
      <c r="A23" s="48" t="s">
        <v>1542</v>
      </c>
      <c r="B23" s="3"/>
      <c r="C23" s="3"/>
      <c r="D23" s="5"/>
      <c r="E23" s="5"/>
      <c r="F23" s="7" t="s">
        <v>1510</v>
      </c>
      <c r="G23" s="7"/>
      <c r="H23" s="47"/>
      <c r="I23" s="47"/>
      <c r="O23" s="28"/>
    </row>
    <row r="24" spans="1:15" s="46" customFormat="1" ht="15" customHeight="1" x14ac:dyDescent="0.25">
      <c r="A24" s="48" t="s">
        <v>1543</v>
      </c>
      <c r="B24" s="3"/>
      <c r="C24" s="3"/>
      <c r="D24" s="5"/>
      <c r="E24" s="5"/>
      <c r="F24" s="7" t="s">
        <v>1511</v>
      </c>
      <c r="G24" s="7"/>
      <c r="H24" s="47"/>
      <c r="I24" s="47"/>
      <c r="O24" s="28"/>
    </row>
    <row r="25" spans="1:15" s="46" customFormat="1" ht="15" customHeight="1" x14ac:dyDescent="0.25">
      <c r="A25" s="48" t="s">
        <v>1544</v>
      </c>
      <c r="B25" s="3"/>
      <c r="C25" s="3"/>
      <c r="D25" s="5"/>
      <c r="E25" s="5"/>
      <c r="F25" s="7" t="s">
        <v>1512</v>
      </c>
      <c r="G25" s="7"/>
      <c r="H25" s="47"/>
      <c r="I25" s="47"/>
      <c r="O25" s="28"/>
    </row>
    <row r="26" spans="1:15" s="46" customFormat="1" ht="15" customHeight="1" x14ac:dyDescent="0.25">
      <c r="A26" s="48" t="s">
        <v>1545</v>
      </c>
      <c r="B26" s="67"/>
      <c r="C26" s="67"/>
      <c r="D26" s="69"/>
      <c r="E26" s="69"/>
      <c r="F26" s="7" t="s">
        <v>1513</v>
      </c>
      <c r="G26" s="7"/>
      <c r="H26" s="47"/>
      <c r="I26" s="47"/>
      <c r="O26" s="28"/>
    </row>
    <row r="27" spans="1:15" s="46" customFormat="1" ht="15" customHeight="1" x14ac:dyDescent="0.25">
      <c r="A27" s="48" t="s">
        <v>1546</v>
      </c>
      <c r="B27" s="3"/>
      <c r="C27" s="3"/>
      <c r="D27" s="5"/>
      <c r="E27" s="5"/>
      <c r="F27" s="7" t="s">
        <v>1514</v>
      </c>
      <c r="G27" s="7"/>
      <c r="H27" s="47"/>
      <c r="I27" s="47"/>
      <c r="O27" s="28"/>
    </row>
    <row r="28" spans="1:15" s="46" customFormat="1" ht="15" customHeight="1" x14ac:dyDescent="0.25">
      <c r="A28" s="48" t="s">
        <v>1547</v>
      </c>
      <c r="B28" s="3"/>
      <c r="C28" s="3"/>
      <c r="D28" s="5"/>
      <c r="E28" s="5"/>
      <c r="F28" s="7" t="s">
        <v>1515</v>
      </c>
      <c r="G28" s="7"/>
      <c r="H28" s="47"/>
      <c r="I28" s="47"/>
      <c r="O28" s="28"/>
    </row>
    <row r="29" spans="1:15" s="46" customFormat="1" ht="15" customHeight="1" x14ac:dyDescent="0.25">
      <c r="A29" s="48" t="s">
        <v>1337</v>
      </c>
      <c r="B29" s="3"/>
      <c r="C29" s="3"/>
      <c r="D29" s="5"/>
      <c r="E29" s="5"/>
      <c r="F29" s="7" t="s">
        <v>1516</v>
      </c>
      <c r="G29" s="7"/>
      <c r="H29" s="47"/>
      <c r="I29" s="47"/>
      <c r="O29" s="28"/>
    </row>
    <row r="30" spans="1:15" s="46" customFormat="1" ht="15" customHeight="1" x14ac:dyDescent="0.25">
      <c r="A30" s="48" t="s">
        <v>1455</v>
      </c>
      <c r="B30" s="3"/>
      <c r="C30" s="3"/>
      <c r="D30" s="5"/>
      <c r="E30" s="5"/>
      <c r="F30" s="7" t="s">
        <v>1517</v>
      </c>
      <c r="G30" s="7"/>
      <c r="H30" s="47"/>
      <c r="I30" s="47"/>
      <c r="O30" s="28"/>
    </row>
    <row r="31" spans="1:15" s="46" customFormat="1" ht="15" customHeight="1" x14ac:dyDescent="0.25">
      <c r="A31" s="48" t="s">
        <v>1452</v>
      </c>
      <c r="B31" s="3"/>
      <c r="C31" s="3"/>
      <c r="D31" s="5"/>
      <c r="E31" s="5"/>
      <c r="F31" s="7" t="s">
        <v>1518</v>
      </c>
      <c r="G31" s="7"/>
      <c r="H31" s="47"/>
      <c r="I31" s="47"/>
      <c r="O31" s="28"/>
    </row>
    <row r="32" spans="1:15" s="46" customFormat="1" ht="15" customHeight="1" x14ac:dyDescent="0.25">
      <c r="A32" s="48" t="s">
        <v>1453</v>
      </c>
      <c r="B32" s="3"/>
      <c r="C32" s="3"/>
      <c r="D32" s="5"/>
      <c r="E32" s="5"/>
      <c r="F32" s="7" t="s">
        <v>1519</v>
      </c>
      <c r="G32" s="7"/>
      <c r="H32" s="47"/>
      <c r="I32" s="47"/>
      <c r="O32" s="28"/>
    </row>
    <row r="33" spans="1:15" s="46" customFormat="1" ht="15" customHeight="1" x14ac:dyDescent="0.25">
      <c r="A33" s="48" t="s">
        <v>1485</v>
      </c>
      <c r="B33" s="4"/>
      <c r="C33" s="4"/>
      <c r="D33" s="6"/>
      <c r="E33" s="6"/>
      <c r="F33" s="7" t="s">
        <v>1520</v>
      </c>
      <c r="G33" s="7"/>
      <c r="H33" s="47"/>
      <c r="I33" s="47"/>
      <c r="O33" s="28"/>
    </row>
    <row r="34" spans="1:15" s="46" customFormat="1" ht="15" customHeight="1" x14ac:dyDescent="0.25">
      <c r="A34" s="48" t="s">
        <v>1484</v>
      </c>
      <c r="B34" s="4"/>
      <c r="C34" s="4"/>
      <c r="D34" s="6"/>
      <c r="E34" s="6"/>
      <c r="F34" s="7" t="s">
        <v>1521</v>
      </c>
      <c r="G34" s="7"/>
      <c r="H34" s="47"/>
      <c r="I34" s="47"/>
      <c r="O34" s="28"/>
    </row>
    <row r="35" spans="1:15" s="46" customFormat="1" ht="15" customHeight="1" x14ac:dyDescent="0.25">
      <c r="A35" s="48" t="s">
        <v>1454</v>
      </c>
      <c r="B35" s="4"/>
      <c r="C35" s="4"/>
      <c r="D35" s="6"/>
      <c r="E35" s="6"/>
      <c r="F35" s="7" t="s">
        <v>1522</v>
      </c>
      <c r="G35" s="7"/>
      <c r="H35" s="47"/>
      <c r="I35" s="47"/>
      <c r="O35" s="28"/>
    </row>
    <row r="36" spans="1:15" s="46" customFormat="1" ht="15" customHeight="1" x14ac:dyDescent="0.25">
      <c r="A36" s="48" t="s">
        <v>1456</v>
      </c>
      <c r="B36" s="4"/>
      <c r="C36" s="4"/>
      <c r="D36" s="6"/>
      <c r="E36" s="6"/>
      <c r="F36" s="7" t="s">
        <v>1523</v>
      </c>
      <c r="G36" s="7"/>
      <c r="H36" s="47"/>
      <c r="I36" s="47"/>
      <c r="O36" s="28"/>
    </row>
    <row r="37" spans="1:15" s="46" customFormat="1" ht="15" customHeight="1" x14ac:dyDescent="0.25">
      <c r="A37" s="48" t="s">
        <v>1328</v>
      </c>
      <c r="B37" s="4"/>
      <c r="C37" s="4"/>
      <c r="D37" s="6"/>
      <c r="E37" s="6"/>
      <c r="F37" s="45"/>
      <c r="G37" s="45"/>
      <c r="H37" s="47"/>
      <c r="I37" s="47"/>
      <c r="O37" s="28"/>
    </row>
    <row r="38" spans="1:15" s="46" customFormat="1" ht="15" customHeight="1" x14ac:dyDescent="0.25">
      <c r="A38" s="48" t="s">
        <v>1548</v>
      </c>
      <c r="B38" s="4"/>
      <c r="C38" s="4"/>
      <c r="D38" s="6"/>
      <c r="E38" s="6"/>
      <c r="F38" s="7" t="s">
        <v>1524</v>
      </c>
      <c r="G38" s="7"/>
      <c r="H38" s="47"/>
      <c r="I38" s="47"/>
      <c r="O38" s="28"/>
    </row>
    <row r="39" spans="1:15" s="46" customFormat="1" ht="15" customHeight="1" x14ac:dyDescent="0.25">
      <c r="A39" s="48" t="s">
        <v>1549</v>
      </c>
      <c r="B39" s="4"/>
      <c r="C39" s="4"/>
      <c r="D39" s="6"/>
      <c r="E39" s="6"/>
      <c r="F39" s="7" t="s">
        <v>1525</v>
      </c>
      <c r="G39" s="7"/>
      <c r="H39" s="47"/>
      <c r="I39" s="47"/>
      <c r="O39" s="28"/>
    </row>
    <row r="40" spans="1:15" s="46" customFormat="1" ht="15" customHeight="1" x14ac:dyDescent="0.25">
      <c r="A40" s="48" t="s">
        <v>1550</v>
      </c>
      <c r="B40" s="67"/>
      <c r="C40" s="67"/>
      <c r="D40" s="69"/>
      <c r="E40" s="69"/>
      <c r="F40" s="7" t="s">
        <v>1526</v>
      </c>
      <c r="G40" s="7"/>
      <c r="H40" s="47"/>
      <c r="I40" s="47"/>
      <c r="O40" s="28"/>
    </row>
    <row r="41" spans="1:15" s="46" customFormat="1" ht="15" customHeight="1" x14ac:dyDescent="0.25">
      <c r="A41" s="48" t="s">
        <v>1551</v>
      </c>
      <c r="B41" s="4"/>
      <c r="C41" s="4"/>
      <c r="D41" s="6"/>
      <c r="E41" s="6"/>
      <c r="F41" s="7" t="s">
        <v>1527</v>
      </c>
      <c r="G41" s="7"/>
      <c r="H41" s="47"/>
      <c r="I41" s="47"/>
      <c r="O41" s="28"/>
    </row>
    <row r="42" spans="1:15" s="46" customFormat="1" ht="15" customHeight="1" x14ac:dyDescent="0.25">
      <c r="B42" s="4"/>
      <c r="C42" s="4"/>
      <c r="D42" s="6"/>
      <c r="E42" s="6"/>
      <c r="F42" s="28"/>
      <c r="G42" s="28"/>
      <c r="H42" s="47"/>
      <c r="I42" s="47"/>
      <c r="O42" s="28"/>
    </row>
    <row r="43" spans="1:15" s="46" customFormat="1" ht="15" customHeight="1" x14ac:dyDescent="0.25">
      <c r="B43" s="4"/>
      <c r="C43" s="4"/>
      <c r="D43" s="6"/>
      <c r="E43" s="6"/>
      <c r="F43" s="74"/>
      <c r="G43" s="74"/>
      <c r="H43" s="47"/>
      <c r="I43" s="47"/>
      <c r="O43" s="28"/>
    </row>
    <row r="44" spans="1:15" s="46" customFormat="1" ht="15" customHeight="1" x14ac:dyDescent="0.25">
      <c r="B44" s="4"/>
      <c r="C44" s="4"/>
      <c r="D44" s="6"/>
      <c r="E44" s="6"/>
      <c r="F44" s="27"/>
      <c r="G44" s="27"/>
      <c r="H44" s="47"/>
      <c r="I44" s="47"/>
      <c r="O44" s="28"/>
    </row>
    <row r="45" spans="1:15" s="46" customFormat="1" ht="15" customHeight="1" x14ac:dyDescent="0.25">
      <c r="B45" s="16"/>
      <c r="C45" s="16"/>
      <c r="D45" s="25"/>
      <c r="E45" s="25"/>
      <c r="F45" s="27"/>
      <c r="G45" s="27"/>
      <c r="O45" s="28"/>
    </row>
    <row r="46" spans="1:15" s="46" customFormat="1" ht="15" customHeight="1" x14ac:dyDescent="0.25">
      <c r="A46" s="42"/>
      <c r="B46" s="75"/>
      <c r="C46" s="75"/>
      <c r="D46" s="76"/>
      <c r="E46" s="76"/>
      <c r="F46" s="27"/>
      <c r="G46" s="27"/>
      <c r="H46" s="77"/>
      <c r="I46" s="77"/>
      <c r="O46" s="28"/>
    </row>
    <row r="47" spans="1:15" s="46" customFormat="1" ht="15" customHeight="1" x14ac:dyDescent="0.25">
      <c r="B47" s="17"/>
      <c r="C47" s="17"/>
      <c r="D47" s="23"/>
      <c r="E47" s="23"/>
      <c r="F47" s="27"/>
      <c r="G47" s="27"/>
      <c r="H47" s="47"/>
      <c r="I47" s="47"/>
      <c r="O47" s="28"/>
    </row>
    <row r="48" spans="1:15" s="46" customFormat="1" ht="15" customHeight="1" x14ac:dyDescent="0.25">
      <c r="B48" s="17"/>
      <c r="C48" s="17"/>
      <c r="D48" s="23"/>
      <c r="E48" s="23"/>
      <c r="F48" s="27"/>
      <c r="G48" s="27"/>
      <c r="H48" s="47"/>
      <c r="I48" s="47"/>
      <c r="O48" s="28"/>
    </row>
    <row r="49" spans="1:15" s="46" customFormat="1" ht="15" customHeight="1" x14ac:dyDescent="0.25">
      <c r="B49" s="17"/>
      <c r="C49" s="17"/>
      <c r="D49" s="23"/>
      <c r="E49" s="23"/>
      <c r="F49" s="27"/>
      <c r="G49" s="27"/>
      <c r="H49" s="47"/>
      <c r="I49" s="47"/>
      <c r="O49" s="28"/>
    </row>
    <row r="50" spans="1:15" s="46" customFormat="1" ht="15" customHeight="1" x14ac:dyDescent="0.25">
      <c r="B50" s="17"/>
      <c r="C50" s="17"/>
      <c r="D50" s="23"/>
      <c r="E50" s="23"/>
      <c r="F50" s="27"/>
      <c r="G50" s="27"/>
      <c r="H50" s="47"/>
      <c r="I50" s="47"/>
      <c r="O50" s="28"/>
    </row>
    <row r="51" spans="1:15" s="46" customFormat="1" ht="15" customHeight="1" x14ac:dyDescent="0.25">
      <c r="B51" s="17"/>
      <c r="C51" s="17"/>
      <c r="D51" s="23"/>
      <c r="E51" s="23"/>
      <c r="F51" s="27"/>
      <c r="G51" s="27"/>
      <c r="H51" s="47"/>
      <c r="I51" s="47"/>
      <c r="O51" s="28"/>
    </row>
    <row r="52" spans="1:15" s="46" customFormat="1" ht="15" customHeight="1" x14ac:dyDescent="0.25">
      <c r="B52" s="17"/>
      <c r="C52" s="17"/>
      <c r="D52" s="23"/>
      <c r="E52" s="23"/>
      <c r="F52" s="27"/>
      <c r="G52" s="27"/>
      <c r="H52" s="47"/>
      <c r="I52" s="47"/>
      <c r="O52" s="28"/>
    </row>
    <row r="53" spans="1:15" s="46" customFormat="1" ht="15" customHeight="1" x14ac:dyDescent="0.25">
      <c r="B53" s="17"/>
      <c r="C53" s="17"/>
      <c r="D53" s="23"/>
      <c r="E53" s="23"/>
      <c r="F53" s="27"/>
      <c r="G53" s="27"/>
      <c r="H53" s="47"/>
      <c r="I53" s="47"/>
      <c r="O53" s="28"/>
    </row>
    <row r="54" spans="1:15" s="46" customFormat="1" ht="15" customHeight="1" x14ac:dyDescent="0.25">
      <c r="B54" s="17"/>
      <c r="C54" s="17"/>
      <c r="D54" s="23"/>
      <c r="E54" s="23"/>
      <c r="F54" s="27"/>
      <c r="G54" s="27"/>
      <c r="H54" s="47"/>
      <c r="I54" s="47"/>
      <c r="O54" s="28"/>
    </row>
    <row r="55" spans="1:15" s="46" customFormat="1" ht="15" customHeight="1" x14ac:dyDescent="0.25">
      <c r="B55" s="17"/>
      <c r="C55" s="17"/>
      <c r="D55" s="23"/>
      <c r="E55" s="23"/>
      <c r="F55" s="27"/>
      <c r="G55" s="27"/>
      <c r="H55" s="47"/>
      <c r="I55" s="47"/>
      <c r="O55" s="28"/>
    </row>
    <row r="56" spans="1:15" s="46" customFormat="1" ht="15" customHeight="1" x14ac:dyDescent="0.25">
      <c r="B56" s="17"/>
      <c r="C56" s="17"/>
      <c r="D56" s="23"/>
      <c r="E56" s="23"/>
      <c r="F56" s="27"/>
      <c r="G56" s="27"/>
      <c r="H56" s="47"/>
      <c r="I56" s="47"/>
      <c r="O56" s="28"/>
    </row>
    <row r="57" spans="1:15" ht="15" customHeight="1" x14ac:dyDescent="0.25">
      <c r="A57" s="46"/>
      <c r="B57" s="17"/>
      <c r="C57" s="17"/>
      <c r="D57" s="23"/>
      <c r="E57" s="23"/>
      <c r="F57" s="27"/>
      <c r="G57" s="27"/>
      <c r="H57" s="47"/>
      <c r="I57" s="47"/>
    </row>
    <row r="58" spans="1:15" ht="15" customHeight="1" x14ac:dyDescent="0.25">
      <c r="A58" s="46"/>
      <c r="B58" s="17"/>
      <c r="C58" s="17"/>
      <c r="D58" s="23"/>
      <c r="E58" s="23"/>
      <c r="F58" s="27"/>
      <c r="G58" s="27"/>
      <c r="H58" s="47"/>
      <c r="I58" s="47"/>
    </row>
    <row r="59" spans="1:15" ht="15" customHeight="1" x14ac:dyDescent="0.25">
      <c r="A59" s="46"/>
      <c r="B59" s="17"/>
      <c r="C59" s="17"/>
      <c r="D59" s="23"/>
      <c r="E59" s="23"/>
      <c r="H59" s="47"/>
      <c r="I59" s="47"/>
    </row>
    <row r="60" spans="1:15" ht="15" customHeight="1" x14ac:dyDescent="0.25">
      <c r="A60" s="46"/>
      <c r="B60" s="17"/>
      <c r="C60" s="17"/>
      <c r="D60" s="23"/>
      <c r="E60" s="23"/>
      <c r="H60" s="47"/>
      <c r="I60" s="47"/>
    </row>
    <row r="61" spans="1:15" ht="15" customHeight="1" x14ac:dyDescent="0.25">
      <c r="A61" s="46"/>
      <c r="B61" s="17"/>
      <c r="C61" s="17"/>
      <c r="D61" s="23"/>
      <c r="E61" s="23"/>
      <c r="H61" s="47"/>
      <c r="I61" s="4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6"/>
  <dimension ref="A2:N4"/>
  <sheetViews>
    <sheetView topLeftCell="A7" zoomScale="80" zoomScaleNormal="80" workbookViewId="0">
      <selection activeCell="A39" sqref="A39"/>
    </sheetView>
  </sheetViews>
  <sheetFormatPr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1" width="10.7109375" style="48" customWidth="1"/>
    <col min="12" max="12" width="10.7109375" style="50" customWidth="1"/>
    <col min="13" max="13" width="10.7109375" style="70" customWidth="1"/>
    <col min="14" max="14" width="10.7109375" style="49" customWidth="1"/>
    <col min="15" max="16" width="10.7109375" style="48" customWidth="1"/>
    <col min="17" max="16384" width="9.140625" style="48"/>
  </cols>
  <sheetData>
    <row r="2" spans="1:11" ht="15" customHeight="1" x14ac:dyDescent="0.25">
      <c r="B2" s="50" t="s">
        <v>1622</v>
      </c>
      <c r="C2" s="50" t="s">
        <v>1623</v>
      </c>
      <c r="H2" s="48" t="s">
        <v>1887</v>
      </c>
      <c r="I2" s="48" t="s">
        <v>1884</v>
      </c>
      <c r="J2" s="48" t="s">
        <v>1885</v>
      </c>
      <c r="K2" s="48" t="s">
        <v>1886</v>
      </c>
    </row>
    <row r="3" spans="1:11" ht="15" customHeight="1" x14ac:dyDescent="0.25">
      <c r="A3" s="48" t="s">
        <v>1369</v>
      </c>
    </row>
    <row r="4" spans="1:11" ht="15" customHeight="1" x14ac:dyDescent="0.25">
      <c r="A4" s="48" t="s">
        <v>1367</v>
      </c>
      <c r="B4" s="81" t="s">
        <v>1368</v>
      </c>
      <c r="C4" s="81"/>
      <c r="D4" s="82" t="s">
        <v>1368</v>
      </c>
      <c r="E4" s="82"/>
      <c r="F4" s="83" t="s">
        <v>1368</v>
      </c>
      <c r="G4" s="8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BCDA-9BB7-4B09-B330-D9C81AC0246F}">
  <dimension ref="A1:HS6"/>
  <sheetViews>
    <sheetView tabSelected="1" topLeftCell="P1" zoomScale="80" zoomScaleNormal="80" workbookViewId="0">
      <selection activeCell="V4" sqref="V4"/>
    </sheetView>
  </sheetViews>
  <sheetFormatPr defaultColWidth="12" defaultRowHeight="15" x14ac:dyDescent="0.25"/>
  <cols>
    <col min="1" max="1" width="46.28515625" style="135" customWidth="1"/>
    <col min="2" max="4" width="15.7109375" style="135" customWidth="1"/>
    <col min="5" max="11" width="15.7109375" style="185" customWidth="1"/>
    <col min="12" max="17" width="15.7109375" style="231" customWidth="1"/>
    <col min="18" max="113" width="15.7109375" style="235" customWidth="1"/>
    <col min="114" max="116" width="15.7109375" style="117" customWidth="1"/>
    <col min="117" max="167" width="12" style="117"/>
    <col min="168" max="16384" width="12" style="417"/>
  </cols>
  <sheetData>
    <row r="1" spans="1:227" ht="15" customHeight="1" x14ac:dyDescent="0.25">
      <c r="CX1" s="514" t="s">
        <v>3251</v>
      </c>
      <c r="CY1" s="514"/>
      <c r="CZ1" s="514"/>
      <c r="DA1" s="514"/>
      <c r="DB1" s="514"/>
      <c r="DC1" s="514"/>
      <c r="DD1" s="514"/>
      <c r="DE1" s="514"/>
      <c r="DF1" s="514"/>
      <c r="DG1" s="514"/>
      <c r="DH1" s="514"/>
      <c r="DI1" s="514"/>
      <c r="DJ1" s="514"/>
      <c r="DK1" s="514"/>
      <c r="DL1" s="514"/>
    </row>
    <row r="2" spans="1:227" s="223" customFormat="1" ht="65.099999999999994" customHeight="1" x14ac:dyDescent="0.25">
      <c r="A2" s="224" t="s">
        <v>2172</v>
      </c>
      <c r="B2" s="224" t="s">
        <v>2500</v>
      </c>
      <c r="C2" s="224" t="s">
        <v>2501</v>
      </c>
      <c r="D2" s="224" t="s">
        <v>2504</v>
      </c>
      <c r="E2" s="355" t="s">
        <v>1880</v>
      </c>
      <c r="F2" s="355" t="s">
        <v>2776</v>
      </c>
      <c r="G2" s="355" t="s">
        <v>2777</v>
      </c>
      <c r="H2" s="355" t="s">
        <v>3127</v>
      </c>
      <c r="I2" s="355" t="s">
        <v>2785</v>
      </c>
      <c r="J2" s="355" t="s">
        <v>1801</v>
      </c>
      <c r="K2" s="375" t="s">
        <v>2410</v>
      </c>
      <c r="L2" s="247" t="s">
        <v>1573</v>
      </c>
      <c r="M2" s="247" t="s">
        <v>1896</v>
      </c>
      <c r="N2" s="232" t="s">
        <v>2451</v>
      </c>
      <c r="O2" s="232" t="s">
        <v>2450</v>
      </c>
      <c r="P2" s="232" t="s">
        <v>2448</v>
      </c>
      <c r="Q2" s="232" t="s">
        <v>2449</v>
      </c>
      <c r="R2" s="515" t="s">
        <v>1768</v>
      </c>
      <c r="S2" s="516"/>
      <c r="T2" s="517"/>
      <c r="U2" s="515" t="s">
        <v>2516</v>
      </c>
      <c r="V2" s="516"/>
      <c r="W2" s="517"/>
      <c r="X2" s="515" t="s">
        <v>2523</v>
      </c>
      <c r="Y2" s="516"/>
      <c r="Z2" s="517"/>
      <c r="AA2" s="515" t="s">
        <v>1776</v>
      </c>
      <c r="AB2" s="516"/>
      <c r="AC2" s="517"/>
      <c r="AD2" s="515" t="s">
        <v>1777</v>
      </c>
      <c r="AE2" s="516"/>
      <c r="AF2" s="517"/>
      <c r="AG2" s="515" t="s">
        <v>1778</v>
      </c>
      <c r="AH2" s="516"/>
      <c r="AI2" s="517"/>
      <c r="AJ2" s="515" t="s">
        <v>1779</v>
      </c>
      <c r="AK2" s="516"/>
      <c r="AL2" s="517"/>
      <c r="AM2" s="515" t="s">
        <v>1780</v>
      </c>
      <c r="AN2" s="516"/>
      <c r="AO2" s="517"/>
      <c r="AP2" s="515" t="s">
        <v>1781</v>
      </c>
      <c r="AQ2" s="516"/>
      <c r="AR2" s="517"/>
      <c r="AS2" s="515" t="s">
        <v>1782</v>
      </c>
      <c r="AT2" s="516"/>
      <c r="AU2" s="517"/>
      <c r="AV2" s="515" t="s">
        <v>1783</v>
      </c>
      <c r="AW2" s="516"/>
      <c r="AX2" s="517"/>
      <c r="AY2" s="515" t="s">
        <v>1784</v>
      </c>
      <c r="AZ2" s="516"/>
      <c r="BA2" s="517"/>
      <c r="BB2" s="515" t="s">
        <v>1803</v>
      </c>
      <c r="BC2" s="516"/>
      <c r="BD2" s="517"/>
      <c r="BE2" s="515" t="s">
        <v>1785</v>
      </c>
      <c r="BF2" s="516"/>
      <c r="BG2" s="517"/>
      <c r="BH2" s="515" t="s">
        <v>1786</v>
      </c>
      <c r="BI2" s="516"/>
      <c r="BJ2" s="517"/>
      <c r="BK2" s="515" t="s">
        <v>1787</v>
      </c>
      <c r="BL2" s="516"/>
      <c r="BM2" s="517"/>
      <c r="BN2" s="515" t="s">
        <v>1789</v>
      </c>
      <c r="BO2" s="516"/>
      <c r="BP2" s="517"/>
      <c r="BQ2" s="515" t="s">
        <v>1790</v>
      </c>
      <c r="BR2" s="516"/>
      <c r="BS2" s="517"/>
      <c r="BT2" s="515" t="s">
        <v>1791</v>
      </c>
      <c r="BU2" s="516"/>
      <c r="BV2" s="517"/>
      <c r="BW2" s="515" t="s">
        <v>1788</v>
      </c>
      <c r="BX2" s="516"/>
      <c r="BY2" s="517"/>
      <c r="BZ2" s="515" t="s">
        <v>1792</v>
      </c>
      <c r="CA2" s="516"/>
      <c r="CB2" s="517"/>
      <c r="CC2" s="515" t="s">
        <v>1793</v>
      </c>
      <c r="CD2" s="516"/>
      <c r="CE2" s="517"/>
      <c r="CF2" s="515" t="s">
        <v>1794</v>
      </c>
      <c r="CG2" s="516"/>
      <c r="CH2" s="517"/>
      <c r="CI2" s="515" t="s">
        <v>1795</v>
      </c>
      <c r="CJ2" s="516"/>
      <c r="CK2" s="517"/>
      <c r="CL2" s="515" t="s">
        <v>1796</v>
      </c>
      <c r="CM2" s="516"/>
      <c r="CN2" s="517"/>
      <c r="CO2" s="515" t="s">
        <v>2825</v>
      </c>
      <c r="CP2" s="516"/>
      <c r="CQ2" s="517"/>
      <c r="CR2" s="515" t="s">
        <v>3242</v>
      </c>
      <c r="CS2" s="516"/>
      <c r="CT2" s="517"/>
      <c r="CU2" s="515" t="s">
        <v>2762</v>
      </c>
      <c r="CV2" s="516"/>
      <c r="CW2" s="517"/>
      <c r="CX2" s="515" t="s">
        <v>1797</v>
      </c>
      <c r="CY2" s="516"/>
      <c r="CZ2" s="517"/>
      <c r="DA2" s="515" t="s">
        <v>1798</v>
      </c>
      <c r="DB2" s="516"/>
      <c r="DC2" s="517"/>
      <c r="DD2" s="515" t="s">
        <v>1800</v>
      </c>
      <c r="DE2" s="516"/>
      <c r="DF2" s="517"/>
      <c r="DG2" s="515" t="s">
        <v>1799</v>
      </c>
      <c r="DH2" s="516"/>
      <c r="DI2" s="517"/>
      <c r="DJ2" s="515" t="s">
        <v>968</v>
      </c>
      <c r="DK2" s="516"/>
      <c r="DL2" s="517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2"/>
      <c r="EB2" s="222"/>
      <c r="EC2" s="222"/>
      <c r="ED2" s="222"/>
      <c r="EE2" s="222"/>
      <c r="EF2" s="222"/>
      <c r="EG2" s="222"/>
      <c r="EH2" s="222"/>
      <c r="EI2" s="222"/>
      <c r="EJ2" s="222"/>
      <c r="EK2" s="222"/>
      <c r="EL2" s="222"/>
      <c r="EM2" s="222"/>
      <c r="EN2" s="222"/>
      <c r="EO2" s="222"/>
      <c r="EP2" s="222"/>
      <c r="EQ2" s="222"/>
      <c r="ER2" s="222"/>
      <c r="ES2" s="222"/>
      <c r="ET2" s="222"/>
      <c r="EU2" s="222"/>
      <c r="EV2" s="222"/>
      <c r="EW2" s="222"/>
      <c r="EX2" s="222"/>
      <c r="EY2" s="222"/>
      <c r="EZ2" s="222"/>
      <c r="FA2" s="222"/>
      <c r="FB2" s="222"/>
      <c r="FC2" s="222"/>
      <c r="FD2" s="222"/>
      <c r="FE2" s="222"/>
      <c r="FF2" s="222"/>
      <c r="FG2" s="222"/>
      <c r="FH2" s="222"/>
      <c r="FI2" s="222"/>
      <c r="FJ2" s="222"/>
      <c r="FK2" s="222"/>
      <c r="FL2" s="222"/>
      <c r="FM2" s="222"/>
      <c r="HS2" s="221"/>
    </row>
    <row r="3" spans="1:227" ht="15" customHeight="1" x14ac:dyDescent="0.25">
      <c r="A3" s="225"/>
      <c r="B3" s="225"/>
      <c r="C3" s="225"/>
      <c r="D3" s="225"/>
      <c r="E3" s="271"/>
      <c r="F3" s="271"/>
      <c r="G3" s="271"/>
      <c r="H3" s="271"/>
      <c r="I3" s="271"/>
      <c r="J3" s="271"/>
      <c r="K3" s="226"/>
      <c r="L3" s="229"/>
      <c r="M3" s="229"/>
      <c r="N3" s="229"/>
      <c r="O3" s="229"/>
      <c r="P3" s="229"/>
      <c r="Q3" s="229"/>
      <c r="R3" s="227" t="s">
        <v>2446</v>
      </c>
      <c r="S3" s="227" t="s">
        <v>3556</v>
      </c>
      <c r="T3" s="227" t="s">
        <v>2447</v>
      </c>
      <c r="U3" s="227" t="s">
        <v>2446</v>
      </c>
      <c r="V3" s="227" t="s">
        <v>3556</v>
      </c>
      <c r="W3" s="227" t="s">
        <v>2447</v>
      </c>
      <c r="X3" s="227" t="s">
        <v>2446</v>
      </c>
      <c r="Y3" s="227" t="s">
        <v>3556</v>
      </c>
      <c r="Z3" s="227" t="s">
        <v>2447</v>
      </c>
      <c r="AA3" s="227" t="s">
        <v>2446</v>
      </c>
      <c r="AB3" s="227" t="s">
        <v>3556</v>
      </c>
      <c r="AC3" s="227" t="s">
        <v>2447</v>
      </c>
      <c r="AD3" s="227" t="s">
        <v>2446</v>
      </c>
      <c r="AE3" s="227" t="s">
        <v>3556</v>
      </c>
      <c r="AF3" s="227" t="s">
        <v>2447</v>
      </c>
      <c r="AG3" s="227" t="s">
        <v>2446</v>
      </c>
      <c r="AH3" s="227" t="s">
        <v>3556</v>
      </c>
      <c r="AI3" s="227" t="s">
        <v>2447</v>
      </c>
      <c r="AJ3" s="227" t="s">
        <v>2446</v>
      </c>
      <c r="AK3" s="227" t="s">
        <v>3556</v>
      </c>
      <c r="AL3" s="227" t="s">
        <v>2447</v>
      </c>
      <c r="AM3" s="227" t="s">
        <v>2446</v>
      </c>
      <c r="AN3" s="227" t="s">
        <v>3556</v>
      </c>
      <c r="AO3" s="227" t="s">
        <v>2447</v>
      </c>
      <c r="AP3" s="227" t="s">
        <v>2446</v>
      </c>
      <c r="AQ3" s="227" t="s">
        <v>3556</v>
      </c>
      <c r="AR3" s="227" t="s">
        <v>2447</v>
      </c>
      <c r="AS3" s="227" t="s">
        <v>2446</v>
      </c>
      <c r="AT3" s="227" t="s">
        <v>3556</v>
      </c>
      <c r="AU3" s="227" t="s">
        <v>2447</v>
      </c>
      <c r="AV3" s="227" t="s">
        <v>2446</v>
      </c>
      <c r="AW3" s="227" t="s">
        <v>3556</v>
      </c>
      <c r="AX3" s="227" t="s">
        <v>2447</v>
      </c>
      <c r="AY3" s="227" t="s">
        <v>2446</v>
      </c>
      <c r="AZ3" s="227" t="s">
        <v>3556</v>
      </c>
      <c r="BA3" s="227" t="s">
        <v>2447</v>
      </c>
      <c r="BB3" s="227" t="s">
        <v>2446</v>
      </c>
      <c r="BC3" s="227" t="s">
        <v>3556</v>
      </c>
      <c r="BD3" s="227" t="s">
        <v>2447</v>
      </c>
      <c r="BE3" s="227" t="s">
        <v>2446</v>
      </c>
      <c r="BF3" s="227" t="s">
        <v>3556</v>
      </c>
      <c r="BG3" s="227" t="s">
        <v>2447</v>
      </c>
      <c r="BH3" s="227" t="s">
        <v>2446</v>
      </c>
      <c r="BI3" s="227" t="s">
        <v>3556</v>
      </c>
      <c r="BJ3" s="227" t="s">
        <v>2447</v>
      </c>
      <c r="BK3" s="227" t="s">
        <v>2446</v>
      </c>
      <c r="BL3" s="227" t="s">
        <v>3556</v>
      </c>
      <c r="BM3" s="227" t="s">
        <v>2447</v>
      </c>
      <c r="BN3" s="227" t="s">
        <v>2446</v>
      </c>
      <c r="BO3" s="227" t="s">
        <v>3556</v>
      </c>
      <c r="BP3" s="227" t="s">
        <v>2447</v>
      </c>
      <c r="BQ3" s="227" t="s">
        <v>2446</v>
      </c>
      <c r="BR3" s="227" t="s">
        <v>3556</v>
      </c>
      <c r="BS3" s="227" t="s">
        <v>2447</v>
      </c>
      <c r="BT3" s="227" t="s">
        <v>2446</v>
      </c>
      <c r="BU3" s="227" t="s">
        <v>3556</v>
      </c>
      <c r="BV3" s="227" t="s">
        <v>2447</v>
      </c>
      <c r="BW3" s="227" t="s">
        <v>2446</v>
      </c>
      <c r="BX3" s="227" t="s">
        <v>3556</v>
      </c>
      <c r="BY3" s="227" t="s">
        <v>2447</v>
      </c>
      <c r="BZ3" s="227" t="s">
        <v>2446</v>
      </c>
      <c r="CA3" s="227" t="s">
        <v>3556</v>
      </c>
      <c r="CB3" s="227" t="s">
        <v>2447</v>
      </c>
      <c r="CC3" s="227" t="s">
        <v>2446</v>
      </c>
      <c r="CD3" s="227" t="s">
        <v>3556</v>
      </c>
      <c r="CE3" s="227" t="s">
        <v>2447</v>
      </c>
      <c r="CF3" s="227" t="s">
        <v>2446</v>
      </c>
      <c r="CG3" s="227" t="s">
        <v>3556</v>
      </c>
      <c r="CH3" s="227" t="s">
        <v>2447</v>
      </c>
      <c r="CI3" s="227" t="s">
        <v>2446</v>
      </c>
      <c r="CJ3" s="227" t="s">
        <v>3556</v>
      </c>
      <c r="CK3" s="227" t="s">
        <v>2447</v>
      </c>
      <c r="CL3" s="227" t="s">
        <v>2446</v>
      </c>
      <c r="CM3" s="227" t="s">
        <v>3556</v>
      </c>
      <c r="CN3" s="227" t="s">
        <v>2447</v>
      </c>
      <c r="CO3" s="227" t="s">
        <v>2446</v>
      </c>
      <c r="CP3" s="227" t="s">
        <v>3556</v>
      </c>
      <c r="CQ3" s="227" t="s">
        <v>2447</v>
      </c>
      <c r="CR3" s="227" t="s">
        <v>2446</v>
      </c>
      <c r="CS3" s="227" t="s">
        <v>3556</v>
      </c>
      <c r="CT3" s="227" t="s">
        <v>2447</v>
      </c>
      <c r="CU3" s="227" t="s">
        <v>3243</v>
      </c>
      <c r="CV3" s="227" t="s">
        <v>3556</v>
      </c>
      <c r="CW3" s="227" t="s">
        <v>2447</v>
      </c>
      <c r="CX3" s="227" t="s">
        <v>2446</v>
      </c>
      <c r="CY3" s="227" t="s">
        <v>3556</v>
      </c>
      <c r="CZ3" s="227" t="s">
        <v>2447</v>
      </c>
      <c r="DA3" s="227" t="s">
        <v>2446</v>
      </c>
      <c r="DB3" s="227" t="s">
        <v>3556</v>
      </c>
      <c r="DC3" s="227" t="s">
        <v>2447</v>
      </c>
      <c r="DD3" s="227" t="s">
        <v>2446</v>
      </c>
      <c r="DE3" s="227" t="s">
        <v>3556</v>
      </c>
      <c r="DF3" s="227" t="s">
        <v>2447</v>
      </c>
      <c r="DG3" s="227" t="s">
        <v>2446</v>
      </c>
      <c r="DH3" s="227" t="s">
        <v>3556</v>
      </c>
      <c r="DI3" s="227" t="s">
        <v>2447</v>
      </c>
      <c r="DJ3" s="227" t="s">
        <v>2446</v>
      </c>
      <c r="DK3" s="227"/>
      <c r="DL3" s="227" t="s">
        <v>2447</v>
      </c>
      <c r="FL3" s="117"/>
      <c r="FM3" s="117"/>
    </row>
    <row r="4" spans="1:227" ht="15" customHeight="1" x14ac:dyDescent="0.25">
      <c r="K4" s="228"/>
      <c r="L4" s="230"/>
      <c r="M4" s="230"/>
      <c r="N4" s="230"/>
      <c r="O4" s="230"/>
      <c r="P4" s="230"/>
      <c r="Q4" s="230"/>
      <c r="R4" s="233"/>
      <c r="S4" s="233"/>
      <c r="T4" s="233"/>
      <c r="U4" s="234"/>
      <c r="V4" s="234"/>
      <c r="W4" s="234"/>
      <c r="X4" s="234"/>
      <c r="Y4" s="233"/>
      <c r="Z4" s="234"/>
      <c r="AA4" s="234"/>
      <c r="AB4" s="233"/>
      <c r="AC4" s="234"/>
      <c r="AD4" s="234"/>
      <c r="AE4" s="233"/>
      <c r="AF4" s="234"/>
      <c r="AG4" s="234"/>
      <c r="AH4" s="233"/>
      <c r="AI4" s="234"/>
      <c r="AJ4" s="234"/>
      <c r="AK4" s="233"/>
      <c r="AL4" s="234"/>
      <c r="AM4" s="234"/>
      <c r="AN4" s="233"/>
      <c r="AO4" s="234"/>
      <c r="AP4" s="234"/>
      <c r="AQ4" s="233"/>
      <c r="AR4" s="234"/>
      <c r="AS4" s="234"/>
      <c r="AT4" s="233"/>
      <c r="AU4" s="234"/>
      <c r="AV4" s="234"/>
      <c r="AW4" s="233"/>
      <c r="AX4" s="234"/>
      <c r="AY4" s="234"/>
      <c r="AZ4" s="233"/>
      <c r="BA4" s="234"/>
      <c r="BB4" s="234"/>
      <c r="BC4" s="233"/>
      <c r="BD4" s="234"/>
      <c r="BE4" s="234"/>
      <c r="BF4" s="233"/>
      <c r="BG4" s="234"/>
      <c r="BH4" s="234"/>
      <c r="BI4" s="233"/>
      <c r="BJ4" s="234"/>
      <c r="BK4" s="234"/>
      <c r="BL4" s="233"/>
      <c r="BM4" s="234"/>
      <c r="BN4" s="234"/>
      <c r="BO4" s="233"/>
      <c r="BP4" s="234"/>
      <c r="BQ4" s="234"/>
      <c r="BR4" s="233"/>
      <c r="BS4" s="234"/>
      <c r="BT4" s="234"/>
      <c r="BU4" s="233"/>
      <c r="BV4" s="234"/>
      <c r="BW4" s="234"/>
      <c r="BX4" s="233"/>
      <c r="BY4" s="234"/>
      <c r="BZ4" s="234"/>
      <c r="CA4" s="233"/>
      <c r="CB4" s="234"/>
      <c r="CC4" s="234"/>
      <c r="CD4" s="233"/>
      <c r="CE4" s="234"/>
      <c r="CF4" s="234"/>
      <c r="CG4" s="233"/>
      <c r="CH4" s="234"/>
      <c r="CI4" s="234"/>
      <c r="CJ4" s="233"/>
      <c r="CK4" s="234"/>
      <c r="CL4" s="234"/>
      <c r="CM4" s="233"/>
      <c r="CN4" s="234"/>
      <c r="CO4" s="234"/>
      <c r="CP4" s="233"/>
      <c r="CQ4" s="234"/>
      <c r="CR4" s="234"/>
      <c r="CS4" s="233"/>
      <c r="CT4" s="234"/>
      <c r="CU4" s="234"/>
      <c r="CV4" s="233"/>
      <c r="CW4" s="234"/>
      <c r="CX4" s="234"/>
      <c r="CY4" s="233"/>
      <c r="CZ4" s="234"/>
      <c r="DA4" s="234"/>
      <c r="DB4" s="233"/>
      <c r="DC4" s="234"/>
      <c r="DD4" s="234"/>
      <c r="DE4" s="233"/>
      <c r="DF4" s="234"/>
      <c r="DG4" s="234"/>
      <c r="DH4" s="233"/>
      <c r="DI4" s="234"/>
    </row>
    <row r="5" spans="1:227" ht="15" customHeight="1" x14ac:dyDescent="0.25"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234"/>
      <c r="BW5" s="234"/>
      <c r="BX5" s="234"/>
      <c r="BY5" s="234"/>
      <c r="BZ5" s="234"/>
      <c r="CA5" s="234"/>
      <c r="CB5" s="234"/>
      <c r="CC5" s="234"/>
      <c r="CD5" s="234"/>
      <c r="CE5" s="234"/>
      <c r="CF5" s="234"/>
      <c r="CG5" s="234"/>
      <c r="CH5" s="234"/>
      <c r="CI5" s="234"/>
      <c r="CJ5" s="234"/>
      <c r="CK5" s="234"/>
      <c r="CL5" s="234"/>
      <c r="CM5" s="234"/>
      <c r="CN5" s="234"/>
      <c r="CO5" s="234"/>
      <c r="CP5" s="234"/>
      <c r="CQ5" s="234"/>
      <c r="CR5" s="234"/>
      <c r="CS5" s="234"/>
      <c r="CT5" s="234"/>
      <c r="CU5" s="234"/>
      <c r="CV5" s="234"/>
      <c r="CW5" s="234"/>
      <c r="CX5" s="234"/>
      <c r="CY5" s="234"/>
      <c r="CZ5" s="234"/>
      <c r="DA5" s="234"/>
      <c r="DB5" s="234"/>
      <c r="DC5" s="234"/>
      <c r="DD5" s="234"/>
      <c r="DE5" s="234"/>
      <c r="DF5" s="234"/>
      <c r="DG5" s="234"/>
      <c r="DH5" s="234"/>
      <c r="DI5" s="234"/>
    </row>
    <row r="6" spans="1:227" ht="15" customHeight="1" x14ac:dyDescent="0.25"/>
  </sheetData>
  <autoFilter ref="A3:DL3" xr:uid="{00000000-0009-0000-0000-000001000000}"/>
  <mergeCells count="34">
    <mergeCell ref="R2:T2"/>
    <mergeCell ref="U2:W2"/>
    <mergeCell ref="CF2:CH2"/>
    <mergeCell ref="CI2:CK2"/>
    <mergeCell ref="CL2:CN2"/>
    <mergeCell ref="AY2:BA2"/>
    <mergeCell ref="BB2:BD2"/>
    <mergeCell ref="BE2:BG2"/>
    <mergeCell ref="AM2:AO2"/>
    <mergeCell ref="AP2:AR2"/>
    <mergeCell ref="AS2:AU2"/>
    <mergeCell ref="CO2:CQ2"/>
    <mergeCell ref="CR2:CT2"/>
    <mergeCell ref="X2:Z2"/>
    <mergeCell ref="AA2:AC2"/>
    <mergeCell ref="AD2:AF2"/>
    <mergeCell ref="AG2:AI2"/>
    <mergeCell ref="AJ2:AL2"/>
    <mergeCell ref="BT2:BV2"/>
    <mergeCell ref="BW2:BY2"/>
    <mergeCell ref="BZ2:CB2"/>
    <mergeCell ref="CC2:CE2"/>
    <mergeCell ref="BN2:BP2"/>
    <mergeCell ref="BQ2:BS2"/>
    <mergeCell ref="BH2:BJ2"/>
    <mergeCell ref="BK2:BM2"/>
    <mergeCell ref="AV2:AX2"/>
    <mergeCell ref="CX1:DL1"/>
    <mergeCell ref="DD2:DF2"/>
    <mergeCell ref="DG2:DI2"/>
    <mergeCell ref="DJ2:DL2"/>
    <mergeCell ref="CU2:CW2"/>
    <mergeCell ref="CX2:CZ2"/>
    <mergeCell ref="DA2:DC2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1D52-F300-4026-9726-478BA6112E4D}">
  <sheetPr>
    <pageSetUpPr fitToPage="1"/>
  </sheetPr>
  <dimension ref="A1:S249"/>
  <sheetViews>
    <sheetView topLeftCell="A38" zoomScale="80" zoomScaleNormal="80" zoomScalePageLayoutView="90" workbookViewId="0">
      <selection activeCell="F58" sqref="F58"/>
    </sheetView>
  </sheetViews>
  <sheetFormatPr defaultColWidth="8.85546875" defaultRowHeight="15" x14ac:dyDescent="0.25"/>
  <cols>
    <col min="1" max="2" width="10.7109375" style="415" customWidth="1"/>
    <col min="3" max="3" width="45.7109375" style="415" customWidth="1"/>
    <col min="4" max="4" width="13.7109375" style="415" customWidth="1"/>
    <col min="5" max="5" width="13.7109375" style="103" customWidth="1"/>
    <col min="6" max="6" width="13.7109375" style="415" customWidth="1"/>
    <col min="7" max="7" width="13.7109375" style="103" customWidth="1"/>
    <col min="8" max="8" width="13.7109375" style="415" customWidth="1"/>
    <col min="9" max="9" width="13.7109375" style="103" customWidth="1"/>
    <col min="10" max="10" width="13.7109375" style="415" customWidth="1"/>
    <col min="11" max="11" width="13.7109375" style="103" customWidth="1"/>
    <col min="12" max="16" width="10.7109375" style="415" customWidth="1"/>
    <col min="17" max="16384" width="8.85546875" style="415"/>
  </cols>
  <sheetData>
    <row r="1" spans="1:16" x14ac:dyDescent="0.25">
      <c r="A1" s="132"/>
      <c r="B1" s="132"/>
      <c r="C1" s="132"/>
    </row>
    <row r="3" spans="1:16" x14ac:dyDescent="0.25">
      <c r="A3" s="460" t="s">
        <v>1860</v>
      </c>
      <c r="B3" s="461"/>
      <c r="C3" s="461"/>
      <c r="D3" s="461"/>
      <c r="E3" s="461"/>
      <c r="F3" s="461"/>
      <c r="G3" s="461"/>
      <c r="H3" s="461"/>
      <c r="I3" s="461"/>
      <c r="J3" s="461"/>
      <c r="K3" s="462"/>
      <c r="L3" s="408"/>
      <c r="M3" s="408"/>
      <c r="N3" s="408"/>
      <c r="O3" s="408"/>
      <c r="P3" s="408"/>
    </row>
    <row r="4" spans="1:16" x14ac:dyDescent="0.25">
      <c r="A4" s="127" t="s">
        <v>1861</v>
      </c>
      <c r="B4" s="502"/>
      <c r="C4" s="502"/>
      <c r="D4" s="502"/>
      <c r="E4" s="191" t="s">
        <v>2411</v>
      </c>
      <c r="F4" s="503"/>
      <c r="G4" s="503"/>
      <c r="H4" s="503"/>
      <c r="I4" s="131" t="s">
        <v>1881</v>
      </c>
      <c r="J4" s="504"/>
      <c r="K4" s="505"/>
      <c r="L4" s="129"/>
      <c r="P4" s="129"/>
    </row>
    <row r="5" spans="1:16" s="412" customFormat="1" x14ac:dyDescent="0.25">
      <c r="A5" s="128" t="s">
        <v>1862</v>
      </c>
      <c r="B5" s="506"/>
      <c r="C5" s="506"/>
      <c r="D5" s="506"/>
      <c r="E5" s="192" t="s">
        <v>2412</v>
      </c>
      <c r="F5" s="507"/>
      <c r="G5" s="507"/>
      <c r="H5" s="507"/>
      <c r="I5" s="195" t="s">
        <v>1881</v>
      </c>
      <c r="J5" s="508"/>
      <c r="K5" s="509"/>
    </row>
    <row r="6" spans="1:16" x14ac:dyDescent="0.25">
      <c r="A6" s="127" t="s">
        <v>1863</v>
      </c>
      <c r="B6" s="495"/>
      <c r="C6" s="495"/>
      <c r="D6" s="495"/>
      <c r="E6" s="193" t="s">
        <v>2413</v>
      </c>
      <c r="F6" s="496"/>
      <c r="G6" s="496"/>
      <c r="H6" s="496"/>
      <c r="I6" s="131" t="s">
        <v>1881</v>
      </c>
      <c r="J6" s="497"/>
      <c r="K6" s="498"/>
    </row>
    <row r="7" spans="1:16" s="412" customFormat="1" x14ac:dyDescent="0.25">
      <c r="A7" s="124" t="s">
        <v>1864</v>
      </c>
      <c r="B7" s="499"/>
      <c r="C7" s="499"/>
      <c r="D7" s="499"/>
      <c r="E7" s="194" t="s">
        <v>2414</v>
      </c>
      <c r="F7" s="500"/>
      <c r="G7" s="500"/>
      <c r="H7" s="500"/>
      <c r="I7" s="123"/>
      <c r="J7" s="500"/>
      <c r="K7" s="501"/>
    </row>
    <row r="8" spans="1:16" x14ac:dyDescent="0.25">
      <c r="A8" s="494"/>
      <c r="B8" s="494"/>
      <c r="C8" s="494"/>
    </row>
    <row r="9" spans="1:16" x14ac:dyDescent="0.25">
      <c r="G9" s="415"/>
      <c r="I9" s="415"/>
      <c r="K9" s="415"/>
    </row>
    <row r="10" spans="1:16" x14ac:dyDescent="0.25">
      <c r="G10" s="415"/>
      <c r="I10" s="415"/>
      <c r="K10" s="415"/>
    </row>
    <row r="11" spans="1:16" x14ac:dyDescent="0.25">
      <c r="G11" s="415"/>
      <c r="I11" s="415"/>
      <c r="K11" s="415"/>
    </row>
    <row r="12" spans="1:16" x14ac:dyDescent="0.25">
      <c r="G12" s="415"/>
      <c r="I12" s="415"/>
      <c r="K12" s="415"/>
    </row>
    <row r="13" spans="1:16" x14ac:dyDescent="0.25">
      <c r="G13" s="415"/>
      <c r="I13" s="415"/>
      <c r="K13" s="415"/>
    </row>
    <row r="14" spans="1:16" x14ac:dyDescent="0.25">
      <c r="G14" s="415"/>
      <c r="I14" s="415"/>
      <c r="K14" s="415"/>
    </row>
    <row r="15" spans="1:16" x14ac:dyDescent="0.25">
      <c r="G15" s="415"/>
      <c r="I15" s="415"/>
      <c r="K15" s="415"/>
    </row>
    <row r="16" spans="1:16" x14ac:dyDescent="0.25">
      <c r="G16" s="415"/>
      <c r="I16" s="415"/>
      <c r="K16" s="415"/>
    </row>
    <row r="17" spans="5:5" s="415" customFormat="1" x14ac:dyDescent="0.25">
      <c r="E17" s="103"/>
    </row>
    <row r="18" spans="5:5" s="415" customFormat="1" x14ac:dyDescent="0.25">
      <c r="E18" s="103"/>
    </row>
    <row r="19" spans="5:5" s="415" customFormat="1" x14ac:dyDescent="0.25">
      <c r="E19" s="103"/>
    </row>
    <row r="20" spans="5:5" s="415" customFormat="1" x14ac:dyDescent="0.25">
      <c r="E20" s="103"/>
    </row>
    <row r="21" spans="5:5" s="415" customFormat="1" x14ac:dyDescent="0.25">
      <c r="E21" s="103"/>
    </row>
    <row r="22" spans="5:5" s="415" customFormat="1" x14ac:dyDescent="0.25">
      <c r="E22" s="103"/>
    </row>
    <row r="23" spans="5:5" s="415" customFormat="1" x14ac:dyDescent="0.25">
      <c r="E23" s="103"/>
    </row>
    <row r="24" spans="5:5" s="415" customFormat="1" x14ac:dyDescent="0.25">
      <c r="E24" s="103"/>
    </row>
    <row r="25" spans="5:5" s="415" customFormat="1" x14ac:dyDescent="0.25">
      <c r="E25" s="103"/>
    </row>
    <row r="26" spans="5:5" s="415" customFormat="1" x14ac:dyDescent="0.25">
      <c r="E26" s="103"/>
    </row>
    <row r="27" spans="5:5" s="415" customFormat="1" x14ac:dyDescent="0.25">
      <c r="E27" s="103"/>
    </row>
    <row r="28" spans="5:5" s="415" customFormat="1" x14ac:dyDescent="0.25">
      <c r="E28" s="103"/>
    </row>
    <row r="29" spans="5:5" s="415" customFormat="1" x14ac:dyDescent="0.25">
      <c r="E29" s="103"/>
    </row>
    <row r="30" spans="5:5" s="415" customFormat="1" x14ac:dyDescent="0.25">
      <c r="E30" s="103"/>
    </row>
    <row r="31" spans="5:5" s="415" customFormat="1" x14ac:dyDescent="0.25">
      <c r="E31" s="103"/>
    </row>
    <row r="32" spans="5:5" s="415" customFormat="1" x14ac:dyDescent="0.25">
      <c r="E32" s="103"/>
    </row>
    <row r="33" spans="2:11" x14ac:dyDescent="0.25">
      <c r="G33" s="415"/>
      <c r="I33" s="415"/>
      <c r="K33" s="415"/>
    </row>
    <row r="34" spans="2:11" x14ac:dyDescent="0.25">
      <c r="E34" s="415"/>
      <c r="G34" s="415"/>
      <c r="I34" s="415"/>
      <c r="K34" s="415"/>
    </row>
    <row r="35" spans="2:11" x14ac:dyDescent="0.25">
      <c r="E35" s="415"/>
      <c r="G35" s="415"/>
      <c r="I35" s="415"/>
      <c r="K35" s="415"/>
    </row>
    <row r="36" spans="2:11" x14ac:dyDescent="0.25">
      <c r="E36" s="415"/>
      <c r="G36" s="415"/>
      <c r="I36" s="415"/>
      <c r="K36" s="415"/>
    </row>
    <row r="37" spans="2:11" x14ac:dyDescent="0.25">
      <c r="E37" s="113"/>
      <c r="F37" s="113"/>
      <c r="G37" s="113"/>
      <c r="H37" s="113"/>
      <c r="I37" s="415"/>
      <c r="K37" s="415"/>
    </row>
    <row r="38" spans="2:11" x14ac:dyDescent="0.25">
      <c r="B38" s="460"/>
      <c r="C38" s="461"/>
      <c r="D38" s="461"/>
      <c r="E38" s="416" t="s">
        <v>3256</v>
      </c>
      <c r="F38" s="133" t="s">
        <v>3556</v>
      </c>
      <c r="G38" s="134" t="s">
        <v>3257</v>
      </c>
      <c r="I38" s="415"/>
      <c r="K38" s="415"/>
    </row>
    <row r="39" spans="2:11" x14ac:dyDescent="0.25">
      <c r="B39" s="483"/>
      <c r="C39" s="482"/>
      <c r="D39" s="482"/>
      <c r="E39" s="170"/>
      <c r="F39" s="120"/>
      <c r="G39" s="170"/>
      <c r="I39" s="415"/>
      <c r="K39" s="415"/>
    </row>
    <row r="40" spans="2:11" x14ac:dyDescent="0.25">
      <c r="B40" s="451"/>
      <c r="C40" s="452"/>
      <c r="D40" s="452"/>
      <c r="E40" s="159"/>
      <c r="F40" s="120"/>
      <c r="G40" s="122"/>
      <c r="I40" s="415"/>
      <c r="K40" s="415"/>
    </row>
    <row r="41" spans="2:11" x14ac:dyDescent="0.25">
      <c r="B41" s="451"/>
      <c r="C41" s="452"/>
      <c r="D41" s="452"/>
      <c r="E41" s="159"/>
      <c r="F41" s="120"/>
      <c r="G41" s="122"/>
      <c r="H41" s="412"/>
      <c r="I41" s="412"/>
      <c r="J41" s="412"/>
      <c r="K41" s="412"/>
    </row>
    <row r="42" spans="2:11" x14ac:dyDescent="0.25">
      <c r="B42" s="451"/>
      <c r="C42" s="452"/>
      <c r="D42" s="452"/>
      <c r="E42" s="159"/>
      <c r="F42" s="120"/>
      <c r="G42" s="122"/>
      <c r="I42" s="415"/>
      <c r="K42" s="415"/>
    </row>
    <row r="43" spans="2:11" x14ac:dyDescent="0.25">
      <c r="B43" s="451"/>
      <c r="C43" s="452"/>
      <c r="D43" s="452"/>
      <c r="E43" s="159"/>
      <c r="F43" s="120"/>
      <c r="G43" s="122"/>
      <c r="I43" s="415"/>
      <c r="K43" s="415"/>
    </row>
    <row r="44" spans="2:11" x14ac:dyDescent="0.25">
      <c r="B44" s="451"/>
      <c r="C44" s="452"/>
      <c r="D44" s="452"/>
      <c r="E44" s="159"/>
      <c r="F44" s="120"/>
      <c r="G44" s="122"/>
      <c r="I44" s="415"/>
      <c r="K44" s="415"/>
    </row>
    <row r="45" spans="2:11" x14ac:dyDescent="0.25">
      <c r="B45" s="451"/>
      <c r="C45" s="452"/>
      <c r="D45" s="452"/>
      <c r="E45" s="159"/>
      <c r="F45" s="120"/>
      <c r="G45" s="122"/>
      <c r="I45" s="415"/>
      <c r="K45" s="415"/>
    </row>
    <row r="46" spans="2:11" x14ac:dyDescent="0.25">
      <c r="B46" s="451"/>
      <c r="C46" s="452"/>
      <c r="D46" s="452"/>
      <c r="E46" s="159"/>
      <c r="F46" s="120"/>
      <c r="G46" s="122"/>
      <c r="I46" s="415"/>
      <c r="K46" s="415"/>
    </row>
    <row r="47" spans="2:11" x14ac:dyDescent="0.25">
      <c r="B47" s="451"/>
      <c r="C47" s="452"/>
      <c r="D47" s="452"/>
      <c r="E47" s="159"/>
      <c r="F47" s="120"/>
      <c r="G47" s="122"/>
      <c r="I47" s="415"/>
      <c r="K47" s="415"/>
    </row>
    <row r="48" spans="2:11" x14ac:dyDescent="0.25">
      <c r="B48" s="451"/>
      <c r="C48" s="452"/>
      <c r="D48" s="452"/>
      <c r="E48" s="159"/>
      <c r="F48" s="120"/>
      <c r="G48" s="122"/>
      <c r="I48" s="415"/>
      <c r="K48" s="415"/>
    </row>
    <row r="49" spans="2:11" x14ac:dyDescent="0.25">
      <c r="B49" s="451"/>
      <c r="C49" s="452"/>
      <c r="D49" s="452"/>
      <c r="E49" s="159"/>
      <c r="F49" s="120"/>
      <c r="G49" s="122"/>
      <c r="I49" s="415"/>
      <c r="K49" s="415"/>
    </row>
    <row r="50" spans="2:11" x14ac:dyDescent="0.25">
      <c r="B50" s="451"/>
      <c r="C50" s="452"/>
      <c r="D50" s="452"/>
      <c r="E50" s="159"/>
      <c r="F50" s="120"/>
      <c r="G50" s="122"/>
      <c r="I50" s="415"/>
      <c r="K50" s="415"/>
    </row>
    <row r="51" spans="2:11" x14ac:dyDescent="0.25">
      <c r="B51" s="451"/>
      <c r="C51" s="452"/>
      <c r="D51" s="452"/>
      <c r="E51" s="159"/>
      <c r="F51" s="120"/>
      <c r="G51" s="122"/>
      <c r="I51" s="415"/>
      <c r="K51" s="415"/>
    </row>
    <row r="52" spans="2:11" x14ac:dyDescent="0.25">
      <c r="B52" s="451"/>
      <c r="C52" s="452"/>
      <c r="D52" s="452"/>
      <c r="E52" s="159"/>
      <c r="F52" s="120"/>
      <c r="G52" s="122"/>
      <c r="I52" s="415"/>
      <c r="K52" s="415"/>
    </row>
    <row r="53" spans="2:11" x14ac:dyDescent="0.25">
      <c r="B53" s="451"/>
      <c r="C53" s="452"/>
      <c r="D53" s="452"/>
      <c r="E53" s="159"/>
      <c r="F53" s="120"/>
      <c r="G53" s="122"/>
      <c r="I53" s="415"/>
      <c r="K53" s="415"/>
    </row>
    <row r="54" spans="2:11" x14ac:dyDescent="0.25">
      <c r="B54" s="492"/>
      <c r="C54" s="493"/>
      <c r="D54" s="493"/>
      <c r="E54" s="171"/>
      <c r="F54" s="120"/>
      <c r="G54" s="159"/>
      <c r="I54" s="415"/>
      <c r="K54" s="415"/>
    </row>
    <row r="55" spans="2:11" x14ac:dyDescent="0.25">
      <c r="B55" s="473"/>
      <c r="C55" s="474"/>
      <c r="D55" s="474"/>
      <c r="E55" s="169"/>
      <c r="F55" s="186">
        <f>SUM(F39:F53)</f>
        <v>0</v>
      </c>
      <c r="G55" s="169"/>
      <c r="I55" s="415"/>
      <c r="K55" s="415"/>
    </row>
    <row r="56" spans="2:11" x14ac:dyDescent="0.25">
      <c r="B56" s="413"/>
      <c r="C56" s="414"/>
      <c r="D56" s="414"/>
      <c r="E56" s="121"/>
      <c r="F56" s="121"/>
      <c r="G56" s="119"/>
      <c r="I56" s="415"/>
      <c r="K56" s="415"/>
    </row>
    <row r="57" spans="2:11" x14ac:dyDescent="0.25">
      <c r="B57" s="460"/>
      <c r="C57" s="461"/>
      <c r="D57" s="462"/>
      <c r="E57" s="416" t="s">
        <v>3256</v>
      </c>
      <c r="F57" s="133" t="s">
        <v>3556</v>
      </c>
      <c r="G57" s="134" t="s">
        <v>3257</v>
      </c>
      <c r="I57" s="415"/>
      <c r="K57" s="415"/>
    </row>
    <row r="58" spans="2:11" x14ac:dyDescent="0.25">
      <c r="B58" s="510"/>
      <c r="C58" s="511"/>
      <c r="D58" s="512"/>
      <c r="E58" s="166">
        <f>D158</f>
        <v>0</v>
      </c>
      <c r="F58" s="120"/>
      <c r="G58" s="166">
        <f t="shared" ref="G58:G80" si="0">D158-F158</f>
        <v>0</v>
      </c>
      <c r="I58" s="415"/>
      <c r="K58" s="415"/>
    </row>
    <row r="59" spans="2:11" x14ac:dyDescent="0.25">
      <c r="B59" s="448"/>
      <c r="C59" s="449"/>
      <c r="D59" s="450"/>
      <c r="E59" s="122">
        <f t="shared" ref="E59:E80" si="1">D159</f>
        <v>0</v>
      </c>
      <c r="F59" s="120"/>
      <c r="G59" s="122">
        <f t="shared" si="0"/>
        <v>0</v>
      </c>
      <c r="I59" s="415"/>
      <c r="K59" s="415"/>
    </row>
    <row r="60" spans="2:11" x14ac:dyDescent="0.25">
      <c r="B60" s="448"/>
      <c r="C60" s="449"/>
      <c r="D60" s="450"/>
      <c r="E60" s="122">
        <f t="shared" si="1"/>
        <v>0</v>
      </c>
      <c r="F60" s="120"/>
      <c r="G60" s="122">
        <f t="shared" si="0"/>
        <v>0</v>
      </c>
      <c r="H60" s="118"/>
      <c r="I60" s="415"/>
      <c r="K60" s="415"/>
    </row>
    <row r="61" spans="2:11" x14ac:dyDescent="0.25">
      <c r="B61" s="448"/>
      <c r="C61" s="449"/>
      <c r="D61" s="450"/>
      <c r="E61" s="122">
        <f t="shared" si="1"/>
        <v>0</v>
      </c>
      <c r="F61" s="120"/>
      <c r="G61" s="122">
        <f t="shared" si="0"/>
        <v>0</v>
      </c>
      <c r="H61" s="118"/>
      <c r="I61" s="415"/>
      <c r="K61" s="415"/>
    </row>
    <row r="62" spans="2:11" x14ac:dyDescent="0.25">
      <c r="B62" s="448"/>
      <c r="C62" s="449"/>
      <c r="D62" s="450"/>
      <c r="E62" s="122">
        <f t="shared" si="1"/>
        <v>0</v>
      </c>
      <c r="F62" s="120"/>
      <c r="G62" s="122">
        <f t="shared" si="0"/>
        <v>0</v>
      </c>
      <c r="H62" s="118"/>
      <c r="I62" s="415"/>
      <c r="K62" s="415"/>
    </row>
    <row r="63" spans="2:11" x14ac:dyDescent="0.25">
      <c r="B63" s="448"/>
      <c r="C63" s="449"/>
      <c r="D63" s="450"/>
      <c r="E63" s="122">
        <f t="shared" si="1"/>
        <v>0</v>
      </c>
      <c r="F63" s="120"/>
      <c r="G63" s="122">
        <f t="shared" si="0"/>
        <v>0</v>
      </c>
      <c r="H63" s="118"/>
      <c r="I63" s="415"/>
      <c r="K63" s="415"/>
    </row>
    <row r="64" spans="2:11" x14ac:dyDescent="0.25">
      <c r="B64" s="448"/>
      <c r="C64" s="449"/>
      <c r="D64" s="450"/>
      <c r="E64" s="122">
        <f t="shared" si="1"/>
        <v>0</v>
      </c>
      <c r="F64" s="120"/>
      <c r="G64" s="122">
        <f t="shared" si="0"/>
        <v>0</v>
      </c>
      <c r="H64" s="118"/>
      <c r="I64" s="415"/>
      <c r="K64" s="415"/>
    </row>
    <row r="65" spans="2:11" x14ac:dyDescent="0.25">
      <c r="B65" s="448"/>
      <c r="C65" s="449"/>
      <c r="D65" s="450"/>
      <c r="E65" s="122">
        <f t="shared" si="1"/>
        <v>0</v>
      </c>
      <c r="F65" s="120"/>
      <c r="G65" s="122">
        <f t="shared" si="0"/>
        <v>0</v>
      </c>
      <c r="H65" s="118"/>
      <c r="I65" s="415"/>
      <c r="K65" s="415"/>
    </row>
    <row r="66" spans="2:11" x14ac:dyDescent="0.25">
      <c r="B66" s="448"/>
      <c r="C66" s="449"/>
      <c r="D66" s="450"/>
      <c r="E66" s="122">
        <f t="shared" si="1"/>
        <v>0</v>
      </c>
      <c r="F66" s="120"/>
      <c r="G66" s="122">
        <f t="shared" si="0"/>
        <v>0</v>
      </c>
      <c r="H66" s="118"/>
      <c r="I66" s="415"/>
      <c r="K66" s="415"/>
    </row>
    <row r="67" spans="2:11" x14ac:dyDescent="0.25">
      <c r="B67" s="448"/>
      <c r="C67" s="449"/>
      <c r="D67" s="450"/>
      <c r="E67" s="122">
        <f t="shared" si="1"/>
        <v>0</v>
      </c>
      <c r="F67" s="120"/>
      <c r="G67" s="122">
        <f t="shared" si="0"/>
        <v>0</v>
      </c>
      <c r="H67" s="118"/>
      <c r="I67" s="415"/>
      <c r="K67" s="415"/>
    </row>
    <row r="68" spans="2:11" x14ac:dyDescent="0.25">
      <c r="B68" s="448"/>
      <c r="C68" s="449"/>
      <c r="D68" s="450"/>
      <c r="E68" s="122">
        <f t="shared" si="1"/>
        <v>0</v>
      </c>
      <c r="F68" s="120"/>
      <c r="G68" s="122">
        <f t="shared" si="0"/>
        <v>0</v>
      </c>
      <c r="H68" s="118"/>
      <c r="I68" s="415"/>
      <c r="K68" s="415"/>
    </row>
    <row r="69" spans="2:11" x14ac:dyDescent="0.25">
      <c r="B69" s="448"/>
      <c r="C69" s="449"/>
      <c r="D69" s="450"/>
      <c r="E69" s="122">
        <f t="shared" si="1"/>
        <v>0</v>
      </c>
      <c r="F69" s="120"/>
      <c r="G69" s="122">
        <f t="shared" si="0"/>
        <v>0</v>
      </c>
      <c r="H69" s="118"/>
      <c r="I69" s="415"/>
      <c r="K69" s="415"/>
    </row>
    <row r="70" spans="2:11" x14ac:dyDescent="0.25">
      <c r="B70" s="448"/>
      <c r="C70" s="449"/>
      <c r="D70" s="450"/>
      <c r="E70" s="122">
        <f t="shared" si="1"/>
        <v>0</v>
      </c>
      <c r="F70" s="120"/>
      <c r="G70" s="122">
        <f t="shared" si="0"/>
        <v>0</v>
      </c>
      <c r="H70" s="118"/>
      <c r="I70" s="415"/>
      <c r="K70" s="415"/>
    </row>
    <row r="71" spans="2:11" x14ac:dyDescent="0.25">
      <c r="B71" s="448"/>
      <c r="C71" s="449"/>
      <c r="D71" s="450"/>
      <c r="E71" s="122">
        <f t="shared" si="1"/>
        <v>0</v>
      </c>
      <c r="F71" s="120"/>
      <c r="G71" s="122">
        <f t="shared" si="0"/>
        <v>0</v>
      </c>
      <c r="H71" s="118"/>
      <c r="I71" s="415"/>
      <c r="K71" s="415"/>
    </row>
    <row r="72" spans="2:11" x14ac:dyDescent="0.25">
      <c r="B72" s="448"/>
      <c r="C72" s="449"/>
      <c r="D72" s="450"/>
      <c r="E72" s="122">
        <f t="shared" si="1"/>
        <v>0</v>
      </c>
      <c r="F72" s="120"/>
      <c r="G72" s="122">
        <f t="shared" si="0"/>
        <v>0</v>
      </c>
      <c r="H72" s="118"/>
      <c r="I72" s="415"/>
      <c r="K72" s="415"/>
    </row>
    <row r="73" spans="2:11" x14ac:dyDescent="0.25">
      <c r="B73" s="448"/>
      <c r="C73" s="449"/>
      <c r="D73" s="450"/>
      <c r="E73" s="122">
        <f t="shared" si="1"/>
        <v>0</v>
      </c>
      <c r="F73" s="120"/>
      <c r="G73" s="122">
        <f t="shared" si="0"/>
        <v>0</v>
      </c>
      <c r="H73" s="118"/>
      <c r="I73" s="415"/>
      <c r="K73" s="415"/>
    </row>
    <row r="74" spans="2:11" x14ac:dyDescent="0.25">
      <c r="B74" s="448"/>
      <c r="C74" s="449"/>
      <c r="D74" s="450"/>
      <c r="E74" s="122">
        <f t="shared" si="1"/>
        <v>0</v>
      </c>
      <c r="F74" s="120"/>
      <c r="G74" s="122">
        <f t="shared" si="0"/>
        <v>0</v>
      </c>
      <c r="H74" s="118"/>
      <c r="I74" s="415"/>
      <c r="K74" s="415"/>
    </row>
    <row r="75" spans="2:11" x14ac:dyDescent="0.25">
      <c r="B75" s="448"/>
      <c r="C75" s="449"/>
      <c r="D75" s="450"/>
      <c r="E75" s="122">
        <f t="shared" si="1"/>
        <v>0</v>
      </c>
      <c r="F75" s="120"/>
      <c r="G75" s="122">
        <f t="shared" si="0"/>
        <v>0</v>
      </c>
      <c r="H75" s="118"/>
      <c r="I75" s="415"/>
      <c r="K75" s="415"/>
    </row>
    <row r="76" spans="2:11" x14ac:dyDescent="0.25">
      <c r="B76" s="448"/>
      <c r="C76" s="449"/>
      <c r="D76" s="450"/>
      <c r="E76" s="122">
        <f t="shared" si="1"/>
        <v>0</v>
      </c>
      <c r="F76" s="120"/>
      <c r="G76" s="122">
        <f t="shared" si="0"/>
        <v>0</v>
      </c>
      <c r="H76" s="118"/>
      <c r="I76" s="415"/>
      <c r="K76" s="415"/>
    </row>
    <row r="77" spans="2:11" x14ac:dyDescent="0.25">
      <c r="B77" s="448"/>
      <c r="C77" s="449"/>
      <c r="D77" s="450"/>
      <c r="E77" s="122">
        <f t="shared" si="1"/>
        <v>0</v>
      </c>
      <c r="F77" s="120"/>
      <c r="G77" s="122">
        <f t="shared" si="0"/>
        <v>0</v>
      </c>
      <c r="H77" s="118"/>
      <c r="I77" s="415"/>
      <c r="K77" s="415"/>
    </row>
    <row r="78" spans="2:11" x14ac:dyDescent="0.25">
      <c r="B78" s="448"/>
      <c r="C78" s="449"/>
      <c r="D78" s="450"/>
      <c r="E78" s="122">
        <f t="shared" si="1"/>
        <v>0</v>
      </c>
      <c r="F78" s="120"/>
      <c r="G78" s="122">
        <f t="shared" si="0"/>
        <v>0</v>
      </c>
      <c r="H78" s="118"/>
      <c r="I78" s="415"/>
      <c r="K78" s="415"/>
    </row>
    <row r="79" spans="2:11" x14ac:dyDescent="0.25">
      <c r="B79" s="448"/>
      <c r="C79" s="449"/>
      <c r="D79" s="450"/>
      <c r="E79" s="122">
        <f t="shared" si="1"/>
        <v>0</v>
      </c>
      <c r="F79" s="120"/>
      <c r="G79" s="122">
        <f t="shared" si="0"/>
        <v>0</v>
      </c>
      <c r="H79" s="118"/>
      <c r="I79" s="415"/>
      <c r="K79" s="415"/>
    </row>
    <row r="80" spans="2:11" x14ac:dyDescent="0.25">
      <c r="B80" s="448"/>
      <c r="C80" s="449"/>
      <c r="D80" s="450"/>
      <c r="E80" s="167">
        <f t="shared" si="1"/>
        <v>0</v>
      </c>
      <c r="F80" s="120"/>
      <c r="G80" s="167">
        <f t="shared" si="0"/>
        <v>0</v>
      </c>
      <c r="H80" s="118"/>
      <c r="I80" s="415"/>
      <c r="K80" s="415"/>
    </row>
    <row r="81" spans="2:11" x14ac:dyDescent="0.25">
      <c r="B81" s="488"/>
      <c r="C81" s="489"/>
      <c r="D81" s="490"/>
      <c r="E81" s="168">
        <f>D182</f>
        <v>0</v>
      </c>
      <c r="F81" s="186">
        <f t="shared" ref="F81:G81" si="2">SUM(F67:F80)</f>
        <v>0</v>
      </c>
      <c r="G81" s="168">
        <f t="shared" si="2"/>
        <v>0</v>
      </c>
      <c r="H81" s="118"/>
      <c r="I81" s="415"/>
      <c r="K81" s="415"/>
    </row>
    <row r="82" spans="2:11" x14ac:dyDescent="0.25">
      <c r="E82" s="415"/>
      <c r="G82" s="415"/>
      <c r="I82" s="415"/>
      <c r="K82" s="415"/>
    </row>
    <row r="83" spans="2:11" x14ac:dyDescent="0.25">
      <c r="E83" s="415"/>
      <c r="G83" s="415"/>
      <c r="I83" s="415"/>
      <c r="K83" s="415"/>
    </row>
    <row r="84" spans="2:11" x14ac:dyDescent="0.25">
      <c r="E84" s="415"/>
      <c r="G84" s="415"/>
      <c r="I84" s="415"/>
      <c r="K84" s="415"/>
    </row>
    <row r="85" spans="2:11" x14ac:dyDescent="0.25">
      <c r="E85" s="415"/>
      <c r="G85" s="415"/>
      <c r="I85" s="415"/>
      <c r="K85" s="415"/>
    </row>
    <row r="86" spans="2:11" x14ac:dyDescent="0.25">
      <c r="E86" s="415"/>
      <c r="G86" s="415"/>
      <c r="I86" s="415"/>
      <c r="K86" s="415"/>
    </row>
    <row r="87" spans="2:11" x14ac:dyDescent="0.25">
      <c r="E87" s="415"/>
      <c r="G87" s="415"/>
      <c r="I87" s="415"/>
      <c r="K87" s="415"/>
    </row>
    <row r="88" spans="2:11" x14ac:dyDescent="0.25">
      <c r="E88" s="415"/>
      <c r="G88" s="415"/>
      <c r="I88" s="415"/>
      <c r="K88" s="415"/>
    </row>
    <row r="89" spans="2:11" x14ac:dyDescent="0.25">
      <c r="E89" s="415"/>
      <c r="G89" s="415"/>
      <c r="I89" s="415"/>
      <c r="K89" s="415"/>
    </row>
    <row r="90" spans="2:11" x14ac:dyDescent="0.25">
      <c r="E90" s="415"/>
      <c r="G90" s="415"/>
      <c r="I90" s="415"/>
      <c r="K90" s="415"/>
    </row>
    <row r="91" spans="2:11" x14ac:dyDescent="0.25">
      <c r="E91" s="415"/>
      <c r="G91" s="415"/>
      <c r="I91" s="415"/>
      <c r="K91" s="415"/>
    </row>
    <row r="92" spans="2:11" x14ac:dyDescent="0.25">
      <c r="E92" s="415"/>
      <c r="G92" s="415"/>
      <c r="I92" s="415"/>
      <c r="K92" s="415"/>
    </row>
    <row r="93" spans="2:11" x14ac:dyDescent="0.25">
      <c r="E93" s="415"/>
      <c r="G93" s="415"/>
      <c r="I93" s="415"/>
      <c r="K93" s="415"/>
    </row>
    <row r="94" spans="2:11" x14ac:dyDescent="0.25">
      <c r="E94" s="415"/>
      <c r="G94" s="415"/>
      <c r="I94" s="415"/>
      <c r="K94" s="415"/>
    </row>
    <row r="95" spans="2:11" x14ac:dyDescent="0.25">
      <c r="E95" s="415"/>
      <c r="G95" s="415"/>
      <c r="I95" s="415"/>
      <c r="K95" s="415"/>
    </row>
    <row r="96" spans="2:11" x14ac:dyDescent="0.25">
      <c r="E96" s="415"/>
      <c r="G96" s="415"/>
      <c r="I96" s="415"/>
      <c r="K96" s="415"/>
    </row>
    <row r="97" spans="1:19" x14ac:dyDescent="0.25">
      <c r="E97" s="415"/>
      <c r="G97" s="415"/>
      <c r="I97" s="415"/>
      <c r="K97" s="415"/>
    </row>
    <row r="98" spans="1:19" x14ac:dyDescent="0.25">
      <c r="A98" s="460" t="s">
        <v>1874</v>
      </c>
      <c r="B98" s="461"/>
      <c r="C98" s="461"/>
      <c r="D98" s="461"/>
      <c r="E98" s="461"/>
      <c r="F98" s="461"/>
      <c r="G98" s="461"/>
      <c r="H98" s="461"/>
      <c r="I98" s="461"/>
      <c r="J98" s="461"/>
      <c r="K98" s="462"/>
    </row>
    <row r="99" spans="1:19" s="412" customFormat="1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</row>
    <row r="100" spans="1:19" s="107" customFormat="1" x14ac:dyDescent="0.25">
      <c r="A100" s="470"/>
      <c r="B100" s="471"/>
      <c r="C100" s="471"/>
      <c r="D100" s="214"/>
      <c r="E100" s="213"/>
      <c r="F100" s="214"/>
      <c r="G100" s="213"/>
      <c r="H100" s="214"/>
      <c r="I100" s="213"/>
      <c r="J100" s="214"/>
      <c r="K100" s="213"/>
      <c r="L100" s="415"/>
    </row>
    <row r="101" spans="1:19" x14ac:dyDescent="0.25">
      <c r="A101" s="510"/>
      <c r="B101" s="511"/>
      <c r="C101" s="511"/>
      <c r="D101" s="284"/>
      <c r="E101" s="283"/>
      <c r="F101" s="284"/>
      <c r="G101" s="283"/>
      <c r="H101" s="284"/>
      <c r="I101" s="283"/>
      <c r="J101" s="284"/>
      <c r="K101" s="283"/>
    </row>
    <row r="102" spans="1:19" x14ac:dyDescent="0.25">
      <c r="A102" s="448"/>
      <c r="B102" s="449"/>
      <c r="C102" s="449"/>
      <c r="D102" s="182"/>
      <c r="E102" s="153"/>
      <c r="F102" s="182"/>
      <c r="G102" s="153"/>
      <c r="H102" s="182"/>
      <c r="I102" s="153"/>
      <c r="J102" s="182"/>
      <c r="K102" s="153"/>
    </row>
    <row r="103" spans="1:19" x14ac:dyDescent="0.25">
      <c r="A103" s="448"/>
      <c r="B103" s="449"/>
      <c r="C103" s="449"/>
      <c r="D103" s="182"/>
      <c r="E103" s="153"/>
      <c r="F103" s="182"/>
      <c r="G103" s="153"/>
      <c r="H103" s="182"/>
      <c r="I103" s="153"/>
      <c r="J103" s="182"/>
      <c r="K103" s="153"/>
    </row>
    <row r="104" spans="1:19" x14ac:dyDescent="0.25">
      <c r="A104" s="448"/>
      <c r="B104" s="449"/>
      <c r="C104" s="449"/>
      <c r="D104" s="182"/>
      <c r="E104" s="153"/>
      <c r="F104" s="182"/>
      <c r="G104" s="153"/>
      <c r="H104" s="182"/>
      <c r="I104" s="153"/>
      <c r="J104" s="182"/>
      <c r="K104" s="153"/>
    </row>
    <row r="105" spans="1:19" x14ac:dyDescent="0.25">
      <c r="A105" s="448"/>
      <c r="B105" s="449"/>
      <c r="C105" s="449"/>
      <c r="D105" s="182"/>
      <c r="E105" s="153"/>
      <c r="F105" s="182"/>
      <c r="G105" s="153"/>
      <c r="H105" s="182"/>
      <c r="I105" s="153"/>
      <c r="J105" s="182"/>
      <c r="K105" s="153"/>
      <c r="M105" s="161"/>
      <c r="N105" s="412"/>
      <c r="O105" s="161"/>
      <c r="Q105" s="161"/>
      <c r="S105" s="161"/>
    </row>
    <row r="106" spans="1:19" x14ac:dyDescent="0.25">
      <c r="A106" s="448"/>
      <c r="B106" s="449"/>
      <c r="C106" s="449"/>
      <c r="D106" s="182"/>
      <c r="E106" s="153"/>
      <c r="F106" s="182"/>
      <c r="G106" s="153"/>
      <c r="H106" s="182"/>
      <c r="I106" s="153"/>
      <c r="J106" s="182"/>
      <c r="K106" s="153"/>
    </row>
    <row r="107" spans="1:19" x14ac:dyDescent="0.25">
      <c r="A107" s="518"/>
      <c r="B107" s="519"/>
      <c r="C107" s="519"/>
      <c r="D107" s="210"/>
      <c r="E107" s="294"/>
      <c r="F107" s="210"/>
      <c r="G107" s="294"/>
      <c r="H107" s="210"/>
      <c r="I107" s="294"/>
      <c r="J107" s="210"/>
      <c r="K107" s="294"/>
    </row>
    <row r="108" spans="1:19" x14ac:dyDescent="0.25">
      <c r="A108" s="448"/>
      <c r="B108" s="449"/>
      <c r="C108" s="449"/>
      <c r="D108" s="182"/>
      <c r="E108" s="153"/>
      <c r="F108" s="182"/>
      <c r="G108" s="153"/>
      <c r="H108" s="182"/>
      <c r="I108" s="153"/>
      <c r="J108" s="182"/>
      <c r="K108" s="153"/>
    </row>
    <row r="109" spans="1:19" x14ac:dyDescent="0.25">
      <c r="A109" s="448"/>
      <c r="B109" s="449"/>
      <c r="C109" s="449"/>
      <c r="D109" s="275"/>
      <c r="E109" s="153"/>
      <c r="F109" s="275"/>
      <c r="G109" s="153"/>
      <c r="H109" s="275"/>
      <c r="I109" s="153"/>
      <c r="J109" s="356"/>
      <c r="K109" s="153"/>
      <c r="L109" s="412"/>
      <c r="M109" s="161"/>
      <c r="N109" s="412"/>
      <c r="O109" s="161"/>
      <c r="Q109" s="161"/>
    </row>
    <row r="110" spans="1:19" x14ac:dyDescent="0.25">
      <c r="A110" s="448"/>
      <c r="B110" s="449"/>
      <c r="C110" s="449"/>
      <c r="D110" s="275"/>
      <c r="E110" s="153"/>
      <c r="F110" s="275"/>
      <c r="G110" s="153"/>
      <c r="H110" s="275"/>
      <c r="I110" s="153"/>
      <c r="J110" s="356"/>
      <c r="K110" s="153"/>
      <c r="L110" s="412"/>
      <c r="M110" s="412"/>
      <c r="N110" s="412"/>
    </row>
    <row r="111" spans="1:19" x14ac:dyDescent="0.25">
      <c r="A111" s="448"/>
      <c r="B111" s="449"/>
      <c r="C111" s="449"/>
      <c r="D111" s="275"/>
      <c r="E111" s="153"/>
      <c r="F111" s="275"/>
      <c r="G111" s="153"/>
      <c r="H111" s="275"/>
      <c r="I111" s="153"/>
      <c r="J111" s="356"/>
      <c r="K111" s="153"/>
      <c r="L111" s="412"/>
      <c r="M111" s="412"/>
      <c r="N111" s="412"/>
    </row>
    <row r="112" spans="1:19" x14ac:dyDescent="0.25">
      <c r="A112" s="448"/>
      <c r="B112" s="449"/>
      <c r="C112" s="449"/>
      <c r="D112" s="275"/>
      <c r="E112" s="153"/>
      <c r="F112" s="275"/>
      <c r="G112" s="153"/>
      <c r="H112" s="275"/>
      <c r="I112" s="153"/>
      <c r="J112" s="356"/>
      <c r="K112" s="153"/>
      <c r="L112" s="412"/>
      <c r="M112" s="161"/>
      <c r="N112" s="412"/>
      <c r="O112" s="161"/>
      <c r="Q112" s="161"/>
    </row>
    <row r="113" spans="1:17" x14ac:dyDescent="0.25">
      <c r="A113" s="448"/>
      <c r="B113" s="449"/>
      <c r="C113" s="450"/>
      <c r="D113" s="275"/>
      <c r="E113" s="153"/>
      <c r="F113" s="275"/>
      <c r="G113" s="153"/>
      <c r="H113" s="275"/>
      <c r="I113" s="153"/>
      <c r="J113" s="356"/>
      <c r="K113" s="153"/>
      <c r="L113" s="412"/>
      <c r="M113" s="161"/>
      <c r="N113" s="412"/>
      <c r="O113" s="161"/>
      <c r="Q113" s="161"/>
    </row>
    <row r="114" spans="1:17" x14ac:dyDescent="0.25">
      <c r="A114" s="448"/>
      <c r="B114" s="449"/>
      <c r="C114" s="450"/>
      <c r="D114" s="275"/>
      <c r="E114" s="153"/>
      <c r="F114" s="275"/>
      <c r="G114" s="153"/>
      <c r="H114" s="275"/>
      <c r="I114" s="153"/>
      <c r="J114" s="356"/>
      <c r="K114" s="153"/>
      <c r="L114" s="412"/>
      <c r="M114" s="161"/>
      <c r="N114" s="412"/>
      <c r="O114" s="161"/>
      <c r="Q114" s="161"/>
    </row>
    <row r="115" spans="1:17" x14ac:dyDescent="0.25">
      <c r="A115" s="448"/>
      <c r="B115" s="449"/>
      <c r="C115" s="450"/>
      <c r="D115" s="275"/>
      <c r="E115" s="153"/>
      <c r="F115" s="275"/>
      <c r="G115" s="153"/>
      <c r="H115" s="275"/>
      <c r="I115" s="153"/>
      <c r="J115" s="356"/>
      <c r="K115" s="153"/>
      <c r="L115" s="412"/>
      <c r="M115" s="161"/>
      <c r="N115" s="412"/>
      <c r="O115" s="161"/>
      <c r="Q115" s="161"/>
    </row>
    <row r="116" spans="1:17" x14ac:dyDescent="0.25">
      <c r="A116" s="448"/>
      <c r="B116" s="449"/>
      <c r="C116" s="450"/>
      <c r="D116" s="275"/>
      <c r="E116" s="153"/>
      <c r="F116" s="275"/>
      <c r="G116" s="153"/>
      <c r="H116" s="275"/>
      <c r="I116" s="153"/>
      <c r="J116" s="356"/>
      <c r="K116" s="153"/>
      <c r="L116" s="412"/>
      <c r="M116" s="161"/>
      <c r="N116" s="412"/>
      <c r="O116" s="161"/>
      <c r="Q116" s="161"/>
    </row>
    <row r="117" spans="1:17" x14ac:dyDescent="0.25">
      <c r="A117" s="448"/>
      <c r="B117" s="449"/>
      <c r="C117" s="450"/>
      <c r="D117" s="275"/>
      <c r="E117" s="153"/>
      <c r="F117" s="275"/>
      <c r="G117" s="153"/>
      <c r="H117" s="275"/>
      <c r="I117" s="153"/>
      <c r="J117" s="356"/>
      <c r="K117" s="153"/>
      <c r="L117" s="412"/>
      <c r="M117" s="161"/>
      <c r="N117" s="412"/>
      <c r="O117" s="161"/>
      <c r="Q117" s="161"/>
    </row>
    <row r="118" spans="1:17" x14ac:dyDescent="0.25">
      <c r="A118" s="488"/>
      <c r="B118" s="489"/>
      <c r="C118" s="490"/>
      <c r="D118" s="276"/>
      <c r="E118" s="277"/>
      <c r="F118" s="276"/>
      <c r="G118" s="277"/>
      <c r="H118" s="276"/>
      <c r="I118" s="277"/>
      <c r="J118" s="357"/>
      <c r="K118" s="277"/>
      <c r="L118" s="412"/>
      <c r="M118" s="161"/>
      <c r="N118" s="412"/>
      <c r="O118" s="161"/>
      <c r="Q118" s="161"/>
    </row>
    <row r="119" spans="1:17" x14ac:dyDescent="0.25">
      <c r="A119" s="407"/>
      <c r="B119" s="407"/>
      <c r="C119" s="407"/>
      <c r="H119" s="117"/>
    </row>
    <row r="120" spans="1:17" s="107" customFormat="1" x14ac:dyDescent="0.25">
      <c r="A120" s="522"/>
      <c r="B120" s="523"/>
      <c r="C120" s="523"/>
      <c r="D120" s="292"/>
      <c r="E120" s="293"/>
      <c r="F120" s="292"/>
      <c r="G120" s="293"/>
      <c r="H120" s="292"/>
      <c r="I120" s="293"/>
      <c r="J120" s="292"/>
      <c r="K120" s="293"/>
    </row>
    <row r="121" spans="1:17" x14ac:dyDescent="0.25">
      <c r="A121" s="524"/>
      <c r="B121" s="524"/>
      <c r="C121" s="524"/>
      <c r="D121" s="328"/>
      <c r="E121" s="329"/>
      <c r="F121" s="328"/>
      <c r="G121" s="329"/>
      <c r="H121" s="328"/>
      <c r="I121" s="329"/>
      <c r="J121" s="328"/>
      <c r="K121" s="329"/>
    </row>
    <row r="122" spans="1:17" x14ac:dyDescent="0.25">
      <c r="A122" s="446"/>
      <c r="B122" s="446"/>
      <c r="C122" s="446"/>
      <c r="D122" s="116"/>
      <c r="E122" s="104"/>
      <c r="F122" s="116"/>
      <c r="G122" s="104"/>
      <c r="H122" s="174"/>
      <c r="I122" s="104"/>
      <c r="J122" s="174"/>
      <c r="K122" s="104"/>
    </row>
    <row r="123" spans="1:17" x14ac:dyDescent="0.25">
      <c r="A123" s="446"/>
      <c r="B123" s="446"/>
      <c r="C123" s="446"/>
      <c r="D123" s="116"/>
      <c r="E123" s="104"/>
      <c r="F123" s="116"/>
      <c r="G123" s="104"/>
      <c r="H123" s="174"/>
      <c r="I123" s="104"/>
      <c r="J123" s="174"/>
      <c r="K123" s="104"/>
    </row>
    <row r="124" spans="1:17" x14ac:dyDescent="0.25">
      <c r="A124" s="520"/>
      <c r="B124" s="520"/>
      <c r="C124" s="520"/>
      <c r="D124" s="330"/>
      <c r="E124" s="331"/>
      <c r="F124" s="330"/>
      <c r="G124" s="331"/>
      <c r="H124" s="341"/>
      <c r="I124" s="331"/>
      <c r="J124" s="341"/>
      <c r="K124" s="331"/>
    </row>
    <row r="125" spans="1:17" x14ac:dyDescent="0.25">
      <c r="A125" s="446"/>
      <c r="B125" s="446"/>
      <c r="C125" s="446"/>
      <c r="D125" s="116"/>
      <c r="E125" s="104"/>
      <c r="F125" s="116"/>
      <c r="G125" s="104"/>
      <c r="H125" s="174"/>
      <c r="I125" s="104"/>
      <c r="J125" s="174"/>
      <c r="K125" s="104"/>
    </row>
    <row r="126" spans="1:17" x14ac:dyDescent="0.25">
      <c r="A126" s="521"/>
      <c r="B126" s="521"/>
      <c r="C126" s="521"/>
      <c r="D126" s="332"/>
      <c r="E126" s="333"/>
      <c r="F126" s="332"/>
      <c r="G126" s="333"/>
      <c r="H126" s="342"/>
      <c r="I126" s="333"/>
      <c r="J126" s="342"/>
      <c r="K126" s="333"/>
    </row>
    <row r="127" spans="1:17" x14ac:dyDescent="0.25">
      <c r="A127" s="520"/>
      <c r="B127" s="520"/>
      <c r="C127" s="520"/>
      <c r="D127" s="330"/>
      <c r="E127" s="331"/>
      <c r="F127" s="330"/>
      <c r="G127" s="331"/>
      <c r="H127" s="341"/>
      <c r="I127" s="331"/>
      <c r="J127" s="341"/>
      <c r="K127" s="331"/>
    </row>
    <row r="128" spans="1:17" x14ac:dyDescent="0.25">
      <c r="A128" s="446"/>
      <c r="B128" s="446"/>
      <c r="C128" s="446"/>
      <c r="D128" s="116"/>
      <c r="E128" s="104"/>
      <c r="F128" s="116"/>
      <c r="G128" s="104"/>
      <c r="H128" s="174"/>
      <c r="I128" s="104"/>
      <c r="J128" s="174"/>
      <c r="K128" s="104"/>
    </row>
    <row r="129" spans="1:11" x14ac:dyDescent="0.25">
      <c r="A129" s="521"/>
      <c r="B129" s="521"/>
      <c r="C129" s="521"/>
      <c r="D129" s="332"/>
      <c r="E129" s="333"/>
      <c r="F129" s="332"/>
      <c r="G129" s="333"/>
      <c r="H129" s="342"/>
      <c r="I129" s="333"/>
      <c r="J129" s="342"/>
      <c r="K129" s="333"/>
    </row>
    <row r="130" spans="1:11" x14ac:dyDescent="0.25">
      <c r="A130" s="520"/>
      <c r="B130" s="520"/>
      <c r="C130" s="520"/>
      <c r="D130" s="330"/>
      <c r="E130" s="331"/>
      <c r="F130" s="330"/>
      <c r="G130" s="331"/>
      <c r="H130" s="341"/>
      <c r="I130" s="331"/>
      <c r="J130" s="341"/>
      <c r="K130" s="331"/>
    </row>
    <row r="131" spans="1:11" x14ac:dyDescent="0.25">
      <c r="A131" s="446"/>
      <c r="B131" s="446"/>
      <c r="C131" s="446"/>
      <c r="D131" s="116"/>
      <c r="E131" s="104"/>
      <c r="F131" s="116"/>
      <c r="G131" s="104"/>
      <c r="H131" s="174"/>
      <c r="I131" s="104"/>
      <c r="J131" s="174"/>
      <c r="K131" s="104"/>
    </row>
    <row r="132" spans="1:11" x14ac:dyDescent="0.25">
      <c r="A132" s="521"/>
      <c r="B132" s="521"/>
      <c r="C132" s="521"/>
      <c r="D132" s="332"/>
      <c r="E132" s="333"/>
      <c r="F132" s="332"/>
      <c r="G132" s="333"/>
      <c r="H132" s="342"/>
      <c r="I132" s="333"/>
      <c r="J132" s="342"/>
      <c r="K132" s="333"/>
    </row>
    <row r="133" spans="1:11" x14ac:dyDescent="0.25">
      <c r="A133" s="446"/>
      <c r="B133" s="446"/>
      <c r="C133" s="446"/>
      <c r="D133" s="116"/>
      <c r="E133" s="104"/>
      <c r="F133" s="116"/>
      <c r="G133" s="104"/>
      <c r="H133" s="174"/>
      <c r="I133" s="104"/>
      <c r="J133" s="174"/>
      <c r="K133" s="104"/>
    </row>
    <row r="134" spans="1:11" x14ac:dyDescent="0.25">
      <c r="A134" s="520"/>
      <c r="B134" s="520"/>
      <c r="C134" s="520"/>
      <c r="D134" s="330"/>
      <c r="E134" s="331"/>
      <c r="F134" s="330"/>
      <c r="G134" s="331"/>
      <c r="H134" s="341"/>
      <c r="I134" s="331"/>
      <c r="J134" s="341"/>
      <c r="K134" s="331"/>
    </row>
    <row r="135" spans="1:11" x14ac:dyDescent="0.25">
      <c r="A135" s="446"/>
      <c r="B135" s="446"/>
      <c r="C135" s="446"/>
      <c r="D135" s="116"/>
      <c r="E135" s="104"/>
      <c r="F135" s="116"/>
      <c r="G135" s="104"/>
      <c r="H135" s="174"/>
      <c r="I135" s="104"/>
      <c r="J135" s="174"/>
      <c r="K135" s="104"/>
    </row>
    <row r="136" spans="1:11" x14ac:dyDescent="0.25">
      <c r="A136" s="521"/>
      <c r="B136" s="521"/>
      <c r="C136" s="521"/>
      <c r="D136" s="332"/>
      <c r="E136" s="333"/>
      <c r="F136" s="332"/>
      <c r="G136" s="333"/>
      <c r="H136" s="342"/>
      <c r="I136" s="333"/>
      <c r="J136" s="342"/>
      <c r="K136" s="333"/>
    </row>
    <row r="137" spans="1:11" x14ac:dyDescent="0.25">
      <c r="A137" s="520"/>
      <c r="B137" s="520"/>
      <c r="C137" s="520"/>
      <c r="D137" s="330"/>
      <c r="E137" s="331"/>
      <c r="F137" s="330"/>
      <c r="G137" s="331"/>
      <c r="H137" s="341"/>
      <c r="I137" s="331"/>
      <c r="J137" s="341"/>
      <c r="K137" s="331"/>
    </row>
    <row r="138" spans="1:11" x14ac:dyDescent="0.25">
      <c r="A138" s="446"/>
      <c r="B138" s="446"/>
      <c r="C138" s="446"/>
      <c r="D138" s="116"/>
      <c r="E138" s="104"/>
      <c r="F138" s="116"/>
      <c r="G138" s="104"/>
      <c r="H138" s="174"/>
      <c r="I138" s="104"/>
      <c r="J138" s="174"/>
      <c r="K138" s="104"/>
    </row>
    <row r="139" spans="1:11" x14ac:dyDescent="0.25">
      <c r="A139" s="521"/>
      <c r="B139" s="521"/>
      <c r="C139" s="521"/>
      <c r="D139" s="332"/>
      <c r="E139" s="333"/>
      <c r="F139" s="332"/>
      <c r="G139" s="333"/>
      <c r="H139" s="342"/>
      <c r="I139" s="333"/>
      <c r="J139" s="342"/>
      <c r="K139" s="333"/>
    </row>
    <row r="140" spans="1:11" x14ac:dyDescent="0.25">
      <c r="A140" s="520"/>
      <c r="B140" s="520"/>
      <c r="C140" s="520"/>
      <c r="D140" s="330"/>
      <c r="E140" s="331"/>
      <c r="F140" s="330"/>
      <c r="G140" s="331"/>
      <c r="H140" s="341"/>
      <c r="I140" s="331"/>
      <c r="J140" s="341"/>
      <c r="K140" s="331"/>
    </row>
    <row r="141" spans="1:11" x14ac:dyDescent="0.25">
      <c r="A141" s="446"/>
      <c r="B141" s="446"/>
      <c r="C141" s="446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521"/>
      <c r="B142" s="521"/>
      <c r="C142" s="521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520"/>
      <c r="B143" s="520"/>
      <c r="C143" s="520"/>
      <c r="D143" s="330"/>
      <c r="E143" s="331"/>
      <c r="F143" s="330"/>
      <c r="G143" s="331"/>
      <c r="H143" s="341"/>
      <c r="I143" s="331"/>
      <c r="J143" s="341"/>
      <c r="K143" s="331"/>
    </row>
    <row r="144" spans="1:11" x14ac:dyDescent="0.25">
      <c r="A144" s="446"/>
      <c r="B144" s="446"/>
      <c r="C144" s="446"/>
      <c r="D144" s="116"/>
      <c r="E144" s="104"/>
      <c r="F144" s="116"/>
      <c r="G144" s="104"/>
      <c r="H144" s="174"/>
      <c r="I144" s="104"/>
      <c r="J144" s="174"/>
      <c r="K144" s="104"/>
    </row>
    <row r="145" spans="1:12" x14ac:dyDescent="0.25">
      <c r="A145" s="476"/>
      <c r="B145" s="477"/>
      <c r="C145" s="478"/>
      <c r="D145" s="332"/>
      <c r="E145" s="333"/>
      <c r="F145" s="332"/>
      <c r="G145" s="333"/>
      <c r="H145" s="342"/>
      <c r="I145" s="333"/>
      <c r="J145" s="342"/>
      <c r="K145" s="333"/>
    </row>
    <row r="146" spans="1:12" x14ac:dyDescent="0.25">
      <c r="A146" s="446"/>
      <c r="B146" s="446"/>
      <c r="C146" s="446"/>
      <c r="D146" s="174"/>
      <c r="E146" s="104"/>
      <c r="F146" s="174"/>
      <c r="G146" s="104"/>
      <c r="H146" s="174"/>
      <c r="I146" s="104"/>
      <c r="J146" s="174"/>
      <c r="K146" s="104"/>
    </row>
    <row r="147" spans="1:12" x14ac:dyDescent="0.25">
      <c r="A147" s="446"/>
      <c r="B147" s="446"/>
      <c r="C147" s="446"/>
      <c r="D147" s="174"/>
      <c r="E147" s="104"/>
      <c r="F147" s="174"/>
      <c r="G147" s="104"/>
      <c r="H147" s="174"/>
      <c r="I147" s="104"/>
      <c r="J147" s="174"/>
      <c r="K147" s="104"/>
    </row>
    <row r="148" spans="1:12" x14ac:dyDescent="0.25">
      <c r="A148" s="525"/>
      <c r="B148" s="525"/>
      <c r="C148" s="525"/>
      <c r="D148" s="186"/>
      <c r="E148" s="334"/>
      <c r="F148" s="186"/>
      <c r="G148" s="334"/>
      <c r="H148" s="186"/>
      <c r="I148" s="334"/>
      <c r="J148" s="186"/>
      <c r="K148" s="334"/>
    </row>
    <row r="149" spans="1:12" x14ac:dyDescent="0.25">
      <c r="A149" s="446"/>
      <c r="B149" s="446"/>
      <c r="C149" s="446"/>
      <c r="D149" s="174"/>
      <c r="E149" s="104"/>
      <c r="F149" s="174"/>
      <c r="G149" s="104"/>
      <c r="H149" s="174"/>
      <c r="I149" s="104"/>
      <c r="J149" s="174"/>
      <c r="K149" s="104"/>
    </row>
    <row r="150" spans="1:12" x14ac:dyDescent="0.25">
      <c r="A150" s="446"/>
      <c r="B150" s="446"/>
      <c r="C150" s="446"/>
      <c r="D150" s="174"/>
      <c r="E150" s="104"/>
      <c r="F150" s="174"/>
      <c r="G150" s="104"/>
      <c r="H150" s="174"/>
      <c r="I150" s="104"/>
      <c r="J150" s="174"/>
      <c r="K150" s="104"/>
    </row>
    <row r="151" spans="1:12" x14ac:dyDescent="0.25">
      <c r="A151" s="446"/>
      <c r="B151" s="446"/>
      <c r="C151" s="446"/>
      <c r="D151" s="335"/>
      <c r="E151" s="336"/>
      <c r="F151" s="335"/>
      <c r="G151" s="336"/>
      <c r="H151" s="335"/>
      <c r="I151" s="336"/>
      <c r="J151" s="335"/>
      <c r="K151" s="336"/>
    </row>
    <row r="152" spans="1:12" x14ac:dyDescent="0.25">
      <c r="A152" s="446"/>
      <c r="B152" s="446"/>
      <c r="C152" s="446"/>
      <c r="D152" s="335"/>
      <c r="E152" s="336"/>
      <c r="F152" s="335"/>
      <c r="G152" s="336"/>
      <c r="H152" s="335"/>
      <c r="I152" s="336"/>
      <c r="J152" s="335"/>
      <c r="K152" s="336"/>
    </row>
    <row r="153" spans="1:12" x14ac:dyDescent="0.25">
      <c r="A153" s="525"/>
      <c r="B153" s="525"/>
      <c r="C153" s="525"/>
      <c r="D153" s="337"/>
      <c r="E153" s="338"/>
      <c r="F153" s="337"/>
      <c r="G153" s="338"/>
      <c r="H153" s="337"/>
      <c r="I153" s="338"/>
      <c r="J153" s="337"/>
      <c r="K153" s="338"/>
    </row>
    <row r="154" spans="1:12" x14ac:dyDescent="0.25">
      <c r="A154" s="483"/>
      <c r="B154" s="482"/>
      <c r="C154" s="484"/>
      <c r="D154" s="339"/>
      <c r="E154" s="340"/>
      <c r="F154" s="339"/>
      <c r="G154" s="340"/>
      <c r="H154" s="339"/>
      <c r="I154" s="340"/>
      <c r="J154" s="339"/>
      <c r="K154" s="340"/>
    </row>
    <row r="155" spans="1:12" x14ac:dyDescent="0.25">
      <c r="A155" s="442"/>
      <c r="B155" s="443"/>
      <c r="C155" s="444"/>
      <c r="D155" s="175"/>
      <c r="E155" s="204"/>
      <c r="F155" s="175"/>
      <c r="G155" s="204"/>
      <c r="H155" s="175"/>
      <c r="I155" s="204"/>
      <c r="J155" s="175"/>
      <c r="K155" s="204"/>
    </row>
    <row r="156" spans="1:12" s="412" customFormat="1" x14ac:dyDescent="0.25">
      <c r="D156" s="278"/>
      <c r="E156" s="190"/>
      <c r="F156" s="279"/>
      <c r="G156" s="190"/>
      <c r="H156" s="279"/>
      <c r="I156" s="190"/>
      <c r="J156" s="279"/>
      <c r="K156" s="190"/>
      <c r="L156" s="408"/>
    </row>
    <row r="157" spans="1:12" s="107" customFormat="1" x14ac:dyDescent="0.25">
      <c r="A157" s="470"/>
      <c r="B157" s="471"/>
      <c r="C157" s="471"/>
      <c r="D157" s="214"/>
      <c r="E157" s="213"/>
      <c r="F157" s="214"/>
      <c r="G157" s="213"/>
      <c r="H157" s="214"/>
      <c r="I157" s="213"/>
      <c r="J157" s="214"/>
      <c r="K157" s="213"/>
    </row>
    <row r="158" spans="1:12" x14ac:dyDescent="0.25">
      <c r="A158" s="454"/>
      <c r="B158" s="455"/>
      <c r="C158" s="456"/>
      <c r="D158" s="216"/>
      <c r="E158" s="106"/>
      <c r="F158" s="177"/>
      <c r="G158" s="106"/>
      <c r="H158" s="177"/>
      <c r="I158" s="106"/>
      <c r="J158" s="177"/>
      <c r="K158" s="106"/>
    </row>
    <row r="159" spans="1:12" x14ac:dyDescent="0.25">
      <c r="A159" s="451"/>
      <c r="B159" s="452"/>
      <c r="C159" s="453"/>
      <c r="D159" s="116"/>
      <c r="E159" s="104"/>
      <c r="F159" s="174"/>
      <c r="G159" s="104"/>
      <c r="H159" s="174"/>
      <c r="I159" s="104"/>
      <c r="J159" s="174"/>
      <c r="K159" s="104"/>
    </row>
    <row r="160" spans="1:12" x14ac:dyDescent="0.25">
      <c r="A160" s="454"/>
      <c r="B160" s="455"/>
      <c r="C160" s="456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51"/>
      <c r="B161" s="452"/>
      <c r="C161" s="453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54"/>
      <c r="B162" s="455"/>
      <c r="C162" s="456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51"/>
      <c r="B163" s="452"/>
      <c r="C163" s="453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54"/>
      <c r="B164" s="455"/>
      <c r="C164" s="456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51"/>
      <c r="B165" s="452"/>
      <c r="C165" s="453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54"/>
      <c r="B166" s="455"/>
      <c r="C166" s="456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51"/>
      <c r="B167" s="452"/>
      <c r="C167" s="453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54"/>
      <c r="B168" s="455"/>
      <c r="C168" s="456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51"/>
      <c r="B169" s="452"/>
      <c r="C169" s="453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54"/>
      <c r="B170" s="455"/>
      <c r="C170" s="456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51"/>
      <c r="B171" s="452"/>
      <c r="C171" s="453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54"/>
      <c r="B172" s="455"/>
      <c r="C172" s="456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51"/>
      <c r="B173" s="452"/>
      <c r="C173" s="453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54"/>
      <c r="B174" s="455"/>
      <c r="C174" s="456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51"/>
      <c r="B175" s="452"/>
      <c r="C175" s="453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54"/>
      <c r="B176" s="455"/>
      <c r="C176" s="456"/>
      <c r="D176" s="116"/>
      <c r="E176" s="106"/>
      <c r="F176" s="177"/>
      <c r="G176" s="106"/>
      <c r="H176" s="177"/>
      <c r="I176" s="106"/>
      <c r="J176" s="177"/>
      <c r="K176" s="106"/>
    </row>
    <row r="177" spans="1:11" x14ac:dyDescent="0.25">
      <c r="A177" s="451"/>
      <c r="B177" s="452"/>
      <c r="C177" s="453"/>
      <c r="D177" s="116"/>
      <c r="E177" s="104"/>
      <c r="F177" s="174"/>
      <c r="G177" s="104"/>
      <c r="H177" s="174"/>
      <c r="I177" s="104"/>
      <c r="J177" s="174"/>
      <c r="K177" s="104"/>
    </row>
    <row r="178" spans="1:11" x14ac:dyDescent="0.25">
      <c r="A178" s="454"/>
      <c r="B178" s="455"/>
      <c r="C178" s="456"/>
      <c r="D178" s="116"/>
      <c r="E178" s="106"/>
      <c r="F178" s="177"/>
      <c r="G178" s="106"/>
      <c r="H178" s="177"/>
      <c r="I178" s="106"/>
      <c r="J178" s="177"/>
      <c r="K178" s="106"/>
    </row>
    <row r="179" spans="1:11" x14ac:dyDescent="0.25">
      <c r="A179" s="451"/>
      <c r="B179" s="452"/>
      <c r="C179" s="453"/>
      <c r="D179" s="116"/>
      <c r="E179" s="104"/>
      <c r="F179" s="174"/>
      <c r="G179" s="104"/>
      <c r="H179" s="174"/>
      <c r="I179" s="104"/>
      <c r="J179" s="174"/>
      <c r="K179" s="104"/>
    </row>
    <row r="180" spans="1:11" x14ac:dyDescent="0.25">
      <c r="A180" s="454"/>
      <c r="B180" s="455"/>
      <c r="C180" s="456"/>
      <c r="D180" s="177"/>
      <c r="E180" s="106"/>
      <c r="F180" s="177"/>
      <c r="G180" s="106"/>
      <c r="H180" s="177"/>
      <c r="I180" s="106"/>
      <c r="J180" s="177"/>
      <c r="K180" s="106"/>
    </row>
    <row r="181" spans="1:11" x14ac:dyDescent="0.25">
      <c r="A181" s="451"/>
      <c r="B181" s="452"/>
      <c r="C181" s="453"/>
      <c r="D181" s="116"/>
      <c r="E181" s="104"/>
      <c r="F181" s="174"/>
      <c r="G181" s="104"/>
      <c r="H181" s="174"/>
      <c r="I181" s="104"/>
      <c r="J181" s="174"/>
      <c r="K181" s="104"/>
    </row>
    <row r="182" spans="1:11" x14ac:dyDescent="0.25">
      <c r="A182" s="457"/>
      <c r="B182" s="458"/>
      <c r="C182" s="459"/>
      <c r="D182" s="178"/>
      <c r="E182" s="115"/>
      <c r="F182" s="178"/>
      <c r="G182" s="114"/>
      <c r="H182" s="178"/>
      <c r="I182" s="114"/>
      <c r="J182" s="178"/>
      <c r="K182" s="114"/>
    </row>
    <row r="183" spans="1:11" x14ac:dyDescent="0.25">
      <c r="A183" s="125"/>
      <c r="B183" s="125"/>
      <c r="C183" s="125"/>
      <c r="D183" s="155"/>
      <c r="E183" s="156"/>
      <c r="F183" s="155"/>
      <c r="G183" s="126"/>
      <c r="H183" s="155"/>
      <c r="I183" s="126"/>
      <c r="J183" s="155"/>
      <c r="K183" s="126"/>
    </row>
    <row r="184" spans="1:11" s="107" customFormat="1" x14ac:dyDescent="0.25">
      <c r="A184" s="409"/>
      <c r="B184" s="410"/>
      <c r="C184" s="411"/>
      <c r="D184" s="214"/>
      <c r="E184" s="213"/>
      <c r="F184" s="214"/>
      <c r="G184" s="213"/>
      <c r="H184" s="214"/>
      <c r="I184" s="213"/>
      <c r="J184" s="214"/>
      <c r="K184" s="213"/>
    </row>
    <row r="185" spans="1:11" x14ac:dyDescent="0.25">
      <c r="A185" s="466"/>
      <c r="B185" s="467"/>
      <c r="C185" s="468"/>
      <c r="D185" s="173"/>
      <c r="E185" s="111"/>
      <c r="F185" s="173"/>
      <c r="G185" s="111"/>
      <c r="H185" s="173"/>
      <c r="I185" s="111"/>
      <c r="J185" s="173"/>
      <c r="K185" s="111"/>
    </row>
    <row r="186" spans="1:11" x14ac:dyDescent="0.25">
      <c r="A186" s="451"/>
      <c r="B186" s="452"/>
      <c r="C186" s="453"/>
      <c r="D186" s="174"/>
      <c r="E186" s="104"/>
      <c r="F186" s="174"/>
      <c r="G186" s="104"/>
      <c r="H186" s="174"/>
      <c r="I186" s="104"/>
      <c r="J186" s="174"/>
      <c r="K186" s="104"/>
    </row>
    <row r="187" spans="1:11" x14ac:dyDescent="0.25">
      <c r="A187" s="454"/>
      <c r="B187" s="455"/>
      <c r="C187" s="456"/>
      <c r="D187" s="177"/>
      <c r="E187" s="106"/>
      <c r="F187" s="177"/>
      <c r="G187" s="106"/>
      <c r="H187" s="177"/>
      <c r="I187" s="106"/>
      <c r="J187" s="177"/>
      <c r="K187" s="106"/>
    </row>
    <row r="188" spans="1:11" x14ac:dyDescent="0.25">
      <c r="A188" s="442"/>
      <c r="B188" s="443"/>
      <c r="C188" s="444"/>
      <c r="D188" s="179"/>
      <c r="E188" s="108"/>
      <c r="F188" s="179"/>
      <c r="G188" s="108"/>
      <c r="H188" s="179"/>
      <c r="I188" s="108"/>
      <c r="J188" s="179"/>
      <c r="K188" s="108"/>
    </row>
    <row r="189" spans="1:1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1" s="107" customFormat="1" x14ac:dyDescent="0.25">
      <c r="A190" s="409"/>
      <c r="B190" s="410"/>
      <c r="C190" s="411"/>
      <c r="D190" s="214"/>
      <c r="E190" s="213"/>
      <c r="F190" s="214"/>
      <c r="G190" s="213"/>
      <c r="H190" s="214"/>
      <c r="I190" s="213"/>
      <c r="J190" s="214"/>
      <c r="K190" s="213"/>
    </row>
    <row r="191" spans="1:11" x14ac:dyDescent="0.25">
      <c r="A191" s="466"/>
      <c r="B191" s="467"/>
      <c r="C191" s="468"/>
      <c r="D191" s="177"/>
      <c r="E191" s="106"/>
      <c r="F191" s="177"/>
      <c r="G191" s="106"/>
      <c r="H191" s="177"/>
      <c r="I191" s="106"/>
      <c r="J191" s="177"/>
      <c r="K191" s="106"/>
    </row>
    <row r="192" spans="1:11" x14ac:dyDescent="0.25">
      <c r="A192" s="451"/>
      <c r="B192" s="452"/>
      <c r="C192" s="453"/>
      <c r="D192" s="174"/>
      <c r="E192" s="104"/>
      <c r="F192" s="174"/>
      <c r="G192" s="104"/>
      <c r="H192" s="174"/>
      <c r="I192" s="104"/>
      <c r="J192" s="174"/>
      <c r="K192" s="104"/>
    </row>
    <row r="193" spans="1:11" x14ac:dyDescent="0.25">
      <c r="A193" s="454"/>
      <c r="B193" s="455"/>
      <c r="C193" s="456"/>
      <c r="D193" s="177"/>
      <c r="E193" s="106"/>
      <c r="F193" s="177"/>
      <c r="G193" s="106"/>
      <c r="H193" s="177"/>
      <c r="I193" s="106"/>
      <c r="J193" s="177"/>
      <c r="K193" s="106"/>
    </row>
    <row r="194" spans="1:11" x14ac:dyDescent="0.25">
      <c r="A194" s="451"/>
      <c r="B194" s="452"/>
      <c r="C194" s="453"/>
      <c r="D194" s="174"/>
      <c r="E194" s="104"/>
      <c r="F194" s="174"/>
      <c r="G194" s="104"/>
      <c r="H194" s="174"/>
      <c r="I194" s="104"/>
      <c r="J194" s="174"/>
      <c r="K194" s="104"/>
    </row>
    <row r="195" spans="1:11" x14ac:dyDescent="0.25">
      <c r="A195" s="454"/>
      <c r="B195" s="455"/>
      <c r="C195" s="456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51"/>
      <c r="B196" s="452"/>
      <c r="C196" s="453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54"/>
      <c r="B197" s="455"/>
      <c r="C197" s="456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51"/>
      <c r="B198" s="452"/>
      <c r="C198" s="453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54"/>
      <c r="B199" s="455"/>
      <c r="C199" s="456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51"/>
      <c r="B200" s="452"/>
      <c r="C200" s="453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54"/>
      <c r="B201" s="455"/>
      <c r="C201" s="456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51"/>
      <c r="B202" s="452"/>
      <c r="C202" s="453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54"/>
      <c r="B203" s="455"/>
      <c r="C203" s="456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51"/>
      <c r="B204" s="452"/>
      <c r="C204" s="453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54"/>
      <c r="B205" s="455"/>
      <c r="C205" s="456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51"/>
      <c r="B206" s="452"/>
      <c r="C206" s="453"/>
      <c r="D206" s="174"/>
      <c r="E206" s="104"/>
      <c r="F206" s="174"/>
      <c r="G206" s="104"/>
      <c r="H206" s="174"/>
      <c r="I206" s="104"/>
      <c r="J206" s="174"/>
      <c r="K206" s="104"/>
    </row>
    <row r="207" spans="1:11" x14ac:dyDescent="0.25">
      <c r="A207" s="454"/>
      <c r="B207" s="455"/>
      <c r="C207" s="456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51"/>
      <c r="B208" s="452"/>
      <c r="C208" s="453"/>
      <c r="D208" s="174"/>
      <c r="E208" s="104"/>
      <c r="F208" s="174"/>
      <c r="G208" s="104"/>
      <c r="H208" s="174"/>
      <c r="I208" s="104"/>
      <c r="J208" s="174"/>
      <c r="K208" s="104"/>
    </row>
    <row r="209" spans="1:11" x14ac:dyDescent="0.25">
      <c r="A209" s="454"/>
      <c r="B209" s="455"/>
      <c r="C209" s="456"/>
      <c r="D209" s="177"/>
      <c r="E209" s="106"/>
      <c r="F209" s="177"/>
      <c r="G209" s="106"/>
      <c r="H209" s="177"/>
      <c r="I209" s="106"/>
      <c r="J209" s="177"/>
      <c r="K209" s="106"/>
    </row>
    <row r="210" spans="1:11" x14ac:dyDescent="0.25">
      <c r="A210" s="451"/>
      <c r="B210" s="452"/>
      <c r="C210" s="453"/>
      <c r="D210" s="174"/>
      <c r="E210" s="104"/>
      <c r="F210" s="174"/>
      <c r="G210" s="104"/>
      <c r="H210" s="174"/>
      <c r="I210" s="104"/>
      <c r="J210" s="174"/>
      <c r="K210" s="104"/>
    </row>
    <row r="211" spans="1:11" x14ac:dyDescent="0.25">
      <c r="A211" s="457"/>
      <c r="B211" s="458"/>
      <c r="C211" s="459"/>
      <c r="D211" s="178"/>
      <c r="E211" s="114"/>
      <c r="F211" s="178"/>
      <c r="G211" s="114"/>
      <c r="H211" s="178"/>
      <c r="I211" s="114"/>
      <c r="J211" s="178"/>
      <c r="K211" s="114"/>
    </row>
    <row r="212" spans="1:11" s="412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x14ac:dyDescent="0.25">
      <c r="A213" s="460" t="s">
        <v>1873</v>
      </c>
      <c r="B213" s="461"/>
      <c r="C213" s="461"/>
      <c r="D213" s="461"/>
      <c r="E213" s="461"/>
      <c r="F213" s="461"/>
      <c r="G213" s="461"/>
      <c r="H213" s="461"/>
      <c r="I213" s="461"/>
      <c r="J213" s="461"/>
      <c r="K213" s="462"/>
    </row>
    <row r="214" spans="1:11" s="412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412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412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412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412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412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412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412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412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412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412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412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s="412" customFormat="1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s="412" customFormat="1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s="412" customFormat="1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s="412" customFormat="1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s="107" customFormat="1" x14ac:dyDescent="0.25">
      <c r="A230" s="463"/>
      <c r="B230" s="464"/>
      <c r="C230" s="464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526"/>
      <c r="B231" s="455"/>
      <c r="C231" s="455"/>
      <c r="D231" s="177"/>
      <c r="E231" s="106"/>
      <c r="F231" s="177"/>
      <c r="G231" s="106"/>
      <c r="H231" s="177"/>
      <c r="I231" s="106"/>
      <c r="J231" s="177"/>
      <c r="K231" s="106"/>
    </row>
    <row r="232" spans="1:12" x14ac:dyDescent="0.25">
      <c r="A232" s="527"/>
      <c r="B232" s="452"/>
      <c r="C232" s="452"/>
      <c r="D232" s="158"/>
      <c r="E232" s="130"/>
      <c r="F232" s="158"/>
      <c r="G232" s="130"/>
      <c r="H232" s="158"/>
      <c r="I232" s="130"/>
      <c r="J232" s="158"/>
      <c r="K232" s="130"/>
    </row>
    <row r="233" spans="1:12" x14ac:dyDescent="0.25">
      <c r="A233" s="526"/>
      <c r="B233" s="455"/>
      <c r="C233" s="455"/>
      <c r="D233" s="177"/>
      <c r="E233" s="106"/>
      <c r="F233" s="177"/>
      <c r="G233" s="106"/>
      <c r="H233" s="177"/>
      <c r="I233" s="106"/>
      <c r="J233" s="177"/>
      <c r="K233" s="106"/>
    </row>
    <row r="234" spans="1:12" x14ac:dyDescent="0.25">
      <c r="A234" s="527"/>
      <c r="B234" s="452"/>
      <c r="C234" s="452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526"/>
      <c r="B235" s="455"/>
      <c r="C235" s="455"/>
      <c r="D235" s="177"/>
      <c r="E235" s="106"/>
      <c r="F235" s="177"/>
      <c r="G235" s="106"/>
      <c r="H235" s="177"/>
      <c r="I235" s="106"/>
      <c r="J235" s="177"/>
      <c r="K235" s="106"/>
    </row>
    <row r="236" spans="1:12" x14ac:dyDescent="0.25">
      <c r="A236" s="527"/>
      <c r="B236" s="452"/>
      <c r="C236" s="452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526"/>
      <c r="B237" s="455"/>
      <c r="C237" s="455"/>
      <c r="D237" s="177"/>
      <c r="E237" s="106"/>
      <c r="F237" s="177"/>
      <c r="G237" s="106"/>
      <c r="H237" s="177"/>
      <c r="I237" s="106"/>
      <c r="J237" s="177"/>
      <c r="K237" s="106"/>
    </row>
    <row r="238" spans="1:12" x14ac:dyDescent="0.25">
      <c r="A238" s="527"/>
      <c r="B238" s="452"/>
      <c r="C238" s="452"/>
      <c r="D238" s="174"/>
      <c r="E238" s="104"/>
      <c r="F238" s="174"/>
      <c r="G238" s="104"/>
      <c r="H238" s="174"/>
      <c r="I238" s="104"/>
      <c r="J238" s="174"/>
      <c r="K238" s="104"/>
      <c r="L238" s="412"/>
    </row>
    <row r="239" spans="1:12" x14ac:dyDescent="0.25">
      <c r="A239" s="526"/>
      <c r="B239" s="455"/>
      <c r="C239" s="455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527"/>
      <c r="B240" s="452"/>
      <c r="C240" s="452"/>
      <c r="D240" s="174"/>
      <c r="E240" s="104"/>
      <c r="F240" s="174"/>
      <c r="G240" s="104"/>
      <c r="H240" s="174"/>
      <c r="I240" s="104"/>
      <c r="J240" s="174"/>
      <c r="K240" s="104"/>
    </row>
    <row r="241" spans="1:11" x14ac:dyDescent="0.25">
      <c r="A241" s="526"/>
      <c r="B241" s="455"/>
      <c r="C241" s="455"/>
      <c r="D241" s="110"/>
      <c r="E241" s="106"/>
      <c r="F241" s="110"/>
      <c r="G241" s="106"/>
      <c r="H241" s="110"/>
      <c r="I241" s="106"/>
      <c r="J241" s="110"/>
      <c r="K241" s="106"/>
    </row>
    <row r="242" spans="1:11" x14ac:dyDescent="0.25">
      <c r="A242" s="527"/>
      <c r="B242" s="452"/>
      <c r="C242" s="452"/>
      <c r="D242" s="174"/>
      <c r="E242" s="104"/>
      <c r="F242" s="174"/>
      <c r="G242" s="104"/>
      <c r="H242" s="174"/>
      <c r="I242" s="104"/>
      <c r="J242" s="174"/>
      <c r="K242" s="104"/>
    </row>
    <row r="243" spans="1:11" x14ac:dyDescent="0.25">
      <c r="A243" s="526"/>
      <c r="B243" s="455"/>
      <c r="C243" s="455"/>
      <c r="D243" s="180"/>
      <c r="E243" s="181"/>
      <c r="F243" s="180"/>
      <c r="G243" s="181"/>
      <c r="H243" s="180"/>
      <c r="I243" s="181"/>
      <c r="J243" s="180"/>
      <c r="K243" s="181"/>
    </row>
    <row r="244" spans="1:11" x14ac:dyDescent="0.25">
      <c r="A244" s="527"/>
      <c r="B244" s="452"/>
      <c r="C244" s="452"/>
      <c r="D244" s="174"/>
      <c r="E244" s="104"/>
      <c r="F244" s="174"/>
      <c r="G244" s="104"/>
      <c r="H244" s="174"/>
      <c r="I244" s="104"/>
      <c r="J244" s="174"/>
      <c r="K244" s="104"/>
    </row>
    <row r="245" spans="1:11" x14ac:dyDescent="0.25">
      <c r="A245" s="526"/>
      <c r="B245" s="455"/>
      <c r="C245" s="455"/>
      <c r="D245" s="177"/>
      <c r="E245" s="106"/>
      <c r="F245" s="177"/>
      <c r="G245" s="106"/>
      <c r="H245" s="177"/>
      <c r="I245" s="106"/>
      <c r="J245" s="177"/>
      <c r="K245" s="106"/>
    </row>
    <row r="246" spans="1:11" x14ac:dyDescent="0.25">
      <c r="A246" s="528"/>
      <c r="B246" s="443"/>
      <c r="C246" s="443"/>
      <c r="D246" s="179"/>
      <c r="E246" s="108"/>
      <c r="F246" s="179"/>
      <c r="G246" s="108"/>
      <c r="H246" s="179"/>
      <c r="I246" s="108"/>
      <c r="J246" s="179"/>
      <c r="K246" s="108"/>
    </row>
    <row r="247" spans="1:11" x14ac:dyDescent="0.25">
      <c r="C247" s="415" t="s">
        <v>3251</v>
      </c>
    </row>
    <row r="248" spans="1:11" ht="15" customHeight="1" x14ac:dyDescent="0.25"/>
    <row r="249" spans="1:11" ht="19.5" customHeight="1" x14ac:dyDescent="0.25">
      <c r="C249" s="415" t="s">
        <v>3292</v>
      </c>
    </row>
  </sheetData>
  <mergeCells count="182">
    <mergeCell ref="A246:C246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11:C211"/>
    <mergeCell ref="A213:K213"/>
    <mergeCell ref="A230:C230"/>
    <mergeCell ref="A231:C231"/>
    <mergeCell ref="A232:C232"/>
    <mergeCell ref="A233:C233"/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185:C185"/>
    <mergeCell ref="A186:C186"/>
    <mergeCell ref="A187:C187"/>
    <mergeCell ref="A188:C188"/>
    <mergeCell ref="A191:C191"/>
    <mergeCell ref="A192:C192"/>
    <mergeCell ref="A177:C177"/>
    <mergeCell ref="A178:C178"/>
    <mergeCell ref="A179:C179"/>
    <mergeCell ref="A180:C180"/>
    <mergeCell ref="A181:C181"/>
    <mergeCell ref="A182:C182"/>
    <mergeCell ref="A171:C171"/>
    <mergeCell ref="A172:C172"/>
    <mergeCell ref="A173:C173"/>
    <mergeCell ref="A174:C174"/>
    <mergeCell ref="A175:C175"/>
    <mergeCell ref="A176:C176"/>
    <mergeCell ref="A165:C165"/>
    <mergeCell ref="A166:C166"/>
    <mergeCell ref="A167:C167"/>
    <mergeCell ref="A168:C168"/>
    <mergeCell ref="A169:C169"/>
    <mergeCell ref="A170:C170"/>
    <mergeCell ref="A159:C159"/>
    <mergeCell ref="A160:C160"/>
    <mergeCell ref="A161:C161"/>
    <mergeCell ref="A162:C162"/>
    <mergeCell ref="A163:C163"/>
    <mergeCell ref="A164:C164"/>
    <mergeCell ref="A152:C152"/>
    <mergeCell ref="A153:C153"/>
    <mergeCell ref="A154:C154"/>
    <mergeCell ref="A155:C155"/>
    <mergeCell ref="A157:C157"/>
    <mergeCell ref="A158:C158"/>
    <mergeCell ref="A146:C146"/>
    <mergeCell ref="A147:C147"/>
    <mergeCell ref="A148:C148"/>
    <mergeCell ref="A149:C149"/>
    <mergeCell ref="A150:C150"/>
    <mergeCell ref="A151:C151"/>
    <mergeCell ref="A140:C140"/>
    <mergeCell ref="A141:C141"/>
    <mergeCell ref="A142:C142"/>
    <mergeCell ref="A143:C143"/>
    <mergeCell ref="A144:C144"/>
    <mergeCell ref="A145:C145"/>
    <mergeCell ref="A134:C134"/>
    <mergeCell ref="A135:C135"/>
    <mergeCell ref="A136:C136"/>
    <mergeCell ref="A137:C137"/>
    <mergeCell ref="A138:C138"/>
    <mergeCell ref="A139:C139"/>
    <mergeCell ref="A128:C128"/>
    <mergeCell ref="A129:C129"/>
    <mergeCell ref="A130:C130"/>
    <mergeCell ref="A131:C131"/>
    <mergeCell ref="A132:C132"/>
    <mergeCell ref="A133:C133"/>
    <mergeCell ref="A122:C122"/>
    <mergeCell ref="A123:C123"/>
    <mergeCell ref="A124:C124"/>
    <mergeCell ref="A125:C125"/>
    <mergeCell ref="A126:C126"/>
    <mergeCell ref="A127:C127"/>
    <mergeCell ref="A115:C115"/>
    <mergeCell ref="A116:C116"/>
    <mergeCell ref="A117:C117"/>
    <mergeCell ref="A118:C118"/>
    <mergeCell ref="A120:C120"/>
    <mergeCell ref="A121:C121"/>
    <mergeCell ref="A109:C109"/>
    <mergeCell ref="A110:C110"/>
    <mergeCell ref="A111:C111"/>
    <mergeCell ref="A112:C112"/>
    <mergeCell ref="A113:C113"/>
    <mergeCell ref="A114:C114"/>
    <mergeCell ref="A103:C103"/>
    <mergeCell ref="A104:C104"/>
    <mergeCell ref="A105:C105"/>
    <mergeCell ref="A106:C106"/>
    <mergeCell ref="A107:C107"/>
    <mergeCell ref="A108:C108"/>
    <mergeCell ref="B80:D80"/>
    <mergeCell ref="B81:D81"/>
    <mergeCell ref="A98:K98"/>
    <mergeCell ref="A100:C100"/>
    <mergeCell ref="A101:C101"/>
    <mergeCell ref="A102:C102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A8:C8"/>
    <mergeCell ref="B38:D38"/>
    <mergeCell ref="B39:D39"/>
    <mergeCell ref="B40:D40"/>
    <mergeCell ref="B41:D41"/>
    <mergeCell ref="B42:D42"/>
    <mergeCell ref="B6:D6"/>
    <mergeCell ref="F6:H6"/>
    <mergeCell ref="J6:K6"/>
    <mergeCell ref="B7:D7"/>
    <mergeCell ref="F7:H7"/>
    <mergeCell ref="J7:K7"/>
    <mergeCell ref="A3:K3"/>
    <mergeCell ref="B4:D4"/>
    <mergeCell ref="F4:H4"/>
    <mergeCell ref="J4:K4"/>
    <mergeCell ref="B5:D5"/>
    <mergeCell ref="F5:H5"/>
    <mergeCell ref="J5:K5"/>
  </mergeCells>
  <conditionalFormatting sqref="B58:D80 F58:G80">
    <cfRule type="expression" dxfId="115" priority="17">
      <formula>MOD(ROW(),2)=1</formula>
    </cfRule>
    <cfRule type="expression" dxfId="114" priority="18">
      <formula>MOD(ROW(),2)=0</formula>
    </cfRule>
  </conditionalFormatting>
  <conditionalFormatting sqref="A158:K182 D121:K155 A152:A155">
    <cfRule type="expression" dxfId="113" priority="15">
      <formula>MOD(ROW(),2)=0</formula>
    </cfRule>
    <cfRule type="expression" dxfId="112" priority="16">
      <formula>MOD(ROW(),2)=1</formula>
    </cfRule>
  </conditionalFormatting>
  <conditionalFormatting sqref="E58:E80">
    <cfRule type="expression" dxfId="111" priority="13">
      <formula>MOD(ROW(),2)=1</formula>
    </cfRule>
    <cfRule type="expression" dxfId="110" priority="14">
      <formula>MOD(ROW(),2)=0</formula>
    </cfRule>
  </conditionalFormatting>
  <conditionalFormatting sqref="A121:C144 A146:C151 A145">
    <cfRule type="expression" dxfId="109" priority="11">
      <formula>MOD(ROW(),2)=0</formula>
    </cfRule>
    <cfRule type="expression" dxfId="108" priority="12">
      <formula>MOD(ROW(),2)=1</formula>
    </cfRule>
  </conditionalFormatting>
  <conditionalFormatting sqref="A101:K112 A113:A115 D113:K115 A117:A118 D117:K118 B39:G55">
    <cfRule type="expression" dxfId="107" priority="9">
      <formula>MOD(ROW(),2)=1</formula>
    </cfRule>
    <cfRule type="expression" dxfId="106" priority="10">
      <formula>MOD(ROW(),2)=0</formula>
    </cfRule>
  </conditionalFormatting>
  <conditionalFormatting sqref="A116 D116:K116">
    <cfRule type="expression" dxfId="105" priority="7">
      <formula>MOD(ROW(),2)=1</formula>
    </cfRule>
    <cfRule type="expression" dxfId="104" priority="8">
      <formula>MOD(ROW(),2)=0</formula>
    </cfRule>
  </conditionalFormatting>
  <conditionalFormatting sqref="A185:K188">
    <cfRule type="expression" dxfId="103" priority="5">
      <formula>MOD(ROW(),2)=1</formula>
    </cfRule>
    <cfRule type="expression" dxfId="102" priority="6">
      <formula>MOD(ROW(),2)=0</formula>
    </cfRule>
  </conditionalFormatting>
  <conditionalFormatting sqref="A191:K211">
    <cfRule type="expression" dxfId="101" priority="3">
      <formula>MOD(ROW(),2)=1</formula>
    </cfRule>
    <cfRule type="expression" dxfId="100" priority="4">
      <formula>MOD(ROW(),2)=0</formula>
    </cfRule>
  </conditionalFormatting>
  <conditionalFormatting sqref="A231:K246">
    <cfRule type="expression" dxfId="99" priority="1">
      <formula>MOD(ROW(),2)=1</formula>
    </cfRule>
    <cfRule type="expression" dxfId="98" priority="2">
      <formula>MOD(ROW(),2)=0</formula>
    </cfRule>
  </conditionalFormatting>
  <pageMargins left="0.7" right="0.7" top="0.75" bottom="0.75" header="0.3" footer="0.3"/>
  <pageSetup scale="48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3"/>
  <sheetViews>
    <sheetView topLeftCell="BG1" zoomScale="80" zoomScaleNormal="80" workbookViewId="0">
      <pane ySplit="1" topLeftCell="A2" activePane="bottomLeft" state="frozen"/>
      <selection pane="bottomLeft" activeCell="BJ1" sqref="BJ1:BS1"/>
    </sheetView>
  </sheetViews>
  <sheetFormatPr defaultColWidth="12" defaultRowHeight="15" x14ac:dyDescent="0.25"/>
  <cols>
    <col min="1" max="1" width="46.28515625" style="135" customWidth="1"/>
    <col min="2" max="4" width="15.7109375" style="135" customWidth="1"/>
    <col min="5" max="9" width="15.7109375" style="185" customWidth="1"/>
    <col min="10" max="11" width="15.7109375" style="238" customWidth="1"/>
    <col min="12" max="17" width="15.7109375" style="231" customWidth="1"/>
    <col min="18" max="18" width="15.7109375" style="240" customWidth="1"/>
    <col min="19" max="19" width="15.7109375" style="238" customWidth="1"/>
    <col min="20" max="20" width="15.7109375" style="240" customWidth="1"/>
    <col min="21" max="21" width="15.7109375" style="238" customWidth="1"/>
    <col min="22" max="22" width="15.7109375" style="240" customWidth="1"/>
    <col min="23" max="23" width="15.7109375" style="238" customWidth="1"/>
    <col min="24" max="24" width="15.7109375" style="240" customWidth="1"/>
    <col min="25" max="25" width="15.7109375" style="238" customWidth="1"/>
    <col min="26" max="26" width="15.7109375" style="240" customWidth="1"/>
    <col min="27" max="27" width="15.7109375" style="238" customWidth="1"/>
    <col min="28" max="28" width="15.7109375" style="240" customWidth="1"/>
    <col min="29" max="29" width="15.7109375" style="238" customWidth="1"/>
    <col min="30" max="30" width="15.7109375" style="240" customWidth="1"/>
    <col min="31" max="31" width="15.7109375" style="238" customWidth="1"/>
    <col min="32" max="32" width="15.7109375" style="240" customWidth="1"/>
    <col min="33" max="33" width="15.7109375" style="238" customWidth="1"/>
    <col min="34" max="34" width="15.7109375" style="240" customWidth="1"/>
    <col min="35" max="35" width="15.7109375" style="238" customWidth="1"/>
    <col min="36" max="36" width="15.7109375" style="240" customWidth="1"/>
    <col min="37" max="37" width="15.7109375" style="238" customWidth="1"/>
    <col min="38" max="38" width="15.7109375" style="240" customWidth="1"/>
    <col min="39" max="39" width="15.7109375" style="238" customWidth="1"/>
    <col min="40" max="40" width="15.7109375" style="240" customWidth="1"/>
    <col min="41" max="41" width="15.7109375" style="238" customWidth="1"/>
    <col min="42" max="42" width="15.7109375" style="240" customWidth="1"/>
    <col min="43" max="43" width="15.7109375" style="238" customWidth="1"/>
    <col min="44" max="44" width="15.7109375" style="240" customWidth="1"/>
    <col min="45" max="45" width="15.7109375" style="238" customWidth="1"/>
    <col min="46" max="46" width="15.7109375" style="240" customWidth="1"/>
    <col min="47" max="47" width="15.7109375" style="238" customWidth="1"/>
    <col min="48" max="48" width="15.7109375" style="240" customWidth="1"/>
    <col min="49" max="49" width="15.7109375" style="238" customWidth="1"/>
    <col min="50" max="50" width="15.7109375" style="240" customWidth="1"/>
    <col min="51" max="51" width="15.7109375" style="238" customWidth="1"/>
    <col min="52" max="52" width="15.7109375" style="240" customWidth="1"/>
    <col min="53" max="53" width="15.7109375" style="238" customWidth="1"/>
    <col min="54" max="54" width="15.7109375" style="240" customWidth="1"/>
    <col min="55" max="55" width="15.7109375" style="238" customWidth="1"/>
    <col min="56" max="56" width="15.7109375" style="240" customWidth="1"/>
    <col min="57" max="57" width="15.7109375" style="238" customWidth="1"/>
    <col min="58" max="58" width="15.7109375" style="240" customWidth="1"/>
    <col min="59" max="59" width="15.7109375" style="238" customWidth="1"/>
    <col min="60" max="60" width="15.7109375" style="240" customWidth="1"/>
    <col min="61" max="61" width="15.7109375" style="238" customWidth="1"/>
    <col min="62" max="62" width="15.7109375" style="240" customWidth="1"/>
    <col min="63" max="63" width="12" style="117"/>
    <col min="64" max="64" width="15.7109375" style="377" customWidth="1"/>
    <col min="65" max="65" width="15.7109375" style="185" customWidth="1"/>
    <col min="66" max="66" width="15.7109375" style="377" customWidth="1"/>
    <col min="67" max="67" width="15.7109375" style="185" customWidth="1"/>
    <col min="68" max="68" width="15.7109375" style="377" customWidth="1"/>
    <col min="69" max="69" width="15.7109375" style="185" customWidth="1"/>
    <col min="70" max="70" width="15.7109375" style="377" customWidth="1"/>
    <col min="71" max="71" width="15.7109375" style="185" customWidth="1"/>
    <col min="72" max="115" width="12" style="117"/>
    <col min="116" max="16384" width="12" style="220"/>
  </cols>
  <sheetData>
    <row r="1" spans="1:174" x14ac:dyDescent="0.25">
      <c r="BJ1" s="514" t="s">
        <v>3251</v>
      </c>
      <c r="BK1" s="514"/>
      <c r="BL1" s="514"/>
      <c r="BM1" s="514"/>
      <c r="BN1" s="514"/>
      <c r="BO1" s="514"/>
      <c r="BP1" s="514"/>
      <c r="BQ1" s="514"/>
      <c r="BR1" s="514"/>
      <c r="BS1" s="514"/>
    </row>
    <row r="2" spans="1:174" s="223" customFormat="1" ht="65.099999999999994" customHeight="1" x14ac:dyDescent="0.25">
      <c r="A2" s="224" t="s">
        <v>2172</v>
      </c>
      <c r="B2" s="224" t="s">
        <v>2500</v>
      </c>
      <c r="C2" s="224" t="s">
        <v>2501</v>
      </c>
      <c r="D2" s="224" t="s">
        <v>2504</v>
      </c>
      <c r="E2" s="355" t="s">
        <v>1880</v>
      </c>
      <c r="F2" s="355" t="s">
        <v>2776</v>
      </c>
      <c r="G2" s="355" t="s">
        <v>2777</v>
      </c>
      <c r="H2" s="355" t="s">
        <v>3127</v>
      </c>
      <c r="I2" s="355" t="s">
        <v>2785</v>
      </c>
      <c r="J2" s="355" t="s">
        <v>1801</v>
      </c>
      <c r="K2" s="369" t="s">
        <v>2410</v>
      </c>
      <c r="L2" s="247" t="s">
        <v>1573</v>
      </c>
      <c r="M2" s="246" t="s">
        <v>1896</v>
      </c>
      <c r="N2" s="232" t="s">
        <v>2451</v>
      </c>
      <c r="O2" s="232" t="s">
        <v>2450</v>
      </c>
      <c r="P2" s="232" t="s">
        <v>2448</v>
      </c>
      <c r="Q2" s="232" t="s">
        <v>2449</v>
      </c>
      <c r="R2" s="515" t="s">
        <v>42</v>
      </c>
      <c r="S2" s="517"/>
      <c r="T2" s="515" t="s">
        <v>43</v>
      </c>
      <c r="U2" s="517"/>
      <c r="V2" s="515" t="s">
        <v>44</v>
      </c>
      <c r="W2" s="517"/>
      <c r="X2" s="515" t="s">
        <v>45</v>
      </c>
      <c r="Y2" s="517"/>
      <c r="Z2" s="515" t="s">
        <v>46</v>
      </c>
      <c r="AA2" s="517"/>
      <c r="AB2" s="515" t="s">
        <v>47</v>
      </c>
      <c r="AC2" s="517"/>
      <c r="AD2" s="515" t="s">
        <v>48</v>
      </c>
      <c r="AE2" s="517"/>
      <c r="AF2" s="515" t="s">
        <v>49</v>
      </c>
      <c r="AG2" s="517"/>
      <c r="AH2" s="515" t="s">
        <v>50</v>
      </c>
      <c r="AI2" s="517"/>
      <c r="AJ2" s="515" t="s">
        <v>51</v>
      </c>
      <c r="AK2" s="517"/>
      <c r="AL2" s="515" t="s">
        <v>52</v>
      </c>
      <c r="AM2" s="517"/>
      <c r="AN2" s="515" t="s">
        <v>53</v>
      </c>
      <c r="AO2" s="517"/>
      <c r="AP2" s="515" t="s">
        <v>54</v>
      </c>
      <c r="AQ2" s="517"/>
      <c r="AR2" s="515" t="s">
        <v>55</v>
      </c>
      <c r="AS2" s="517"/>
      <c r="AT2" s="515" t="s">
        <v>56</v>
      </c>
      <c r="AU2" s="517"/>
      <c r="AV2" s="515" t="s">
        <v>57</v>
      </c>
      <c r="AW2" s="517"/>
      <c r="AX2" s="515" t="s">
        <v>58</v>
      </c>
      <c r="AY2" s="517"/>
      <c r="AZ2" s="515" t="s">
        <v>59</v>
      </c>
      <c r="BA2" s="517"/>
      <c r="BB2" s="515" t="s">
        <v>60</v>
      </c>
      <c r="BC2" s="517"/>
      <c r="BD2" s="515" t="s">
        <v>61</v>
      </c>
      <c r="BE2" s="517"/>
      <c r="BF2" s="515" t="s">
        <v>62</v>
      </c>
      <c r="BG2" s="517"/>
      <c r="BH2" s="515" t="s">
        <v>63</v>
      </c>
      <c r="BI2" s="517"/>
      <c r="BJ2" s="515" t="s">
        <v>64</v>
      </c>
      <c r="BK2" s="517"/>
      <c r="BL2" s="515" t="s">
        <v>3129</v>
      </c>
      <c r="BM2" s="517"/>
      <c r="BN2" s="515" t="s">
        <v>3130</v>
      </c>
      <c r="BO2" s="517"/>
      <c r="BP2" s="515" t="s">
        <v>3131</v>
      </c>
      <c r="BQ2" s="517"/>
      <c r="BR2" s="515" t="s">
        <v>3132</v>
      </c>
      <c r="BS2" s="517"/>
      <c r="BT2" s="222"/>
      <c r="BU2" s="222"/>
      <c r="BV2" s="222"/>
      <c r="BW2" s="222"/>
      <c r="BX2" s="222"/>
      <c r="BY2" s="222"/>
      <c r="BZ2" s="222"/>
      <c r="CA2" s="222"/>
      <c r="CB2" s="222"/>
      <c r="CC2" s="222"/>
      <c r="CD2" s="222"/>
      <c r="CE2" s="222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FR2" s="221"/>
    </row>
    <row r="3" spans="1:174" x14ac:dyDescent="0.25">
      <c r="A3" s="225"/>
      <c r="B3" s="225"/>
      <c r="C3" s="225"/>
      <c r="D3" s="225"/>
      <c r="E3" s="271"/>
      <c r="F3" s="271"/>
      <c r="G3" s="271"/>
      <c r="H3" s="271"/>
      <c r="I3" s="271"/>
      <c r="J3" s="237"/>
      <c r="K3" s="237"/>
      <c r="L3" s="236"/>
      <c r="M3" s="236"/>
      <c r="N3" s="236"/>
      <c r="O3" s="236"/>
      <c r="P3" s="236"/>
      <c r="Q3" s="376"/>
      <c r="R3" s="239" t="s">
        <v>2447</v>
      </c>
      <c r="S3" s="239" t="s">
        <v>2446</v>
      </c>
      <c r="T3" s="239" t="s">
        <v>2447</v>
      </c>
      <c r="U3" s="239" t="s">
        <v>2446</v>
      </c>
      <c r="V3" s="239" t="s">
        <v>2447</v>
      </c>
      <c r="W3" s="239" t="s">
        <v>2446</v>
      </c>
      <c r="X3" s="239" t="s">
        <v>2447</v>
      </c>
      <c r="Y3" s="239" t="s">
        <v>2446</v>
      </c>
      <c r="Z3" s="239" t="s">
        <v>2447</v>
      </c>
      <c r="AA3" s="239" t="s">
        <v>2446</v>
      </c>
      <c r="AB3" s="239" t="s">
        <v>2447</v>
      </c>
      <c r="AC3" s="239" t="s">
        <v>2446</v>
      </c>
      <c r="AD3" s="239" t="s">
        <v>2447</v>
      </c>
      <c r="AE3" s="239" t="s">
        <v>2446</v>
      </c>
      <c r="AF3" s="239" t="s">
        <v>2447</v>
      </c>
      <c r="AG3" s="239" t="s">
        <v>2446</v>
      </c>
      <c r="AH3" s="239" t="s">
        <v>2447</v>
      </c>
      <c r="AI3" s="239" t="s">
        <v>2446</v>
      </c>
      <c r="AJ3" s="239" t="s">
        <v>2447</v>
      </c>
      <c r="AK3" s="239" t="s">
        <v>2446</v>
      </c>
      <c r="AL3" s="239" t="s">
        <v>2447</v>
      </c>
      <c r="AM3" s="239" t="s">
        <v>2446</v>
      </c>
      <c r="AN3" s="239" t="s">
        <v>2447</v>
      </c>
      <c r="AO3" s="239" t="s">
        <v>2446</v>
      </c>
      <c r="AP3" s="239" t="s">
        <v>2447</v>
      </c>
      <c r="AQ3" s="239" t="s">
        <v>2446</v>
      </c>
      <c r="AR3" s="239" t="s">
        <v>2447</v>
      </c>
      <c r="AS3" s="239" t="s">
        <v>2446</v>
      </c>
      <c r="AT3" s="239" t="s">
        <v>2447</v>
      </c>
      <c r="AU3" s="239" t="s">
        <v>2446</v>
      </c>
      <c r="AV3" s="239" t="s">
        <v>2447</v>
      </c>
      <c r="AW3" s="239" t="s">
        <v>2446</v>
      </c>
      <c r="AX3" s="239" t="s">
        <v>2447</v>
      </c>
      <c r="AY3" s="239" t="s">
        <v>2446</v>
      </c>
      <c r="AZ3" s="239" t="s">
        <v>2447</v>
      </c>
      <c r="BA3" s="239" t="s">
        <v>2446</v>
      </c>
      <c r="BB3" s="239" t="s">
        <v>2447</v>
      </c>
      <c r="BC3" s="239" t="s">
        <v>2446</v>
      </c>
      <c r="BD3" s="239" t="s">
        <v>2447</v>
      </c>
      <c r="BE3" s="239" t="s">
        <v>2446</v>
      </c>
      <c r="BF3" s="239" t="s">
        <v>2447</v>
      </c>
      <c r="BG3" s="239" t="s">
        <v>2446</v>
      </c>
      <c r="BH3" s="239" t="s">
        <v>2447</v>
      </c>
      <c r="BI3" s="239" t="s">
        <v>2446</v>
      </c>
      <c r="BJ3" s="239" t="s">
        <v>2447</v>
      </c>
      <c r="BK3" s="239" t="s">
        <v>2446</v>
      </c>
      <c r="BL3" s="239" t="s">
        <v>2447</v>
      </c>
      <c r="BM3" s="239" t="s">
        <v>2446</v>
      </c>
      <c r="BN3" s="239" t="s">
        <v>2447</v>
      </c>
      <c r="BO3" s="239" t="s">
        <v>2446</v>
      </c>
      <c r="BP3" s="239" t="s">
        <v>2447</v>
      </c>
      <c r="BQ3" s="239" t="s">
        <v>2446</v>
      </c>
      <c r="BR3" s="239" t="s">
        <v>2447</v>
      </c>
      <c r="BS3" s="239" t="s">
        <v>2446</v>
      </c>
    </row>
  </sheetData>
  <autoFilter ref="A3:BS3" xr:uid="{00000000-0009-0000-0000-000000000000}"/>
  <mergeCells count="28">
    <mergeCell ref="AT2:AU2"/>
    <mergeCell ref="AV2:AW2"/>
    <mergeCell ref="AJ2:AK2"/>
    <mergeCell ref="AL2:AM2"/>
    <mergeCell ref="AN2:AO2"/>
    <mergeCell ref="AP2:AQ2"/>
    <mergeCell ref="AR2:AS2"/>
    <mergeCell ref="BJ2:BK2"/>
    <mergeCell ref="BJ1:BS1"/>
    <mergeCell ref="R2:S2"/>
    <mergeCell ref="T2:U2"/>
    <mergeCell ref="V2:W2"/>
    <mergeCell ref="X2:Y2"/>
    <mergeCell ref="Z2:AA2"/>
    <mergeCell ref="BL2:BM2"/>
    <mergeCell ref="BN2:BO2"/>
    <mergeCell ref="BP2:BQ2"/>
    <mergeCell ref="BR2:BS2"/>
    <mergeCell ref="AB2:AC2"/>
    <mergeCell ref="AZ2:BA2"/>
    <mergeCell ref="AD2:AE2"/>
    <mergeCell ref="AF2:AG2"/>
    <mergeCell ref="AH2:AI2"/>
    <mergeCell ref="AX2:AY2"/>
    <mergeCell ref="BB2:BC2"/>
    <mergeCell ref="BD2:BE2"/>
    <mergeCell ref="BF2:BG2"/>
    <mergeCell ref="BH2:BI2"/>
  </mergeCell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6"/>
  <sheetViews>
    <sheetView topLeftCell="BO1" zoomScale="80" zoomScaleNormal="80" workbookViewId="0">
      <selection activeCell="BV1" sqref="BV1:CE1"/>
    </sheetView>
  </sheetViews>
  <sheetFormatPr defaultColWidth="12" defaultRowHeight="15" x14ac:dyDescent="0.25"/>
  <cols>
    <col min="1" max="1" width="46.28515625" style="135" customWidth="1"/>
    <col min="2" max="4" width="15.7109375" style="135" customWidth="1"/>
    <col min="5" max="11" width="15.7109375" style="185" customWidth="1"/>
    <col min="12" max="17" width="15.7109375" style="231" customWidth="1"/>
    <col min="18" max="81" width="15.7109375" style="235" customWidth="1"/>
    <col min="82" max="83" width="15.7109375" style="117" customWidth="1"/>
    <col min="84" max="134" width="12" style="117"/>
    <col min="135" max="16384" width="12" style="220"/>
  </cols>
  <sheetData>
    <row r="1" spans="1:194" s="373" customFormat="1" ht="15" customHeight="1" x14ac:dyDescent="0.25">
      <c r="A1" s="135"/>
      <c r="B1" s="135"/>
      <c r="C1" s="135"/>
      <c r="D1" s="135"/>
      <c r="E1" s="185"/>
      <c r="F1" s="185"/>
      <c r="G1" s="185"/>
      <c r="H1" s="185"/>
      <c r="I1" s="185"/>
      <c r="J1" s="185"/>
      <c r="K1" s="185"/>
      <c r="L1" s="231"/>
      <c r="M1" s="231"/>
      <c r="N1" s="231"/>
      <c r="O1" s="231"/>
      <c r="P1" s="231"/>
      <c r="Q1" s="231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514" t="s">
        <v>3251</v>
      </c>
      <c r="BW1" s="514"/>
      <c r="BX1" s="514"/>
      <c r="BY1" s="514"/>
      <c r="BZ1" s="514"/>
      <c r="CA1" s="514"/>
      <c r="CB1" s="514"/>
      <c r="CC1" s="514"/>
      <c r="CD1" s="514"/>
      <c r="CE1" s="514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</row>
    <row r="2" spans="1:194" s="223" customFormat="1" ht="65.099999999999994" customHeight="1" x14ac:dyDescent="0.25">
      <c r="A2" s="224" t="s">
        <v>2172</v>
      </c>
      <c r="B2" s="224" t="s">
        <v>2500</v>
      </c>
      <c r="C2" s="224" t="s">
        <v>2501</v>
      </c>
      <c r="D2" s="224" t="s">
        <v>2504</v>
      </c>
      <c r="E2" s="355" t="s">
        <v>1880</v>
      </c>
      <c r="F2" s="355" t="s">
        <v>2776</v>
      </c>
      <c r="G2" s="355" t="s">
        <v>2777</v>
      </c>
      <c r="H2" s="355" t="s">
        <v>3127</v>
      </c>
      <c r="I2" s="355" t="s">
        <v>2785</v>
      </c>
      <c r="J2" s="355" t="s">
        <v>1801</v>
      </c>
      <c r="K2" s="375" t="s">
        <v>2410</v>
      </c>
      <c r="L2" s="247" t="s">
        <v>1573</v>
      </c>
      <c r="M2" s="247" t="s">
        <v>1896</v>
      </c>
      <c r="N2" s="232" t="s">
        <v>2451</v>
      </c>
      <c r="O2" s="232" t="s">
        <v>2450</v>
      </c>
      <c r="P2" s="232" t="s">
        <v>2448</v>
      </c>
      <c r="Q2" s="232" t="s">
        <v>2449</v>
      </c>
      <c r="R2" s="515" t="s">
        <v>1768</v>
      </c>
      <c r="S2" s="517"/>
      <c r="T2" s="515" t="s">
        <v>2516</v>
      </c>
      <c r="U2" s="517"/>
      <c r="V2" s="515" t="s">
        <v>2523</v>
      </c>
      <c r="W2" s="517"/>
      <c r="X2" s="515" t="s">
        <v>1776</v>
      </c>
      <c r="Y2" s="517"/>
      <c r="Z2" s="515" t="s">
        <v>1777</v>
      </c>
      <c r="AA2" s="517"/>
      <c r="AB2" s="515" t="s">
        <v>1778</v>
      </c>
      <c r="AC2" s="517"/>
      <c r="AD2" s="515" t="s">
        <v>1779</v>
      </c>
      <c r="AE2" s="517"/>
      <c r="AF2" s="515" t="s">
        <v>1780</v>
      </c>
      <c r="AG2" s="517"/>
      <c r="AH2" s="515" t="s">
        <v>1781</v>
      </c>
      <c r="AI2" s="517"/>
      <c r="AJ2" s="515" t="s">
        <v>1782</v>
      </c>
      <c r="AK2" s="517"/>
      <c r="AL2" s="515" t="s">
        <v>1783</v>
      </c>
      <c r="AM2" s="517"/>
      <c r="AN2" s="515" t="s">
        <v>1784</v>
      </c>
      <c r="AO2" s="517"/>
      <c r="AP2" s="515" t="s">
        <v>1803</v>
      </c>
      <c r="AQ2" s="517"/>
      <c r="AR2" s="515" t="s">
        <v>1785</v>
      </c>
      <c r="AS2" s="517"/>
      <c r="AT2" s="515" t="s">
        <v>1786</v>
      </c>
      <c r="AU2" s="517"/>
      <c r="AV2" s="515" t="s">
        <v>1787</v>
      </c>
      <c r="AW2" s="517"/>
      <c r="AX2" s="515" t="s">
        <v>1789</v>
      </c>
      <c r="AY2" s="517"/>
      <c r="AZ2" s="515" t="s">
        <v>1790</v>
      </c>
      <c r="BA2" s="517"/>
      <c r="BB2" s="515" t="s">
        <v>1791</v>
      </c>
      <c r="BC2" s="517"/>
      <c r="BD2" s="515" t="s">
        <v>1788</v>
      </c>
      <c r="BE2" s="517"/>
      <c r="BF2" s="515" t="s">
        <v>1792</v>
      </c>
      <c r="BG2" s="517"/>
      <c r="BH2" s="515" t="s">
        <v>1793</v>
      </c>
      <c r="BI2" s="517"/>
      <c r="BJ2" s="515" t="s">
        <v>1794</v>
      </c>
      <c r="BK2" s="517"/>
      <c r="BL2" s="515" t="s">
        <v>1795</v>
      </c>
      <c r="BM2" s="517"/>
      <c r="BN2" s="515" t="s">
        <v>1796</v>
      </c>
      <c r="BO2" s="517"/>
      <c r="BP2" s="515" t="s">
        <v>2825</v>
      </c>
      <c r="BQ2" s="517"/>
      <c r="BR2" s="515" t="s">
        <v>3242</v>
      </c>
      <c r="BS2" s="517"/>
      <c r="BT2" s="515" t="s">
        <v>2762</v>
      </c>
      <c r="BU2" s="517"/>
      <c r="BV2" s="515" t="s">
        <v>1797</v>
      </c>
      <c r="BW2" s="517"/>
      <c r="BX2" s="515" t="s">
        <v>1798</v>
      </c>
      <c r="BY2" s="517"/>
      <c r="BZ2" s="515" t="s">
        <v>1800</v>
      </c>
      <c r="CA2" s="517"/>
      <c r="CB2" s="515" t="s">
        <v>1799</v>
      </c>
      <c r="CC2" s="517"/>
      <c r="CD2" s="515" t="s">
        <v>968</v>
      </c>
      <c r="CE2" s="517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2"/>
      <c r="EB2" s="222"/>
      <c r="EC2" s="222"/>
      <c r="ED2" s="222"/>
      <c r="EE2" s="222"/>
      <c r="EF2" s="222"/>
      <c r="GL2" s="221"/>
    </row>
    <row r="3" spans="1:194" s="373" customFormat="1" ht="15" customHeight="1" x14ac:dyDescent="0.25">
      <c r="A3" s="225"/>
      <c r="B3" s="225"/>
      <c r="C3" s="225"/>
      <c r="D3" s="225"/>
      <c r="E3" s="271"/>
      <c r="F3" s="271"/>
      <c r="G3" s="271"/>
      <c r="H3" s="271"/>
      <c r="I3" s="271"/>
      <c r="J3" s="271"/>
      <c r="K3" s="226"/>
      <c r="L3" s="229"/>
      <c r="M3" s="229"/>
      <c r="N3" s="229"/>
      <c r="O3" s="229"/>
      <c r="P3" s="229"/>
      <c r="Q3" s="229"/>
      <c r="R3" s="227" t="s">
        <v>2446</v>
      </c>
      <c r="S3" s="227" t="s">
        <v>2447</v>
      </c>
      <c r="T3" s="227" t="s">
        <v>2446</v>
      </c>
      <c r="U3" s="227" t="s">
        <v>2447</v>
      </c>
      <c r="V3" s="227" t="s">
        <v>2446</v>
      </c>
      <c r="W3" s="227" t="s">
        <v>2447</v>
      </c>
      <c r="X3" s="227" t="s">
        <v>2446</v>
      </c>
      <c r="Y3" s="227" t="s">
        <v>2447</v>
      </c>
      <c r="Z3" s="227" t="s">
        <v>2446</v>
      </c>
      <c r="AA3" s="227" t="s">
        <v>2447</v>
      </c>
      <c r="AB3" s="227" t="s">
        <v>2446</v>
      </c>
      <c r="AC3" s="227" t="s">
        <v>2447</v>
      </c>
      <c r="AD3" s="227" t="s">
        <v>2446</v>
      </c>
      <c r="AE3" s="227" t="s">
        <v>2447</v>
      </c>
      <c r="AF3" s="227" t="s">
        <v>2446</v>
      </c>
      <c r="AG3" s="227" t="s">
        <v>2447</v>
      </c>
      <c r="AH3" s="227" t="s">
        <v>2446</v>
      </c>
      <c r="AI3" s="227" t="s">
        <v>2447</v>
      </c>
      <c r="AJ3" s="227" t="s">
        <v>2446</v>
      </c>
      <c r="AK3" s="227" t="s">
        <v>2447</v>
      </c>
      <c r="AL3" s="227" t="s">
        <v>2446</v>
      </c>
      <c r="AM3" s="227" t="s">
        <v>2447</v>
      </c>
      <c r="AN3" s="227" t="s">
        <v>2446</v>
      </c>
      <c r="AO3" s="227" t="s">
        <v>2447</v>
      </c>
      <c r="AP3" s="227" t="s">
        <v>2446</v>
      </c>
      <c r="AQ3" s="227" t="s">
        <v>2447</v>
      </c>
      <c r="AR3" s="227" t="s">
        <v>2446</v>
      </c>
      <c r="AS3" s="227" t="s">
        <v>2447</v>
      </c>
      <c r="AT3" s="227" t="s">
        <v>2446</v>
      </c>
      <c r="AU3" s="227" t="s">
        <v>2447</v>
      </c>
      <c r="AV3" s="227" t="s">
        <v>2446</v>
      </c>
      <c r="AW3" s="227" t="s">
        <v>2447</v>
      </c>
      <c r="AX3" s="227" t="s">
        <v>2446</v>
      </c>
      <c r="AY3" s="227" t="s">
        <v>2447</v>
      </c>
      <c r="AZ3" s="227" t="s">
        <v>2446</v>
      </c>
      <c r="BA3" s="227" t="s">
        <v>2447</v>
      </c>
      <c r="BB3" s="227" t="s">
        <v>2446</v>
      </c>
      <c r="BC3" s="227" t="s">
        <v>2447</v>
      </c>
      <c r="BD3" s="227" t="s">
        <v>2446</v>
      </c>
      <c r="BE3" s="227" t="s">
        <v>2447</v>
      </c>
      <c r="BF3" s="227" t="s">
        <v>2446</v>
      </c>
      <c r="BG3" s="227" t="s">
        <v>2447</v>
      </c>
      <c r="BH3" s="227" t="s">
        <v>2446</v>
      </c>
      <c r="BI3" s="227" t="s">
        <v>2447</v>
      </c>
      <c r="BJ3" s="227" t="s">
        <v>2446</v>
      </c>
      <c r="BK3" s="227" t="s">
        <v>2447</v>
      </c>
      <c r="BL3" s="227" t="s">
        <v>2446</v>
      </c>
      <c r="BM3" s="227" t="s">
        <v>2447</v>
      </c>
      <c r="BN3" s="227" t="s">
        <v>2446</v>
      </c>
      <c r="BO3" s="227" t="s">
        <v>2447</v>
      </c>
      <c r="BP3" s="227" t="s">
        <v>2446</v>
      </c>
      <c r="BQ3" s="227" t="s">
        <v>2447</v>
      </c>
      <c r="BR3" s="227" t="s">
        <v>2446</v>
      </c>
      <c r="BS3" s="227" t="s">
        <v>2447</v>
      </c>
      <c r="BT3" s="227" t="s">
        <v>3243</v>
      </c>
      <c r="BU3" s="227" t="s">
        <v>2447</v>
      </c>
      <c r="BV3" s="227" t="s">
        <v>2446</v>
      </c>
      <c r="BW3" s="227" t="s">
        <v>2447</v>
      </c>
      <c r="BX3" s="227" t="s">
        <v>2446</v>
      </c>
      <c r="BY3" s="227" t="s">
        <v>2447</v>
      </c>
      <c r="BZ3" s="227" t="s">
        <v>2446</v>
      </c>
      <c r="CA3" s="227" t="s">
        <v>2447</v>
      </c>
      <c r="CB3" s="227" t="s">
        <v>2446</v>
      </c>
      <c r="CC3" s="227" t="s">
        <v>2447</v>
      </c>
      <c r="CD3" s="227" t="s">
        <v>2446</v>
      </c>
      <c r="CE3" s="227" t="s">
        <v>2447</v>
      </c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</row>
    <row r="4" spans="1:194" ht="15" customHeight="1" x14ac:dyDescent="0.25">
      <c r="K4" s="228"/>
      <c r="L4" s="230"/>
      <c r="M4" s="230"/>
      <c r="N4" s="230"/>
      <c r="O4" s="230"/>
      <c r="P4" s="230"/>
      <c r="Q4" s="230"/>
      <c r="R4" s="233"/>
      <c r="S4" s="233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4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234"/>
      <c r="BW4" s="234"/>
      <c r="BX4" s="234"/>
      <c r="BY4" s="234"/>
      <c r="BZ4" s="234"/>
      <c r="CA4" s="234"/>
      <c r="CB4" s="234"/>
      <c r="CC4" s="234"/>
    </row>
    <row r="5" spans="1:194" ht="15" customHeight="1" x14ac:dyDescent="0.25"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234"/>
      <c r="BW5" s="234"/>
      <c r="BX5" s="234"/>
      <c r="BY5" s="234"/>
      <c r="BZ5" s="234"/>
      <c r="CA5" s="234"/>
      <c r="CB5" s="234"/>
      <c r="CC5" s="234"/>
    </row>
    <row r="6" spans="1:194" ht="15" customHeight="1" x14ac:dyDescent="0.25"/>
  </sheetData>
  <autoFilter ref="A3:CE3" xr:uid="{00000000-0009-0000-0000-000001000000}"/>
  <mergeCells count="34">
    <mergeCell ref="AD2:AE2"/>
    <mergeCell ref="R2:S2"/>
    <mergeCell ref="V2:W2"/>
    <mergeCell ref="X2:Y2"/>
    <mergeCell ref="Z2:AA2"/>
    <mergeCell ref="AB2:AC2"/>
    <mergeCell ref="T2:U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V1:CE1"/>
    <mergeCell ref="CD2:CE2"/>
    <mergeCell ref="BD2:BE2"/>
    <mergeCell ref="BF2:BG2"/>
    <mergeCell ref="BH2:BI2"/>
    <mergeCell ref="BJ2:BK2"/>
    <mergeCell ref="BL2:BM2"/>
    <mergeCell ref="BN2:BO2"/>
    <mergeCell ref="BV2:BW2"/>
    <mergeCell ref="BX2:BY2"/>
    <mergeCell ref="BZ2:CA2"/>
    <mergeCell ref="CB2:CC2"/>
    <mergeCell ref="BP2:BQ2"/>
    <mergeCell ref="BR2:BS2"/>
    <mergeCell ref="BT2:BU2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2"/>
  <sheetViews>
    <sheetView topLeftCell="A46" zoomScale="80" zoomScaleNormal="80" workbookViewId="0">
      <selection activeCell="K75" sqref="K75"/>
    </sheetView>
  </sheetViews>
  <sheetFormatPr defaultRowHeight="15" x14ac:dyDescent="0.25"/>
  <cols>
    <col min="1" max="1" width="70.5703125" style="251" bestFit="1" customWidth="1"/>
    <col min="2" max="4" width="16.7109375" style="185" customWidth="1"/>
    <col min="5" max="9" width="16.7109375" style="103" customWidth="1"/>
    <col min="10" max="16384" width="9.140625" style="251"/>
  </cols>
  <sheetData>
    <row r="1" spans="1:13" x14ac:dyDescent="0.25">
      <c r="A1" s="259" t="s">
        <v>2512</v>
      </c>
      <c r="B1" s="227" t="s">
        <v>2505</v>
      </c>
      <c r="C1" s="227" t="s">
        <v>2506</v>
      </c>
      <c r="D1" s="227" t="s">
        <v>2507</v>
      </c>
      <c r="E1" s="260" t="s">
        <v>2454</v>
      </c>
      <c r="F1" s="260" t="s">
        <v>2452</v>
      </c>
      <c r="G1" s="260" t="s">
        <v>2508</v>
      </c>
      <c r="H1" s="260" t="s">
        <v>2509</v>
      </c>
      <c r="I1" s="260" t="s">
        <v>2453</v>
      </c>
    </row>
    <row r="2" spans="1:13" ht="15" customHeight="1" x14ac:dyDescent="0.25">
      <c r="A2" s="348" t="s">
        <v>1880</v>
      </c>
      <c r="B2" s="270"/>
      <c r="C2" s="270"/>
      <c r="D2" s="270"/>
      <c r="E2" s="365"/>
      <c r="F2" s="263"/>
      <c r="G2" s="263"/>
      <c r="H2" s="263"/>
      <c r="I2" s="263"/>
      <c r="J2" s="185"/>
      <c r="K2" s="185"/>
      <c r="L2" s="185"/>
      <c r="M2" s="185"/>
    </row>
    <row r="3" spans="1:13" ht="15" customHeight="1" x14ac:dyDescent="0.25">
      <c r="A3" s="349" t="s">
        <v>2776</v>
      </c>
      <c r="B3" s="262"/>
      <c r="C3" s="262"/>
      <c r="D3" s="262"/>
      <c r="E3" s="264"/>
      <c r="F3" s="265"/>
      <c r="G3" s="265"/>
      <c r="H3" s="265"/>
      <c r="I3" s="265"/>
      <c r="J3" s="185"/>
      <c r="K3" s="185"/>
      <c r="L3" s="185"/>
      <c r="M3" s="185"/>
    </row>
    <row r="4" spans="1:13" ht="15" customHeight="1" x14ac:dyDescent="0.25">
      <c r="A4" s="349" t="s">
        <v>2777</v>
      </c>
      <c r="B4" s="262"/>
      <c r="C4" s="262"/>
      <c r="D4" s="262"/>
      <c r="E4" s="264"/>
      <c r="F4" s="265"/>
      <c r="G4" s="265"/>
      <c r="H4" s="265"/>
      <c r="I4" s="265"/>
      <c r="J4" s="185"/>
      <c r="K4" s="185"/>
      <c r="L4" s="185"/>
      <c r="M4" s="185"/>
    </row>
    <row r="5" spans="1:13" ht="15" customHeight="1" x14ac:dyDescent="0.25">
      <c r="A5" s="349" t="s">
        <v>2778</v>
      </c>
      <c r="B5" s="262"/>
      <c r="C5" s="262"/>
      <c r="D5" s="262"/>
      <c r="E5" s="264"/>
      <c r="F5" s="265"/>
      <c r="G5" s="265"/>
      <c r="H5" s="265"/>
      <c r="I5" s="265"/>
      <c r="J5" s="185"/>
      <c r="K5" s="185"/>
      <c r="L5" s="185"/>
      <c r="M5" s="185"/>
    </row>
    <row r="6" spans="1:13" ht="15" customHeight="1" x14ac:dyDescent="0.25">
      <c r="A6" s="349" t="s">
        <v>2785</v>
      </c>
      <c r="B6" s="262"/>
      <c r="C6" s="262"/>
      <c r="D6" s="262"/>
      <c r="E6" s="264"/>
      <c r="F6" s="265"/>
      <c r="G6" s="265"/>
      <c r="H6" s="265"/>
      <c r="I6" s="265"/>
      <c r="J6" s="185"/>
      <c r="K6" s="185"/>
      <c r="L6" s="185"/>
      <c r="M6" s="185"/>
    </row>
    <row r="7" spans="1:13" ht="15" customHeight="1" x14ac:dyDescent="0.25">
      <c r="A7" s="349" t="s">
        <v>1801</v>
      </c>
      <c r="B7" s="262"/>
      <c r="C7" s="262"/>
      <c r="D7" s="262"/>
      <c r="E7" s="264"/>
      <c r="F7" s="265"/>
      <c r="G7" s="265"/>
      <c r="H7" s="265"/>
      <c r="I7" s="265"/>
      <c r="J7" s="185"/>
      <c r="K7" s="185"/>
      <c r="L7" s="185"/>
      <c r="M7" s="185"/>
    </row>
    <row r="8" spans="1:13" s="359" customFormat="1" ht="15" customHeight="1" x14ac:dyDescent="0.25">
      <c r="A8" s="363" t="s">
        <v>1906</v>
      </c>
      <c r="B8" s="364"/>
      <c r="C8" s="364"/>
      <c r="D8" s="364"/>
      <c r="E8" s="366"/>
      <c r="F8" s="367"/>
      <c r="G8" s="367"/>
      <c r="H8" s="367"/>
      <c r="I8" s="367"/>
      <c r="J8" s="185"/>
      <c r="K8" s="185"/>
      <c r="L8" s="185"/>
      <c r="M8" s="185"/>
    </row>
    <row r="9" spans="1:13" s="291" customFormat="1" ht="15" customHeight="1" x14ac:dyDescent="0.25">
      <c r="A9" s="350" t="s">
        <v>1573</v>
      </c>
      <c r="B9" s="262"/>
      <c r="C9" s="262"/>
      <c r="D9" s="262"/>
      <c r="E9" s="264"/>
      <c r="F9" s="265"/>
      <c r="G9" s="265"/>
      <c r="H9" s="265"/>
      <c r="I9" s="265"/>
      <c r="J9" s="185"/>
      <c r="K9" s="185"/>
      <c r="L9" s="185"/>
      <c r="M9" s="185"/>
    </row>
    <row r="10" spans="1:13" s="291" customFormat="1" ht="15" customHeight="1" x14ac:dyDescent="0.25">
      <c r="A10" s="350" t="s">
        <v>1896</v>
      </c>
      <c r="B10" s="262"/>
      <c r="C10" s="262"/>
      <c r="D10" s="262"/>
      <c r="E10" s="264"/>
      <c r="F10" s="265"/>
      <c r="G10" s="265"/>
      <c r="H10" s="265"/>
      <c r="I10" s="265"/>
      <c r="J10" s="185"/>
      <c r="K10" s="185"/>
      <c r="L10" s="185"/>
      <c r="M10" s="185"/>
    </row>
    <row r="11" spans="1:13" s="291" customFormat="1" ht="15" customHeight="1" x14ac:dyDescent="0.25">
      <c r="A11" s="351" t="s">
        <v>3165</v>
      </c>
      <c r="B11" s="262"/>
      <c r="C11" s="262"/>
      <c r="D11" s="262"/>
      <c r="E11" s="264"/>
      <c r="F11" s="265"/>
      <c r="G11" s="265"/>
      <c r="H11" s="265"/>
      <c r="I11" s="265"/>
      <c r="J11" s="185"/>
      <c r="K11" s="185"/>
      <c r="L11" s="185"/>
      <c r="M11" s="185"/>
    </row>
    <row r="12" spans="1:13" s="291" customFormat="1" ht="15" customHeight="1" x14ac:dyDescent="0.25">
      <c r="A12" s="351" t="s">
        <v>2450</v>
      </c>
      <c r="B12" s="262"/>
      <c r="C12" s="262"/>
      <c r="D12" s="262"/>
      <c r="E12" s="264"/>
      <c r="F12" s="265"/>
      <c r="G12" s="265"/>
      <c r="H12" s="265"/>
      <c r="I12" s="265"/>
      <c r="J12" s="185"/>
      <c r="K12" s="185"/>
      <c r="L12" s="185"/>
      <c r="M12" s="185"/>
    </row>
    <row r="13" spans="1:13" s="291" customFormat="1" ht="15" customHeight="1" x14ac:dyDescent="0.25">
      <c r="A13" s="351" t="s">
        <v>2448</v>
      </c>
      <c r="B13" s="262"/>
      <c r="C13" s="262"/>
      <c r="D13" s="262"/>
      <c r="E13" s="264"/>
      <c r="F13" s="265"/>
      <c r="G13" s="265"/>
      <c r="H13" s="265"/>
      <c r="I13" s="265"/>
      <c r="J13" s="185"/>
      <c r="K13" s="185"/>
      <c r="L13" s="185"/>
      <c r="M13" s="185"/>
    </row>
    <row r="14" spans="1:13" s="291" customFormat="1" ht="15" customHeight="1" x14ac:dyDescent="0.25">
      <c r="A14" s="352" t="s">
        <v>2449</v>
      </c>
      <c r="B14" s="271"/>
      <c r="C14" s="271"/>
      <c r="D14" s="271"/>
      <c r="E14" s="266"/>
      <c r="F14" s="267"/>
      <c r="G14" s="267"/>
      <c r="H14" s="267"/>
      <c r="I14" s="267"/>
      <c r="J14" s="185"/>
      <c r="K14" s="185"/>
      <c r="L14" s="185"/>
      <c r="M14" s="185"/>
    </row>
    <row r="15" spans="1:13" ht="15" customHeight="1" x14ac:dyDescent="0.25">
      <c r="A15" s="261"/>
      <c r="B15" s="262"/>
      <c r="C15" s="262"/>
      <c r="D15" s="262"/>
      <c r="E15" s="529" t="s">
        <v>2510</v>
      </c>
      <c r="F15" s="529"/>
      <c r="G15" s="529"/>
      <c r="H15" s="529"/>
      <c r="I15" s="529"/>
      <c r="J15" s="185"/>
      <c r="K15" s="185"/>
      <c r="L15" s="185"/>
      <c r="M15" s="185"/>
    </row>
    <row r="16" spans="1:13" ht="15" customHeight="1" x14ac:dyDescent="0.25">
      <c r="A16" s="257" t="s">
        <v>1880</v>
      </c>
      <c r="B16" s="227" t="s">
        <v>2505</v>
      </c>
      <c r="C16" s="227" t="s">
        <v>2506</v>
      </c>
      <c r="D16" s="227" t="s">
        <v>2507</v>
      </c>
      <c r="E16" s="258" t="s">
        <v>2454</v>
      </c>
      <c r="F16" s="258" t="s">
        <v>2452</v>
      </c>
      <c r="G16" s="258" t="s">
        <v>2508</v>
      </c>
      <c r="H16" s="258" t="s">
        <v>2509</v>
      </c>
      <c r="I16" s="258" t="s">
        <v>2453</v>
      </c>
      <c r="J16" s="185"/>
      <c r="K16" s="185"/>
      <c r="L16" s="185"/>
      <c r="M16" s="185"/>
    </row>
    <row r="17" spans="1:13" ht="15" customHeight="1" x14ac:dyDescent="0.25">
      <c r="A17" s="370" t="s">
        <v>1768</v>
      </c>
      <c r="B17" s="159"/>
      <c r="C17" s="159"/>
      <c r="D17" s="159"/>
      <c r="E17" s="265"/>
      <c r="F17" s="265"/>
      <c r="G17" s="265"/>
      <c r="H17" s="265"/>
      <c r="I17" s="265"/>
      <c r="J17" s="185"/>
      <c r="K17" s="185"/>
      <c r="L17" s="185"/>
      <c r="M17" s="185"/>
    </row>
    <row r="18" spans="1:13" s="274" customFormat="1" ht="15" customHeight="1" x14ac:dyDescent="0.25">
      <c r="A18" s="370" t="s">
        <v>2516</v>
      </c>
      <c r="B18" s="159"/>
      <c r="C18" s="159"/>
      <c r="D18" s="159"/>
      <c r="E18" s="265"/>
      <c r="F18" s="265"/>
      <c r="G18" s="265"/>
      <c r="H18" s="265"/>
      <c r="I18" s="265"/>
      <c r="J18" s="185"/>
      <c r="K18" s="185"/>
      <c r="L18" s="185"/>
      <c r="M18" s="185"/>
    </row>
    <row r="19" spans="1:13" ht="15" customHeight="1" x14ac:dyDescent="0.25">
      <c r="A19" s="372" t="s">
        <v>2523</v>
      </c>
      <c r="B19" s="378"/>
      <c r="C19" s="378"/>
      <c r="D19" s="378"/>
      <c r="E19" s="379"/>
      <c r="F19" s="379"/>
      <c r="G19" s="379"/>
      <c r="H19" s="379"/>
      <c r="I19" s="379"/>
      <c r="J19" s="185"/>
      <c r="K19" s="185"/>
      <c r="L19" s="185"/>
      <c r="M19" s="185"/>
    </row>
    <row r="20" spans="1:13" ht="15" customHeight="1" x14ac:dyDescent="0.25">
      <c r="A20" s="370" t="s">
        <v>1776</v>
      </c>
      <c r="B20" s="159"/>
      <c r="C20" s="159"/>
      <c r="D20" s="159"/>
      <c r="E20" s="265"/>
      <c r="F20" s="265"/>
      <c r="G20" s="265"/>
      <c r="H20" s="265"/>
      <c r="I20" s="265"/>
      <c r="J20" s="185"/>
      <c r="K20" s="185"/>
      <c r="L20" s="185"/>
      <c r="M20" s="185"/>
    </row>
    <row r="21" spans="1:13" ht="15" customHeight="1" x14ac:dyDescent="0.25">
      <c r="A21" s="370" t="s">
        <v>1777</v>
      </c>
      <c r="B21" s="159"/>
      <c r="C21" s="159"/>
      <c r="D21" s="159"/>
      <c r="E21" s="265"/>
      <c r="F21" s="265"/>
      <c r="G21" s="265"/>
      <c r="H21" s="265"/>
      <c r="I21" s="265"/>
      <c r="J21" s="185"/>
      <c r="K21" s="185"/>
      <c r="L21" s="185"/>
      <c r="M21" s="185"/>
    </row>
    <row r="22" spans="1:13" ht="15" customHeight="1" x14ac:dyDescent="0.25">
      <c r="A22" s="372" t="s">
        <v>1778</v>
      </c>
      <c r="B22" s="378"/>
      <c r="C22" s="378"/>
      <c r="D22" s="378"/>
      <c r="E22" s="379"/>
      <c r="F22" s="379"/>
      <c r="G22" s="379"/>
      <c r="H22" s="379"/>
      <c r="I22" s="379"/>
      <c r="J22" s="185"/>
      <c r="K22" s="185"/>
      <c r="L22" s="185"/>
      <c r="M22" s="185"/>
    </row>
    <row r="23" spans="1:13" ht="15" customHeight="1" x14ac:dyDescent="0.25">
      <c r="A23" s="370" t="s">
        <v>1779</v>
      </c>
      <c r="B23" s="159"/>
      <c r="C23" s="159"/>
      <c r="D23" s="159"/>
      <c r="E23" s="265"/>
      <c r="F23" s="265"/>
      <c r="G23" s="265"/>
      <c r="H23" s="265"/>
      <c r="I23" s="265"/>
      <c r="J23" s="185"/>
      <c r="K23" s="185"/>
      <c r="L23" s="185"/>
      <c r="M23" s="185"/>
    </row>
    <row r="24" spans="1:13" ht="15" customHeight="1" x14ac:dyDescent="0.25">
      <c r="A24" s="370" t="s">
        <v>1780</v>
      </c>
      <c r="B24" s="159"/>
      <c r="C24" s="159"/>
      <c r="D24" s="159"/>
      <c r="E24" s="265"/>
      <c r="F24" s="265"/>
      <c r="G24" s="265"/>
      <c r="H24" s="265"/>
      <c r="I24" s="265"/>
      <c r="J24" s="185"/>
      <c r="K24" s="185"/>
      <c r="L24" s="185"/>
      <c r="M24" s="185"/>
    </row>
    <row r="25" spans="1:13" ht="15" customHeight="1" x14ac:dyDescent="0.25">
      <c r="A25" s="372" t="s">
        <v>1781</v>
      </c>
      <c r="B25" s="378"/>
      <c r="C25" s="378"/>
      <c r="D25" s="378"/>
      <c r="E25" s="379"/>
      <c r="F25" s="379"/>
      <c r="G25" s="379"/>
      <c r="H25" s="379"/>
      <c r="I25" s="379"/>
      <c r="J25" s="185"/>
      <c r="K25" s="185"/>
      <c r="L25" s="185"/>
      <c r="M25" s="185"/>
    </row>
    <row r="26" spans="1:13" ht="15" customHeight="1" x14ac:dyDescent="0.25">
      <c r="A26" s="254" t="s">
        <v>1782</v>
      </c>
      <c r="B26" s="159"/>
      <c r="C26" s="159"/>
      <c r="D26" s="159"/>
      <c r="E26" s="265"/>
      <c r="F26" s="265"/>
      <c r="G26" s="265"/>
      <c r="H26" s="265"/>
      <c r="I26" s="265"/>
      <c r="J26" s="185"/>
      <c r="K26" s="185"/>
      <c r="L26" s="185"/>
      <c r="M26" s="185"/>
    </row>
    <row r="27" spans="1:13" ht="15" customHeight="1" x14ac:dyDescent="0.25">
      <c r="A27" s="254" t="s">
        <v>1783</v>
      </c>
      <c r="B27" s="159"/>
      <c r="C27" s="159"/>
      <c r="D27" s="159"/>
      <c r="E27" s="265"/>
      <c r="F27" s="265"/>
      <c r="G27" s="265"/>
      <c r="H27" s="265"/>
      <c r="I27" s="265"/>
      <c r="J27" s="185"/>
      <c r="K27" s="185"/>
      <c r="L27" s="185"/>
      <c r="M27" s="185"/>
    </row>
    <row r="28" spans="1:13" ht="15" customHeight="1" x14ac:dyDescent="0.25">
      <c r="A28" s="254" t="s">
        <v>1784</v>
      </c>
      <c r="B28" s="159"/>
      <c r="C28" s="159"/>
      <c r="D28" s="159"/>
      <c r="E28" s="265"/>
      <c r="F28" s="265"/>
      <c r="G28" s="265"/>
      <c r="H28" s="265"/>
      <c r="I28" s="265"/>
      <c r="J28" s="185"/>
      <c r="K28" s="185"/>
      <c r="L28" s="185"/>
      <c r="M28" s="185"/>
    </row>
    <row r="29" spans="1:13" ht="15" customHeight="1" x14ac:dyDescent="0.25">
      <c r="A29" s="380" t="s">
        <v>1803</v>
      </c>
      <c r="B29" s="381"/>
      <c r="C29" s="381"/>
      <c r="D29" s="381"/>
      <c r="E29" s="382"/>
      <c r="F29" s="382"/>
      <c r="G29" s="382"/>
      <c r="H29" s="382"/>
      <c r="I29" s="382"/>
      <c r="J29" s="185"/>
      <c r="K29" s="185"/>
      <c r="L29" s="185"/>
      <c r="M29" s="185"/>
    </row>
    <row r="30" spans="1:13" ht="15" customHeight="1" x14ac:dyDescent="0.25">
      <c r="A30" s="370" t="s">
        <v>1785</v>
      </c>
      <c r="B30" s="159"/>
      <c r="C30" s="159"/>
      <c r="D30" s="159"/>
      <c r="E30" s="265"/>
      <c r="F30" s="265"/>
      <c r="G30" s="265"/>
      <c r="H30" s="265"/>
      <c r="I30" s="265"/>
      <c r="J30" s="185"/>
      <c r="K30" s="185"/>
      <c r="L30" s="185"/>
      <c r="M30" s="185"/>
    </row>
    <row r="31" spans="1:13" ht="15" customHeight="1" x14ac:dyDescent="0.25">
      <c r="A31" s="370" t="s">
        <v>1786</v>
      </c>
      <c r="B31" s="159"/>
      <c r="C31" s="159"/>
      <c r="D31" s="159"/>
      <c r="E31" s="265"/>
      <c r="F31" s="265"/>
      <c r="G31" s="265"/>
      <c r="H31" s="265"/>
      <c r="I31" s="265"/>
      <c r="J31" s="185"/>
      <c r="K31" s="185"/>
      <c r="L31" s="185"/>
      <c r="M31" s="185"/>
    </row>
    <row r="32" spans="1:13" ht="15" customHeight="1" x14ac:dyDescent="0.25">
      <c r="A32" s="372" t="s">
        <v>1787</v>
      </c>
      <c r="B32" s="378"/>
      <c r="C32" s="378"/>
      <c r="D32" s="378"/>
      <c r="E32" s="379"/>
      <c r="F32" s="379"/>
      <c r="G32" s="379"/>
      <c r="H32" s="379"/>
      <c r="I32" s="379"/>
      <c r="J32" s="185"/>
      <c r="K32" s="185"/>
      <c r="L32" s="185"/>
      <c r="M32" s="185"/>
    </row>
    <row r="33" spans="1:13" ht="15" customHeight="1" x14ac:dyDescent="0.25">
      <c r="A33" s="370" t="s">
        <v>1789</v>
      </c>
      <c r="B33" s="159"/>
      <c r="C33" s="159"/>
      <c r="D33" s="159"/>
      <c r="E33" s="265"/>
      <c r="F33" s="265"/>
      <c r="G33" s="265"/>
      <c r="H33" s="265"/>
      <c r="I33" s="265"/>
      <c r="J33" s="185"/>
      <c r="K33" s="185"/>
      <c r="L33" s="185"/>
      <c r="M33" s="185"/>
    </row>
    <row r="34" spans="1:13" ht="15" customHeight="1" x14ac:dyDescent="0.25">
      <c r="A34" s="370" t="s">
        <v>1790</v>
      </c>
      <c r="B34" s="159"/>
      <c r="C34" s="159"/>
      <c r="D34" s="159"/>
      <c r="E34" s="265"/>
      <c r="F34" s="265"/>
      <c r="G34" s="265"/>
      <c r="H34" s="265"/>
      <c r="I34" s="265"/>
      <c r="J34" s="185"/>
      <c r="K34" s="185"/>
      <c r="L34" s="185"/>
      <c r="M34" s="185"/>
    </row>
    <row r="35" spans="1:13" ht="15" customHeight="1" x14ac:dyDescent="0.25">
      <c r="A35" s="372" t="s">
        <v>1791</v>
      </c>
      <c r="B35" s="378"/>
      <c r="C35" s="378"/>
      <c r="D35" s="378"/>
      <c r="E35" s="379"/>
      <c r="F35" s="379"/>
      <c r="G35" s="379"/>
      <c r="H35" s="379"/>
      <c r="I35" s="379"/>
      <c r="J35" s="185"/>
      <c r="K35" s="185"/>
      <c r="L35" s="185"/>
      <c r="M35" s="185"/>
    </row>
    <row r="36" spans="1:13" ht="15" customHeight="1" x14ac:dyDescent="0.25">
      <c r="A36" s="370" t="s">
        <v>1788</v>
      </c>
      <c r="B36" s="159"/>
      <c r="C36" s="159"/>
      <c r="D36" s="159"/>
      <c r="E36" s="265"/>
      <c r="F36" s="265"/>
      <c r="G36" s="265"/>
      <c r="H36" s="265"/>
      <c r="I36" s="265"/>
      <c r="J36" s="185"/>
      <c r="K36" s="185"/>
      <c r="L36" s="185"/>
      <c r="M36" s="185"/>
    </row>
    <row r="37" spans="1:13" ht="15" customHeight="1" x14ac:dyDescent="0.25">
      <c r="A37" s="370" t="s">
        <v>1792</v>
      </c>
      <c r="B37" s="159"/>
      <c r="C37" s="159"/>
      <c r="D37" s="159"/>
      <c r="E37" s="265"/>
      <c r="F37" s="265"/>
      <c r="G37" s="265"/>
      <c r="H37" s="265"/>
      <c r="I37" s="265"/>
      <c r="J37" s="185"/>
      <c r="K37" s="185"/>
      <c r="L37" s="185"/>
      <c r="M37" s="185"/>
    </row>
    <row r="38" spans="1:13" ht="15" customHeight="1" x14ac:dyDescent="0.25">
      <c r="A38" s="372" t="s">
        <v>1793</v>
      </c>
      <c r="B38" s="378"/>
      <c r="C38" s="378"/>
      <c r="D38" s="378"/>
      <c r="E38" s="379"/>
      <c r="F38" s="379"/>
      <c r="G38" s="379"/>
      <c r="H38" s="379"/>
      <c r="I38" s="379"/>
      <c r="J38" s="185"/>
      <c r="K38" s="185"/>
      <c r="L38" s="185"/>
      <c r="M38" s="185"/>
    </row>
    <row r="39" spans="1:13" s="359" customFormat="1" ht="15" customHeight="1" x14ac:dyDescent="0.25">
      <c r="A39" s="370" t="s">
        <v>1794</v>
      </c>
      <c r="B39" s="159"/>
      <c r="C39" s="159"/>
      <c r="D39" s="159"/>
      <c r="E39" s="265"/>
      <c r="F39" s="265"/>
      <c r="G39" s="265"/>
      <c r="H39" s="265"/>
      <c r="I39" s="265"/>
      <c r="J39" s="185"/>
      <c r="K39" s="185"/>
      <c r="L39" s="185"/>
      <c r="M39" s="185"/>
    </row>
    <row r="40" spans="1:13" ht="15" customHeight="1" x14ac:dyDescent="0.25">
      <c r="A40" s="370" t="s">
        <v>1795</v>
      </c>
      <c r="B40" s="159"/>
      <c r="C40" s="159"/>
      <c r="D40" s="159"/>
      <c r="E40" s="265"/>
      <c r="F40" s="265"/>
      <c r="G40" s="265"/>
      <c r="H40" s="265"/>
      <c r="I40" s="265"/>
      <c r="J40" s="185"/>
      <c r="K40" s="185"/>
      <c r="L40" s="185"/>
      <c r="M40" s="185"/>
    </row>
    <row r="41" spans="1:13" s="359" customFormat="1" ht="15" customHeight="1" x14ac:dyDescent="0.25">
      <c r="A41" s="372" t="s">
        <v>1796</v>
      </c>
      <c r="B41" s="378"/>
      <c r="C41" s="378"/>
      <c r="D41" s="378"/>
      <c r="E41" s="379"/>
      <c r="F41" s="379"/>
      <c r="G41" s="379"/>
      <c r="H41" s="379"/>
      <c r="I41" s="379"/>
      <c r="J41" s="185"/>
      <c r="K41" s="185"/>
      <c r="L41" s="185"/>
      <c r="M41" s="185"/>
    </row>
    <row r="42" spans="1:13" ht="15" customHeight="1" x14ac:dyDescent="0.25">
      <c r="A42" s="254" t="s">
        <v>2825</v>
      </c>
      <c r="B42" s="159"/>
      <c r="C42" s="159"/>
      <c r="D42" s="159"/>
      <c r="E42" s="265"/>
      <c r="F42" s="265"/>
      <c r="G42" s="265"/>
      <c r="H42" s="265"/>
      <c r="I42" s="265"/>
      <c r="J42" s="185"/>
      <c r="K42" s="185"/>
      <c r="L42" s="185"/>
      <c r="M42" s="185"/>
    </row>
    <row r="43" spans="1:13" ht="15" customHeight="1" x14ac:dyDescent="0.25">
      <c r="A43" s="254" t="s">
        <v>2826</v>
      </c>
      <c r="B43" s="159"/>
      <c r="C43" s="159"/>
      <c r="D43" s="159"/>
      <c r="E43" s="265"/>
      <c r="F43" s="265"/>
      <c r="G43" s="265"/>
      <c r="H43" s="265"/>
      <c r="I43" s="265"/>
      <c r="J43" s="185"/>
      <c r="K43" s="185"/>
      <c r="L43" s="185"/>
      <c r="M43" s="185"/>
    </row>
    <row r="44" spans="1:13" s="368" customFormat="1" ht="15" customHeight="1" x14ac:dyDescent="0.25">
      <c r="A44" s="371" t="s">
        <v>2762</v>
      </c>
      <c r="B44" s="169"/>
      <c r="C44" s="169"/>
      <c r="D44" s="169"/>
      <c r="E44" s="367"/>
      <c r="F44" s="367"/>
      <c r="G44" s="367"/>
      <c r="H44" s="367"/>
      <c r="I44" s="367"/>
      <c r="J44" s="185"/>
      <c r="K44" s="185"/>
      <c r="L44" s="185"/>
      <c r="M44" s="185"/>
    </row>
    <row r="45" spans="1:13" ht="15" customHeight="1" x14ac:dyDescent="0.25">
      <c r="A45" s="254" t="s">
        <v>1797</v>
      </c>
      <c r="B45" s="159"/>
      <c r="C45" s="159"/>
      <c r="D45" s="159"/>
      <c r="E45" s="265"/>
      <c r="F45" s="265"/>
      <c r="G45" s="265"/>
      <c r="H45" s="265"/>
      <c r="I45" s="265"/>
      <c r="J45" s="185"/>
      <c r="K45" s="185"/>
      <c r="L45" s="185"/>
      <c r="M45" s="185"/>
    </row>
    <row r="46" spans="1:13" ht="15" customHeight="1" x14ac:dyDescent="0.25">
      <c r="A46" s="254" t="s">
        <v>1798</v>
      </c>
      <c r="B46" s="159"/>
      <c r="C46" s="159"/>
      <c r="D46" s="159"/>
      <c r="E46" s="265"/>
      <c r="F46" s="265"/>
      <c r="G46" s="265"/>
      <c r="H46" s="265"/>
      <c r="I46" s="265"/>
      <c r="J46" s="185"/>
      <c r="K46" s="185"/>
      <c r="L46" s="185"/>
      <c r="M46" s="185"/>
    </row>
    <row r="47" spans="1:13" ht="15" customHeight="1" x14ac:dyDescent="0.25">
      <c r="A47" s="254" t="s">
        <v>1800</v>
      </c>
      <c r="B47" s="159"/>
      <c r="C47" s="159"/>
      <c r="D47" s="159"/>
      <c r="E47" s="265"/>
      <c r="F47" s="265"/>
      <c r="G47" s="265"/>
      <c r="H47" s="265"/>
      <c r="I47" s="265"/>
      <c r="J47" s="185"/>
      <c r="K47" s="185"/>
      <c r="L47" s="185"/>
      <c r="M47" s="185"/>
    </row>
    <row r="48" spans="1:13" ht="15" customHeight="1" x14ac:dyDescent="0.25">
      <c r="A48" s="254" t="s">
        <v>1799</v>
      </c>
      <c r="B48" s="159"/>
      <c r="C48" s="159"/>
      <c r="D48" s="159"/>
      <c r="E48" s="265"/>
      <c r="F48" s="265"/>
      <c r="G48" s="265"/>
      <c r="H48" s="265"/>
      <c r="I48" s="265"/>
      <c r="J48" s="185"/>
      <c r="K48" s="185"/>
      <c r="L48" s="185"/>
      <c r="M48" s="185"/>
    </row>
    <row r="49" spans="1:13" ht="15" customHeight="1" x14ac:dyDescent="0.25">
      <c r="A49" s="371" t="s">
        <v>968</v>
      </c>
      <c r="B49" s="169"/>
      <c r="C49" s="169"/>
      <c r="D49" s="169"/>
      <c r="E49" s="367"/>
      <c r="F49" s="367"/>
      <c r="G49" s="367"/>
      <c r="H49" s="367"/>
      <c r="I49" s="367"/>
      <c r="J49" s="185"/>
      <c r="K49" s="185"/>
      <c r="L49" s="185"/>
      <c r="M49" s="185"/>
    </row>
    <row r="50" spans="1:13" s="256" customFormat="1" ht="15" customHeight="1" x14ac:dyDescent="0.25">
      <c r="A50" s="295"/>
      <c r="B50" s="270"/>
      <c r="C50" s="270"/>
      <c r="D50" s="270"/>
      <c r="E50" s="530" t="s">
        <v>2510</v>
      </c>
      <c r="F50" s="530"/>
      <c r="G50" s="530"/>
      <c r="H50" s="530"/>
      <c r="I50" s="530"/>
      <c r="J50" s="185"/>
      <c r="K50" s="185"/>
      <c r="L50" s="185"/>
      <c r="M50" s="185"/>
    </row>
    <row r="51" spans="1:13" s="256" customFormat="1" ht="15" customHeight="1" x14ac:dyDescent="0.25">
      <c r="A51" s="257" t="s">
        <v>2511</v>
      </c>
      <c r="B51" s="227" t="s">
        <v>2505</v>
      </c>
      <c r="C51" s="227" t="s">
        <v>2506</v>
      </c>
      <c r="D51" s="227" t="s">
        <v>2507</v>
      </c>
      <c r="E51" s="258" t="s">
        <v>2454</v>
      </c>
      <c r="F51" s="258" t="s">
        <v>2452</v>
      </c>
      <c r="G51" s="258" t="s">
        <v>2508</v>
      </c>
      <c r="H51" s="258" t="s">
        <v>2509</v>
      </c>
      <c r="I51" s="258" t="s">
        <v>2453</v>
      </c>
      <c r="J51" s="185"/>
      <c r="K51" s="185"/>
      <c r="L51" s="185"/>
      <c r="M51" s="185"/>
    </row>
    <row r="52" spans="1:13" ht="15" customHeight="1" x14ac:dyDescent="0.25">
      <c r="A52" s="269" t="s">
        <v>42</v>
      </c>
      <c r="B52" s="170"/>
      <c r="C52" s="170"/>
      <c r="D52" s="170"/>
      <c r="E52" s="263"/>
      <c r="F52" s="263"/>
      <c r="G52" s="263"/>
      <c r="H52" s="263"/>
      <c r="I52" s="263"/>
    </row>
    <row r="53" spans="1:13" ht="15" customHeight="1" x14ac:dyDescent="0.25">
      <c r="A53" s="255" t="s">
        <v>43</v>
      </c>
      <c r="B53" s="159"/>
      <c r="C53" s="159"/>
      <c r="D53" s="159"/>
      <c r="E53" s="265"/>
      <c r="F53" s="265"/>
      <c r="G53" s="265"/>
      <c r="H53" s="265"/>
      <c r="I53" s="265"/>
    </row>
    <row r="54" spans="1:13" ht="15" customHeight="1" x14ac:dyDescent="0.25">
      <c r="A54" s="255" t="s">
        <v>44</v>
      </c>
      <c r="B54" s="159"/>
      <c r="C54" s="159"/>
      <c r="D54" s="159"/>
      <c r="E54" s="265"/>
      <c r="F54" s="265"/>
      <c r="G54" s="265"/>
      <c r="H54" s="265"/>
      <c r="I54" s="265"/>
    </row>
    <row r="55" spans="1:13" ht="15" customHeight="1" x14ac:dyDescent="0.25">
      <c r="A55" s="255" t="s">
        <v>45</v>
      </c>
      <c r="B55" s="159"/>
      <c r="C55" s="159"/>
      <c r="D55" s="159"/>
      <c r="E55" s="265"/>
      <c r="F55" s="265"/>
      <c r="G55" s="265"/>
      <c r="H55" s="265"/>
      <c r="I55" s="265"/>
    </row>
    <row r="56" spans="1:13" ht="15" customHeight="1" x14ac:dyDescent="0.25">
      <c r="A56" s="255" t="s">
        <v>46</v>
      </c>
      <c r="B56" s="159"/>
      <c r="C56" s="159"/>
      <c r="D56" s="159"/>
      <c r="E56" s="265"/>
      <c r="F56" s="265"/>
      <c r="G56" s="265"/>
      <c r="H56" s="265"/>
      <c r="I56" s="265"/>
    </row>
    <row r="57" spans="1:13" ht="15" customHeight="1" x14ac:dyDescent="0.25">
      <c r="A57" s="255" t="s">
        <v>47</v>
      </c>
      <c r="B57" s="159"/>
      <c r="C57" s="159"/>
      <c r="D57" s="159"/>
      <c r="E57" s="265"/>
      <c r="F57" s="265"/>
      <c r="G57" s="265"/>
      <c r="H57" s="265"/>
      <c r="I57" s="265"/>
    </row>
    <row r="58" spans="1:13" ht="15" customHeight="1" x14ac:dyDescent="0.25">
      <c r="A58" s="255" t="s">
        <v>48</v>
      </c>
      <c r="B58" s="159"/>
      <c r="C58" s="159"/>
      <c r="D58" s="159"/>
      <c r="E58" s="265"/>
      <c r="F58" s="265"/>
      <c r="G58" s="265"/>
      <c r="H58" s="265"/>
      <c r="I58" s="265"/>
    </row>
    <row r="59" spans="1:13" ht="15" customHeight="1" x14ac:dyDescent="0.25">
      <c r="A59" s="255" t="s">
        <v>49</v>
      </c>
      <c r="B59" s="159"/>
      <c r="C59" s="159"/>
      <c r="D59" s="159"/>
      <c r="E59" s="265"/>
      <c r="F59" s="265"/>
      <c r="G59" s="265"/>
      <c r="H59" s="265"/>
      <c r="I59" s="265"/>
    </row>
    <row r="60" spans="1:13" ht="15" customHeight="1" x14ac:dyDescent="0.25">
      <c r="A60" s="255" t="s">
        <v>50</v>
      </c>
      <c r="B60" s="159"/>
      <c r="C60" s="159"/>
      <c r="D60" s="159"/>
      <c r="E60" s="265"/>
      <c r="F60" s="265"/>
      <c r="G60" s="265"/>
      <c r="H60" s="265"/>
      <c r="I60" s="265"/>
    </row>
    <row r="61" spans="1:13" ht="15" customHeight="1" x14ac:dyDescent="0.25">
      <c r="A61" s="255" t="s">
        <v>51</v>
      </c>
      <c r="B61" s="159"/>
      <c r="C61" s="159"/>
      <c r="D61" s="159"/>
      <c r="E61" s="265"/>
      <c r="F61" s="265"/>
      <c r="G61" s="265"/>
      <c r="H61" s="265"/>
      <c r="I61" s="265"/>
    </row>
    <row r="62" spans="1:13" x14ac:dyDescent="0.25">
      <c r="A62" s="255" t="s">
        <v>52</v>
      </c>
      <c r="B62" s="159"/>
      <c r="C62" s="159"/>
      <c r="D62" s="159"/>
      <c r="E62" s="265"/>
      <c r="F62" s="265"/>
      <c r="G62" s="265"/>
      <c r="H62" s="265"/>
      <c r="I62" s="265"/>
    </row>
    <row r="63" spans="1:13" x14ac:dyDescent="0.25">
      <c r="A63" s="255" t="s">
        <v>53</v>
      </c>
      <c r="B63" s="159"/>
      <c r="C63" s="159"/>
      <c r="D63" s="159"/>
      <c r="E63" s="265"/>
      <c r="F63" s="265"/>
      <c r="G63" s="265"/>
      <c r="H63" s="265"/>
      <c r="I63" s="265"/>
    </row>
    <row r="64" spans="1:13" x14ac:dyDescent="0.25">
      <c r="A64" s="255" t="s">
        <v>54</v>
      </c>
      <c r="B64" s="159"/>
      <c r="C64" s="159"/>
      <c r="D64" s="159"/>
      <c r="E64" s="265"/>
      <c r="F64" s="265"/>
      <c r="G64" s="265"/>
      <c r="H64" s="265"/>
      <c r="I64" s="265"/>
    </row>
    <row r="65" spans="1:13" x14ac:dyDescent="0.25">
      <c r="A65" s="255" t="s">
        <v>55</v>
      </c>
      <c r="B65" s="159"/>
      <c r="C65" s="159"/>
      <c r="D65" s="159"/>
      <c r="E65" s="265"/>
      <c r="F65" s="265"/>
      <c r="G65" s="265"/>
      <c r="H65" s="265"/>
      <c r="I65" s="265"/>
    </row>
    <row r="66" spans="1:13" x14ac:dyDescent="0.25">
      <c r="A66" s="255" t="s">
        <v>56</v>
      </c>
      <c r="B66" s="159"/>
      <c r="C66" s="159"/>
      <c r="D66" s="159"/>
      <c r="E66" s="265"/>
      <c r="F66" s="265"/>
      <c r="G66" s="265"/>
      <c r="H66" s="265"/>
      <c r="I66" s="265"/>
    </row>
    <row r="67" spans="1:13" x14ac:dyDescent="0.25">
      <c r="A67" s="255" t="s">
        <v>57</v>
      </c>
      <c r="B67" s="159"/>
      <c r="C67" s="159"/>
      <c r="D67" s="159"/>
      <c r="E67" s="265"/>
      <c r="F67" s="265"/>
      <c r="G67" s="265"/>
      <c r="H67" s="265"/>
      <c r="I67" s="265"/>
    </row>
    <row r="68" spans="1:13" x14ac:dyDescent="0.25">
      <c r="A68" s="255" t="s">
        <v>58</v>
      </c>
      <c r="B68" s="159"/>
      <c r="C68" s="159"/>
      <c r="D68" s="159"/>
      <c r="E68" s="265"/>
      <c r="F68" s="265"/>
      <c r="G68" s="265"/>
      <c r="H68" s="265"/>
      <c r="I68" s="265"/>
    </row>
    <row r="69" spans="1:13" x14ac:dyDescent="0.25">
      <c r="A69" s="255" t="s">
        <v>59</v>
      </c>
      <c r="B69" s="159"/>
      <c r="C69" s="159"/>
      <c r="D69" s="159"/>
      <c r="E69" s="265"/>
      <c r="F69" s="265"/>
      <c r="G69" s="265"/>
      <c r="H69" s="265"/>
      <c r="I69" s="265"/>
    </row>
    <row r="70" spans="1:13" x14ac:dyDescent="0.25">
      <c r="A70" s="255" t="s">
        <v>60</v>
      </c>
      <c r="B70" s="159"/>
      <c r="C70" s="159"/>
      <c r="D70" s="159"/>
      <c r="E70" s="265"/>
      <c r="F70" s="265"/>
      <c r="G70" s="265"/>
      <c r="H70" s="265"/>
      <c r="I70" s="265"/>
    </row>
    <row r="71" spans="1:13" x14ac:dyDescent="0.25">
      <c r="A71" s="255" t="s">
        <v>61</v>
      </c>
      <c r="B71" s="159"/>
      <c r="C71" s="159"/>
      <c r="D71" s="159"/>
      <c r="E71" s="265"/>
      <c r="F71" s="265"/>
      <c r="G71" s="265"/>
      <c r="H71" s="265"/>
      <c r="I71" s="265"/>
    </row>
    <row r="72" spans="1:13" x14ac:dyDescent="0.25">
      <c r="A72" s="255" t="s">
        <v>62</v>
      </c>
      <c r="B72" s="159"/>
      <c r="C72" s="159"/>
      <c r="D72" s="159"/>
      <c r="E72" s="265"/>
      <c r="F72" s="265"/>
      <c r="G72" s="265"/>
      <c r="H72" s="265"/>
      <c r="I72" s="265"/>
    </row>
    <row r="73" spans="1:13" x14ac:dyDescent="0.25">
      <c r="A73" s="255" t="s">
        <v>63</v>
      </c>
      <c r="B73" s="159"/>
      <c r="C73" s="159"/>
      <c r="D73" s="159"/>
      <c r="E73" s="265"/>
      <c r="F73" s="265"/>
      <c r="G73" s="265"/>
      <c r="H73" s="265"/>
      <c r="I73" s="265"/>
    </row>
    <row r="74" spans="1:13" x14ac:dyDescent="0.25">
      <c r="A74" s="268" t="s">
        <v>64</v>
      </c>
      <c r="B74" s="171"/>
      <c r="C74" s="171"/>
      <c r="D74" s="171"/>
      <c r="E74" s="267"/>
      <c r="F74" s="267"/>
      <c r="G74" s="267"/>
      <c r="H74" s="267"/>
      <c r="I74" s="267"/>
    </row>
    <row r="75" spans="1:13" s="359" customFormat="1" ht="15" customHeight="1" x14ac:dyDescent="0.25">
      <c r="A75" s="261"/>
      <c r="B75" s="262"/>
      <c r="C75" s="262"/>
      <c r="D75" s="262"/>
      <c r="E75" s="529" t="s">
        <v>2510</v>
      </c>
      <c r="F75" s="529"/>
      <c r="G75" s="529"/>
      <c r="H75" s="529"/>
      <c r="I75" s="529"/>
      <c r="J75" s="185"/>
      <c r="K75" s="185"/>
      <c r="L75" s="185"/>
      <c r="M75" s="185"/>
    </row>
    <row r="76" spans="1:13" s="359" customFormat="1" ht="15" customHeight="1" x14ac:dyDescent="0.25">
      <c r="A76" s="257" t="s">
        <v>2777</v>
      </c>
      <c r="B76" s="227" t="s">
        <v>2505</v>
      </c>
      <c r="C76" s="227" t="s">
        <v>2506</v>
      </c>
      <c r="D76" s="227" t="s">
        <v>2507</v>
      </c>
      <c r="E76" s="258" t="s">
        <v>2454</v>
      </c>
      <c r="F76" s="258" t="s">
        <v>2452</v>
      </c>
      <c r="G76" s="258" t="s">
        <v>2508</v>
      </c>
      <c r="H76" s="258" t="s">
        <v>2509</v>
      </c>
      <c r="I76" s="258" t="s">
        <v>2453</v>
      </c>
      <c r="J76" s="185"/>
      <c r="K76" s="185"/>
      <c r="L76" s="185"/>
      <c r="M76" s="185"/>
    </row>
    <row r="77" spans="1:13" s="359" customFormat="1" x14ac:dyDescent="0.25">
      <c r="A77" s="360" t="s">
        <v>3129</v>
      </c>
      <c r="B77" s="159"/>
      <c r="C77" s="159"/>
      <c r="D77" s="159"/>
      <c r="E77" s="265"/>
      <c r="F77" s="265"/>
      <c r="G77" s="265"/>
      <c r="H77" s="265"/>
      <c r="I77" s="265"/>
    </row>
    <row r="78" spans="1:13" s="359" customFormat="1" x14ac:dyDescent="0.25">
      <c r="A78" s="360" t="s">
        <v>3130</v>
      </c>
      <c r="B78" s="159"/>
      <c r="C78" s="159"/>
      <c r="D78" s="159"/>
      <c r="E78" s="265"/>
      <c r="F78" s="265"/>
      <c r="G78" s="265"/>
      <c r="H78" s="265"/>
      <c r="I78" s="265"/>
    </row>
    <row r="79" spans="1:13" s="359" customFormat="1" x14ac:dyDescent="0.25">
      <c r="A79" s="360" t="s">
        <v>3131</v>
      </c>
      <c r="B79" s="159"/>
      <c r="C79" s="159"/>
      <c r="D79" s="159"/>
      <c r="E79" s="265"/>
      <c r="F79" s="265"/>
      <c r="G79" s="265"/>
      <c r="H79" s="265"/>
      <c r="I79" s="265"/>
    </row>
    <row r="80" spans="1:13" s="359" customFormat="1" x14ac:dyDescent="0.25">
      <c r="A80" s="268" t="s">
        <v>3132</v>
      </c>
      <c r="B80" s="171"/>
      <c r="C80" s="171"/>
      <c r="D80" s="171"/>
      <c r="E80" s="267"/>
      <c r="F80" s="267"/>
      <c r="G80" s="267"/>
      <c r="H80" s="267"/>
      <c r="I80" s="267"/>
    </row>
    <row r="81" spans="1:9" x14ac:dyDescent="0.25">
      <c r="A81" s="531" t="s">
        <v>3251</v>
      </c>
      <c r="B81" s="531"/>
      <c r="C81" s="531"/>
      <c r="D81" s="531"/>
      <c r="E81" s="531"/>
      <c r="F81" s="531"/>
      <c r="G81" s="531"/>
      <c r="H81" s="531"/>
      <c r="I81" s="531"/>
    </row>
    <row r="82" spans="1:9" s="359" customFormat="1" x14ac:dyDescent="0.25">
      <c r="B82" s="185"/>
      <c r="C82" s="185"/>
      <c r="D82" s="185"/>
      <c r="E82" s="103"/>
      <c r="F82" s="103"/>
      <c r="G82" s="103"/>
      <c r="H82" s="103"/>
      <c r="I82" s="103"/>
    </row>
  </sheetData>
  <mergeCells count="4">
    <mergeCell ref="E15:I15"/>
    <mergeCell ref="E50:I50"/>
    <mergeCell ref="E75:I75"/>
    <mergeCell ref="A81:I81"/>
  </mergeCells>
  <conditionalFormatting sqref="A17:I17 A2:I14 A42:I43 A19:I40 A45:I49">
    <cfRule type="expression" dxfId="97" priority="13">
      <formula>MOD(ROW(),2)=1</formula>
    </cfRule>
    <cfRule type="expression" dxfId="96" priority="14">
      <formula>MOD(ROW(),2)=0</formula>
    </cfRule>
  </conditionalFormatting>
  <conditionalFormatting sqref="A52:I74">
    <cfRule type="expression" dxfId="95" priority="11">
      <formula>MOD(ROW(),2)=1</formula>
    </cfRule>
    <cfRule type="expression" dxfId="94" priority="12">
      <formula>MOD(ROW(),2)=0</formula>
    </cfRule>
  </conditionalFormatting>
  <conditionalFormatting sqref="A18:I18">
    <cfRule type="expression" dxfId="93" priority="9">
      <formula>MOD(ROW(),2)=1</formula>
    </cfRule>
    <cfRule type="expression" dxfId="92" priority="10">
      <formula>MOD(ROW(),2)=0</formula>
    </cfRule>
  </conditionalFormatting>
  <conditionalFormatting sqref="A77:I77">
    <cfRule type="expression" dxfId="91" priority="7">
      <formula>MOD(ROW(),2)=1</formula>
    </cfRule>
    <cfRule type="expression" dxfId="90" priority="8">
      <formula>MOD(ROW(),2)=0</formula>
    </cfRule>
  </conditionalFormatting>
  <conditionalFormatting sqref="A78:I80">
    <cfRule type="expression" dxfId="89" priority="5">
      <formula>MOD(ROW(),2)=1</formula>
    </cfRule>
    <cfRule type="expression" dxfId="88" priority="6">
      <formula>MOD(ROW(),2)=0</formula>
    </cfRule>
  </conditionalFormatting>
  <conditionalFormatting sqref="A41:I41">
    <cfRule type="expression" dxfId="87" priority="3">
      <formula>MOD(ROW(),2)=1</formula>
    </cfRule>
    <cfRule type="expression" dxfId="86" priority="4">
      <formula>MOD(ROW(),2)=0</formula>
    </cfRule>
  </conditionalFormatting>
  <conditionalFormatting sqref="A44:I44">
    <cfRule type="expression" dxfId="85" priority="1">
      <formula>MOD(ROW(),2)=1</formula>
    </cfRule>
    <cfRule type="expression" dxfId="84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46"/>
  <sheetViews>
    <sheetView topLeftCell="A21" zoomScale="80" zoomScaleNormal="80" zoomScalePageLayoutView="90" workbookViewId="0">
      <selection activeCell="E57" sqref="E57"/>
    </sheetView>
  </sheetViews>
  <sheetFormatPr defaultColWidth="8.85546875" defaultRowHeight="15" x14ac:dyDescent="0.25"/>
  <cols>
    <col min="1" max="2" width="10.7109375" style="143" customWidth="1"/>
    <col min="3" max="3" width="45.7109375" style="143" customWidth="1"/>
    <col min="4" max="4" width="13.7109375" style="143" customWidth="1"/>
    <col min="5" max="5" width="13.7109375" style="103" customWidth="1"/>
    <col min="6" max="6" width="13.7109375" style="143" customWidth="1"/>
    <col min="7" max="7" width="13.7109375" style="103" customWidth="1"/>
    <col min="8" max="8" width="13.7109375" style="143" customWidth="1"/>
    <col min="9" max="9" width="13.7109375" style="103" customWidth="1"/>
    <col min="10" max="10" width="13.7109375" style="143" customWidth="1"/>
    <col min="11" max="11" width="13.7109375" style="103" customWidth="1"/>
    <col min="12" max="16" width="10.7109375" style="143" customWidth="1"/>
    <col min="17" max="16384" width="8.85546875" style="143"/>
  </cols>
  <sheetData>
    <row r="1" spans="1:11" x14ac:dyDescent="0.25">
      <c r="A1" s="132"/>
      <c r="B1" s="132"/>
      <c r="C1" s="132"/>
    </row>
    <row r="3" spans="1:11" x14ac:dyDescent="0.25">
      <c r="A3" s="460" t="s">
        <v>1860</v>
      </c>
      <c r="B3" s="461"/>
      <c r="C3" s="461"/>
      <c r="D3" s="461"/>
      <c r="E3" s="461"/>
      <c r="F3" s="461"/>
      <c r="G3" s="461"/>
      <c r="H3" s="461"/>
      <c r="I3" s="461"/>
      <c r="J3" s="461"/>
      <c r="K3" s="462"/>
    </row>
    <row r="4" spans="1:11" x14ac:dyDescent="0.25">
      <c r="A4" s="127" t="s">
        <v>1861</v>
      </c>
      <c r="B4" s="502"/>
      <c r="C4" s="502"/>
      <c r="D4" s="502"/>
      <c r="E4" s="191" t="s">
        <v>2411</v>
      </c>
      <c r="F4" s="503"/>
      <c r="G4" s="503"/>
      <c r="H4" s="503"/>
      <c r="I4" s="131" t="s">
        <v>1881</v>
      </c>
      <c r="J4" s="504"/>
      <c r="K4" s="505"/>
    </row>
    <row r="5" spans="1:11" x14ac:dyDescent="0.25">
      <c r="A5" s="128" t="s">
        <v>1862</v>
      </c>
      <c r="B5" s="506"/>
      <c r="C5" s="506"/>
      <c r="D5" s="506"/>
      <c r="E5" s="192" t="s">
        <v>2412</v>
      </c>
      <c r="F5" s="507"/>
      <c r="G5" s="507"/>
      <c r="H5" s="507"/>
      <c r="I5" s="195" t="s">
        <v>1881</v>
      </c>
      <c r="J5" s="508"/>
      <c r="K5" s="509"/>
    </row>
    <row r="6" spans="1:11" x14ac:dyDescent="0.25">
      <c r="A6" s="127" t="s">
        <v>1863</v>
      </c>
      <c r="B6" s="495"/>
      <c r="C6" s="495"/>
      <c r="D6" s="495"/>
      <c r="E6" s="193" t="s">
        <v>2413</v>
      </c>
      <c r="F6" s="496"/>
      <c r="G6" s="496"/>
      <c r="H6" s="496"/>
      <c r="I6" s="131" t="s">
        <v>1881</v>
      </c>
      <c r="J6" s="497"/>
      <c r="K6" s="498"/>
    </row>
    <row r="7" spans="1:11" x14ac:dyDescent="0.25">
      <c r="A7" s="124" t="s">
        <v>1864</v>
      </c>
      <c r="B7" s="499"/>
      <c r="C7" s="499"/>
      <c r="D7" s="499"/>
      <c r="E7" s="194" t="s">
        <v>2414</v>
      </c>
      <c r="F7" s="500"/>
      <c r="G7" s="500"/>
      <c r="H7" s="500"/>
      <c r="I7" s="123"/>
      <c r="J7" s="500"/>
      <c r="K7" s="501"/>
    </row>
    <row r="8" spans="1:11" x14ac:dyDescent="0.25">
      <c r="A8" s="494"/>
      <c r="B8" s="494"/>
      <c r="C8" s="494"/>
    </row>
    <row r="9" spans="1:11" x14ac:dyDescent="0.25">
      <c r="G9" s="143"/>
      <c r="I9" s="143"/>
      <c r="K9" s="143"/>
    </row>
    <row r="10" spans="1:11" x14ac:dyDescent="0.25">
      <c r="G10" s="143"/>
      <c r="I10" s="143"/>
      <c r="K10" s="143"/>
    </row>
    <row r="11" spans="1:11" x14ac:dyDescent="0.25">
      <c r="G11" s="143"/>
      <c r="I11" s="143"/>
      <c r="K11" s="143"/>
    </row>
    <row r="12" spans="1:11" x14ac:dyDescent="0.25">
      <c r="G12" s="143"/>
      <c r="I12" s="143"/>
      <c r="K12" s="143"/>
    </row>
    <row r="13" spans="1:11" x14ac:dyDescent="0.25">
      <c r="G13" s="143"/>
      <c r="I13" s="143"/>
      <c r="K13" s="143"/>
    </row>
    <row r="14" spans="1:11" x14ac:dyDescent="0.25">
      <c r="G14" s="143"/>
      <c r="I14" s="143"/>
      <c r="K14" s="143"/>
    </row>
    <row r="15" spans="1:11" x14ac:dyDescent="0.25">
      <c r="G15" s="143"/>
      <c r="I15" s="143"/>
      <c r="K15" s="143"/>
    </row>
    <row r="16" spans="1:11" x14ac:dyDescent="0.25">
      <c r="G16" s="143"/>
      <c r="I16" s="143"/>
      <c r="K16" s="143"/>
    </row>
    <row r="17" spans="7:11" x14ac:dyDescent="0.25">
      <c r="G17" s="143"/>
      <c r="I17" s="143"/>
      <c r="K17" s="143"/>
    </row>
    <row r="18" spans="7:11" x14ac:dyDescent="0.25">
      <c r="G18" s="143"/>
      <c r="I18" s="143"/>
      <c r="K18" s="143"/>
    </row>
    <row r="19" spans="7:11" x14ac:dyDescent="0.25">
      <c r="G19" s="143"/>
      <c r="I19" s="143"/>
      <c r="K19" s="143"/>
    </row>
    <row r="20" spans="7:11" x14ac:dyDescent="0.25">
      <c r="G20" s="143"/>
      <c r="I20" s="143"/>
      <c r="K20" s="143"/>
    </row>
    <row r="21" spans="7:11" x14ac:dyDescent="0.25">
      <c r="G21" s="143"/>
      <c r="I21" s="143"/>
      <c r="K21" s="143"/>
    </row>
    <row r="22" spans="7:11" x14ac:dyDescent="0.25">
      <c r="G22" s="143"/>
      <c r="I22" s="143"/>
      <c r="K22" s="143"/>
    </row>
    <row r="23" spans="7:11" x14ac:dyDescent="0.25">
      <c r="G23" s="143"/>
      <c r="I23" s="143"/>
      <c r="K23" s="143"/>
    </row>
    <row r="24" spans="7:11" x14ac:dyDescent="0.25">
      <c r="G24" s="143"/>
      <c r="I24" s="143"/>
      <c r="K24" s="143"/>
    </row>
    <row r="25" spans="7:11" x14ac:dyDescent="0.25">
      <c r="G25" s="143"/>
      <c r="I25" s="143"/>
      <c r="K25" s="143"/>
    </row>
    <row r="26" spans="7:11" x14ac:dyDescent="0.25">
      <c r="G26" s="143"/>
      <c r="I26" s="143"/>
      <c r="K26" s="143"/>
    </row>
    <row r="27" spans="7:11" x14ac:dyDescent="0.25">
      <c r="G27" s="143"/>
      <c r="I27" s="143"/>
      <c r="K27" s="143"/>
    </row>
    <row r="28" spans="7:11" x14ac:dyDescent="0.25">
      <c r="G28" s="143"/>
      <c r="I28" s="143"/>
      <c r="K28" s="143"/>
    </row>
    <row r="29" spans="7:11" x14ac:dyDescent="0.25">
      <c r="G29" s="143"/>
      <c r="I29" s="143"/>
      <c r="K29" s="143"/>
    </row>
    <row r="30" spans="7:11" x14ac:dyDescent="0.25">
      <c r="G30" s="143"/>
      <c r="I30" s="143"/>
      <c r="K30" s="143"/>
    </row>
    <row r="31" spans="7:11" x14ac:dyDescent="0.25">
      <c r="G31" s="143"/>
      <c r="I31" s="143"/>
      <c r="K31" s="143"/>
    </row>
    <row r="32" spans="7:11" x14ac:dyDescent="0.25">
      <c r="G32" s="143"/>
      <c r="I32" s="143"/>
      <c r="K32" s="143"/>
    </row>
    <row r="33" spans="2:14" x14ac:dyDescent="0.25">
      <c r="G33" s="143"/>
      <c r="I33" s="143"/>
      <c r="K33" s="143"/>
    </row>
    <row r="34" spans="2:14" x14ac:dyDescent="0.25">
      <c r="E34" s="143"/>
      <c r="G34" s="143"/>
      <c r="I34" s="143"/>
      <c r="K34" s="143"/>
    </row>
    <row r="35" spans="2:14" x14ac:dyDescent="0.25">
      <c r="E35" s="143"/>
      <c r="G35" s="143"/>
      <c r="I35" s="143"/>
      <c r="K35" s="143"/>
    </row>
    <row r="36" spans="2:14" x14ac:dyDescent="0.25">
      <c r="E36" s="143"/>
      <c r="G36" s="143"/>
      <c r="I36" s="143"/>
      <c r="K36" s="143"/>
      <c r="L36" s="138"/>
      <c r="M36" s="138"/>
      <c r="N36" s="138"/>
    </row>
    <row r="37" spans="2:14" x14ac:dyDescent="0.25">
      <c r="E37" s="113"/>
      <c r="F37" s="113"/>
      <c r="G37" s="113"/>
      <c r="H37" s="113"/>
      <c r="I37" s="143"/>
      <c r="K37" s="143"/>
    </row>
    <row r="38" spans="2:14" x14ac:dyDescent="0.25">
      <c r="B38" s="491"/>
      <c r="C38" s="491"/>
      <c r="D38" s="491"/>
      <c r="E38" s="207" t="s">
        <v>3256</v>
      </c>
      <c r="F38" s="208" t="s">
        <v>1878</v>
      </c>
      <c r="G38" s="133" t="s">
        <v>1877</v>
      </c>
      <c r="H38" s="133" t="s">
        <v>1876</v>
      </c>
      <c r="I38" s="209" t="s">
        <v>1875</v>
      </c>
      <c r="J38" s="134" t="s">
        <v>3257</v>
      </c>
      <c r="K38" s="143"/>
    </row>
    <row r="39" spans="2:14" x14ac:dyDescent="0.25">
      <c r="B39" s="451"/>
      <c r="C39" s="452"/>
      <c r="D39" s="452"/>
      <c r="E39" s="159"/>
      <c r="F39" s="120"/>
      <c r="G39" s="120"/>
      <c r="H39" s="120"/>
      <c r="I39" s="120"/>
      <c r="J39" s="159"/>
      <c r="K39" s="143"/>
    </row>
    <row r="40" spans="2:14" x14ac:dyDescent="0.25">
      <c r="B40" s="451"/>
      <c r="C40" s="452"/>
      <c r="D40" s="452"/>
      <c r="E40" s="159"/>
      <c r="F40" s="120"/>
      <c r="G40" s="120"/>
      <c r="H40" s="120"/>
      <c r="I40" s="120"/>
      <c r="J40" s="122"/>
      <c r="K40" s="143"/>
    </row>
    <row r="41" spans="2:14" x14ac:dyDescent="0.25">
      <c r="B41" s="451"/>
      <c r="C41" s="452"/>
      <c r="D41" s="452"/>
      <c r="E41" s="159"/>
      <c r="F41" s="120"/>
      <c r="G41" s="120"/>
      <c r="H41" s="120"/>
      <c r="I41" s="120"/>
      <c r="J41" s="122"/>
      <c r="K41" s="138"/>
    </row>
    <row r="42" spans="2:14" x14ac:dyDescent="0.25">
      <c r="B42" s="451"/>
      <c r="C42" s="452"/>
      <c r="D42" s="452"/>
      <c r="E42" s="159"/>
      <c r="F42" s="120"/>
      <c r="G42" s="120"/>
      <c r="H42" s="120"/>
      <c r="I42" s="120"/>
      <c r="J42" s="122"/>
      <c r="K42" s="143"/>
    </row>
    <row r="43" spans="2:14" x14ac:dyDescent="0.25">
      <c r="B43" s="451"/>
      <c r="C43" s="452"/>
      <c r="D43" s="452"/>
      <c r="E43" s="159"/>
      <c r="F43" s="120"/>
      <c r="G43" s="120"/>
      <c r="H43" s="120"/>
      <c r="I43" s="120"/>
      <c r="J43" s="122"/>
      <c r="K43" s="143"/>
    </row>
    <row r="44" spans="2:14" x14ac:dyDescent="0.25">
      <c r="B44" s="451"/>
      <c r="C44" s="452"/>
      <c r="D44" s="452"/>
      <c r="E44" s="159"/>
      <c r="F44" s="120"/>
      <c r="G44" s="120"/>
      <c r="H44" s="120"/>
      <c r="I44" s="120"/>
      <c r="J44" s="122"/>
      <c r="K44" s="143"/>
    </row>
    <row r="45" spans="2:14" x14ac:dyDescent="0.25">
      <c r="B45" s="451"/>
      <c r="C45" s="452"/>
      <c r="D45" s="452"/>
      <c r="E45" s="159"/>
      <c r="F45" s="120"/>
      <c r="G45" s="120"/>
      <c r="H45" s="120"/>
      <c r="I45" s="120"/>
      <c r="J45" s="122"/>
      <c r="K45" s="143"/>
    </row>
    <row r="46" spans="2:14" s="274" customFormat="1" x14ac:dyDescent="0.25">
      <c r="B46" s="272"/>
      <c r="C46" s="273"/>
      <c r="D46" s="273"/>
      <c r="E46" s="159"/>
      <c r="F46" s="120"/>
      <c r="G46" s="120"/>
      <c r="H46" s="120"/>
      <c r="I46" s="120"/>
      <c r="J46" s="122"/>
    </row>
    <row r="47" spans="2:14" x14ac:dyDescent="0.25">
      <c r="B47" s="451"/>
      <c r="C47" s="452"/>
      <c r="D47" s="452"/>
      <c r="E47" s="159"/>
      <c r="F47" s="120"/>
      <c r="G47" s="120"/>
      <c r="H47" s="120"/>
      <c r="I47" s="120"/>
      <c r="J47" s="122"/>
      <c r="K47" s="143"/>
    </row>
    <row r="48" spans="2:14" x14ac:dyDescent="0.25">
      <c r="B48" s="451"/>
      <c r="C48" s="452"/>
      <c r="D48" s="452"/>
      <c r="E48" s="159"/>
      <c r="F48" s="120"/>
      <c r="G48" s="120"/>
      <c r="H48" s="120"/>
      <c r="I48" s="120"/>
      <c r="J48" s="122"/>
      <c r="K48" s="143"/>
    </row>
    <row r="49" spans="2:11" x14ac:dyDescent="0.25">
      <c r="B49" s="451"/>
      <c r="C49" s="452"/>
      <c r="D49" s="452"/>
      <c r="E49" s="159"/>
      <c r="F49" s="120"/>
      <c r="G49" s="120"/>
      <c r="H49" s="120"/>
      <c r="I49" s="120"/>
      <c r="J49" s="122"/>
      <c r="K49" s="143"/>
    </row>
    <row r="50" spans="2:11" x14ac:dyDescent="0.25">
      <c r="B50" s="451"/>
      <c r="C50" s="452"/>
      <c r="D50" s="452"/>
      <c r="E50" s="159"/>
      <c r="F50" s="120"/>
      <c r="G50" s="120"/>
      <c r="H50" s="120"/>
      <c r="I50" s="120"/>
      <c r="J50" s="122"/>
      <c r="K50" s="143"/>
    </row>
    <row r="51" spans="2:11" x14ac:dyDescent="0.25">
      <c r="B51" s="451"/>
      <c r="C51" s="452"/>
      <c r="D51" s="452"/>
      <c r="E51" s="159"/>
      <c r="F51" s="120"/>
      <c r="G51" s="120"/>
      <c r="H51" s="120"/>
      <c r="I51" s="120"/>
      <c r="J51" s="122"/>
      <c r="K51" s="143"/>
    </row>
    <row r="52" spans="2:11" x14ac:dyDescent="0.25">
      <c r="B52" s="451"/>
      <c r="C52" s="452"/>
      <c r="D52" s="452"/>
      <c r="E52" s="159"/>
      <c r="F52" s="120"/>
      <c r="G52" s="120"/>
      <c r="H52" s="120"/>
      <c r="I52" s="120"/>
      <c r="J52" s="122"/>
      <c r="K52" s="143"/>
    </row>
    <row r="53" spans="2:11" x14ac:dyDescent="0.25">
      <c r="B53" s="451"/>
      <c r="C53" s="452"/>
      <c r="D53" s="452"/>
      <c r="E53" s="159"/>
      <c r="F53" s="120"/>
      <c r="G53" s="120"/>
      <c r="H53" s="120"/>
      <c r="I53" s="120"/>
      <c r="J53" s="122"/>
      <c r="K53" s="143"/>
    </row>
    <row r="54" spans="2:11" x14ac:dyDescent="0.25">
      <c r="B54" s="492"/>
      <c r="C54" s="493"/>
      <c r="D54" s="493"/>
      <c r="E54" s="171"/>
      <c r="F54" s="120"/>
      <c r="G54" s="120"/>
      <c r="H54" s="120"/>
      <c r="I54" s="120"/>
      <c r="J54" s="159"/>
      <c r="K54" s="143"/>
    </row>
    <row r="55" spans="2:11" x14ac:dyDescent="0.25">
      <c r="B55" s="473"/>
      <c r="C55" s="474"/>
      <c r="D55" s="474"/>
      <c r="E55" s="169"/>
      <c r="F55" s="210"/>
      <c r="G55" s="211"/>
      <c r="H55" s="211"/>
      <c r="I55" s="212"/>
      <c r="J55" s="169"/>
      <c r="K55" s="143"/>
    </row>
    <row r="56" spans="2:11" x14ac:dyDescent="0.25">
      <c r="B56" s="202"/>
      <c r="C56" s="203"/>
      <c r="D56" s="203"/>
      <c r="E56" s="205"/>
      <c r="F56" s="205"/>
      <c r="G56" s="205"/>
      <c r="H56" s="205"/>
      <c r="I56" s="205"/>
      <c r="J56" s="206"/>
      <c r="K56" s="143"/>
    </row>
    <row r="57" spans="2:11" x14ac:dyDescent="0.25">
      <c r="B57" s="491"/>
      <c r="C57" s="491"/>
      <c r="D57" s="491"/>
      <c r="E57" s="383" t="s">
        <v>3256</v>
      </c>
      <c r="F57" s="208" t="s">
        <v>1878</v>
      </c>
      <c r="G57" s="133" t="s">
        <v>1877</v>
      </c>
      <c r="H57" s="133" t="s">
        <v>1876</v>
      </c>
      <c r="I57" s="209" t="s">
        <v>1875</v>
      </c>
      <c r="J57" s="134" t="s">
        <v>3257</v>
      </c>
      <c r="K57" s="143"/>
    </row>
    <row r="58" spans="2:11" x14ac:dyDescent="0.25">
      <c r="B58" s="448"/>
      <c r="C58" s="449"/>
      <c r="D58" s="450"/>
      <c r="E58" s="122"/>
      <c r="F58" s="120"/>
      <c r="G58" s="120"/>
      <c r="H58" s="120"/>
      <c r="I58" s="120"/>
      <c r="J58" s="122"/>
      <c r="K58" s="143"/>
    </row>
    <row r="59" spans="2:11" x14ac:dyDescent="0.25">
      <c r="B59" s="448"/>
      <c r="C59" s="449"/>
      <c r="D59" s="450"/>
      <c r="E59" s="122"/>
      <c r="F59" s="120"/>
      <c r="G59" s="120"/>
      <c r="H59" s="120"/>
      <c r="I59" s="120"/>
      <c r="J59" s="122"/>
      <c r="K59" s="143"/>
    </row>
    <row r="60" spans="2:11" x14ac:dyDescent="0.25">
      <c r="B60" s="448"/>
      <c r="C60" s="449"/>
      <c r="D60" s="450"/>
      <c r="E60" s="122"/>
      <c r="F60" s="120"/>
      <c r="G60" s="120"/>
      <c r="H60" s="120"/>
      <c r="I60" s="120"/>
      <c r="J60" s="122"/>
      <c r="K60" s="118"/>
    </row>
    <row r="61" spans="2:11" x14ac:dyDescent="0.25">
      <c r="B61" s="448"/>
      <c r="C61" s="449"/>
      <c r="D61" s="450"/>
      <c r="E61" s="122"/>
      <c r="F61" s="120"/>
      <c r="G61" s="120"/>
      <c r="H61" s="120"/>
      <c r="I61" s="120"/>
      <c r="J61" s="122"/>
      <c r="K61" s="118"/>
    </row>
    <row r="62" spans="2:11" x14ac:dyDescent="0.25">
      <c r="B62" s="448"/>
      <c r="C62" s="449"/>
      <c r="D62" s="450"/>
      <c r="E62" s="122"/>
      <c r="F62" s="120"/>
      <c r="G62" s="120"/>
      <c r="H62" s="120"/>
      <c r="I62" s="120"/>
      <c r="J62" s="122"/>
      <c r="K62" s="118"/>
    </row>
    <row r="63" spans="2:11" x14ac:dyDescent="0.25">
      <c r="B63" s="448"/>
      <c r="C63" s="449"/>
      <c r="D63" s="450"/>
      <c r="E63" s="122"/>
      <c r="F63" s="120"/>
      <c r="G63" s="120"/>
      <c r="H63" s="120"/>
      <c r="I63" s="120"/>
      <c r="J63" s="122"/>
      <c r="K63" s="118"/>
    </row>
    <row r="64" spans="2:11" x14ac:dyDescent="0.25">
      <c r="B64" s="448"/>
      <c r="C64" s="449"/>
      <c r="D64" s="450"/>
      <c r="E64" s="122"/>
      <c r="F64" s="120"/>
      <c r="G64" s="120"/>
      <c r="H64" s="120"/>
      <c r="I64" s="120"/>
      <c r="J64" s="122"/>
      <c r="K64" s="118"/>
    </row>
    <row r="65" spans="2:11" x14ac:dyDescent="0.25">
      <c r="B65" s="448"/>
      <c r="C65" s="449"/>
      <c r="D65" s="450"/>
      <c r="E65" s="122"/>
      <c r="F65" s="120"/>
      <c r="G65" s="120"/>
      <c r="H65" s="120"/>
      <c r="I65" s="120"/>
      <c r="J65" s="122"/>
      <c r="K65" s="118"/>
    </row>
    <row r="66" spans="2:11" x14ac:dyDescent="0.25">
      <c r="B66" s="448"/>
      <c r="C66" s="449"/>
      <c r="D66" s="450"/>
      <c r="E66" s="122"/>
      <c r="F66" s="120"/>
      <c r="G66" s="120"/>
      <c r="H66" s="120"/>
      <c r="I66" s="120"/>
      <c r="J66" s="122"/>
      <c r="K66" s="118"/>
    </row>
    <row r="67" spans="2:11" x14ac:dyDescent="0.25">
      <c r="B67" s="448"/>
      <c r="C67" s="449"/>
      <c r="D67" s="450"/>
      <c r="E67" s="122"/>
      <c r="F67" s="120"/>
      <c r="G67" s="120"/>
      <c r="H67" s="120"/>
      <c r="I67" s="120"/>
      <c r="J67" s="122"/>
      <c r="K67" s="118"/>
    </row>
    <row r="68" spans="2:11" x14ac:dyDescent="0.25">
      <c r="B68" s="448"/>
      <c r="C68" s="449"/>
      <c r="D68" s="450"/>
      <c r="E68" s="122"/>
      <c r="F68" s="120"/>
      <c r="G68" s="120"/>
      <c r="H68" s="120"/>
      <c r="I68" s="120"/>
      <c r="J68" s="122"/>
      <c r="K68" s="118"/>
    </row>
    <row r="69" spans="2:11" x14ac:dyDescent="0.25">
      <c r="B69" s="448"/>
      <c r="C69" s="449"/>
      <c r="D69" s="450"/>
      <c r="E69" s="122"/>
      <c r="F69" s="120"/>
      <c r="G69" s="120"/>
      <c r="H69" s="120"/>
      <c r="I69" s="120"/>
      <c r="J69" s="122"/>
      <c r="K69" s="118"/>
    </row>
    <row r="70" spans="2:11" x14ac:dyDescent="0.25">
      <c r="B70" s="448"/>
      <c r="C70" s="449"/>
      <c r="D70" s="450"/>
      <c r="E70" s="122"/>
      <c r="F70" s="120"/>
      <c r="G70" s="120"/>
      <c r="H70" s="120"/>
      <c r="I70" s="120"/>
      <c r="J70" s="122"/>
      <c r="K70" s="118"/>
    </row>
    <row r="71" spans="2:11" x14ac:dyDescent="0.25">
      <c r="B71" s="448"/>
      <c r="C71" s="449"/>
      <c r="D71" s="450"/>
      <c r="E71" s="122"/>
      <c r="F71" s="120"/>
      <c r="G71" s="120"/>
      <c r="H71" s="120"/>
      <c r="I71" s="120"/>
      <c r="J71" s="122"/>
      <c r="K71" s="118"/>
    </row>
    <row r="72" spans="2:11" x14ac:dyDescent="0.25">
      <c r="B72" s="448"/>
      <c r="C72" s="449"/>
      <c r="D72" s="450"/>
      <c r="E72" s="122"/>
      <c r="F72" s="120"/>
      <c r="G72" s="120"/>
      <c r="H72" s="120"/>
      <c r="I72" s="120"/>
      <c r="J72" s="122"/>
      <c r="K72" s="118"/>
    </row>
    <row r="73" spans="2:11" x14ac:dyDescent="0.25">
      <c r="B73" s="448"/>
      <c r="C73" s="449"/>
      <c r="D73" s="450"/>
      <c r="E73" s="122"/>
      <c r="F73" s="120"/>
      <c r="G73" s="120"/>
      <c r="H73" s="120"/>
      <c r="I73" s="120"/>
      <c r="J73" s="122"/>
      <c r="K73" s="118"/>
    </row>
    <row r="74" spans="2:11" x14ac:dyDescent="0.25">
      <c r="B74" s="448"/>
      <c r="C74" s="449"/>
      <c r="D74" s="450"/>
      <c r="E74" s="122"/>
      <c r="F74" s="120"/>
      <c r="G74" s="120"/>
      <c r="H74" s="120"/>
      <c r="I74" s="120"/>
      <c r="J74" s="122"/>
      <c r="K74" s="118"/>
    </row>
    <row r="75" spans="2:11" x14ac:dyDescent="0.25">
      <c r="B75" s="448"/>
      <c r="C75" s="449"/>
      <c r="D75" s="450"/>
      <c r="E75" s="122"/>
      <c r="F75" s="120"/>
      <c r="G75" s="120"/>
      <c r="H75" s="120"/>
      <c r="I75" s="120"/>
      <c r="J75" s="122"/>
      <c r="K75" s="118"/>
    </row>
    <row r="76" spans="2:11" x14ac:dyDescent="0.25">
      <c r="B76" s="448"/>
      <c r="C76" s="449"/>
      <c r="D76" s="450"/>
      <c r="E76" s="122"/>
      <c r="F76" s="120"/>
      <c r="G76" s="120"/>
      <c r="H76" s="120"/>
      <c r="I76" s="120"/>
      <c r="J76" s="122"/>
      <c r="K76" s="118"/>
    </row>
    <row r="77" spans="2:11" x14ac:dyDescent="0.25">
      <c r="B77" s="448"/>
      <c r="C77" s="449"/>
      <c r="D77" s="450"/>
      <c r="E77" s="122"/>
      <c r="F77" s="120"/>
      <c r="G77" s="120"/>
      <c r="H77" s="120"/>
      <c r="I77" s="120"/>
      <c r="J77" s="122"/>
      <c r="K77" s="118"/>
    </row>
    <row r="78" spans="2:11" x14ac:dyDescent="0.25">
      <c r="B78" s="448"/>
      <c r="C78" s="449"/>
      <c r="D78" s="450"/>
      <c r="E78" s="122"/>
      <c r="F78" s="120"/>
      <c r="G78" s="120"/>
      <c r="H78" s="120"/>
      <c r="I78" s="120"/>
      <c r="J78" s="122"/>
      <c r="K78" s="118"/>
    </row>
    <row r="79" spans="2:11" x14ac:dyDescent="0.25">
      <c r="B79" s="448"/>
      <c r="C79" s="449"/>
      <c r="D79" s="450"/>
      <c r="E79" s="122"/>
      <c r="F79" s="120"/>
      <c r="G79" s="120"/>
      <c r="H79" s="120"/>
      <c r="I79" s="120"/>
      <c r="J79" s="122"/>
      <c r="K79" s="118"/>
    </row>
    <row r="80" spans="2:11" x14ac:dyDescent="0.25">
      <c r="B80" s="448"/>
      <c r="C80" s="449"/>
      <c r="D80" s="450"/>
      <c r="E80" s="167"/>
      <c r="F80" s="120"/>
      <c r="G80" s="120"/>
      <c r="H80" s="120"/>
      <c r="I80" s="120"/>
      <c r="J80" s="167"/>
      <c r="K80" s="118"/>
    </row>
    <row r="81" spans="1:12" x14ac:dyDescent="0.25">
      <c r="B81" s="488"/>
      <c r="C81" s="489"/>
      <c r="D81" s="490"/>
      <c r="E81" s="168"/>
      <c r="F81" s="186"/>
      <c r="G81" s="172"/>
      <c r="H81" s="172"/>
      <c r="I81" s="168"/>
      <c r="J81" s="168"/>
      <c r="K81" s="118"/>
    </row>
    <row r="82" spans="1:12" x14ac:dyDescent="0.25">
      <c r="E82" s="143"/>
      <c r="G82" s="143"/>
      <c r="I82" s="143"/>
      <c r="K82" s="143"/>
    </row>
    <row r="83" spans="1:12" x14ac:dyDescent="0.25">
      <c r="E83" s="143"/>
      <c r="G83" s="143"/>
      <c r="I83" s="143"/>
      <c r="K83" s="143"/>
    </row>
    <row r="84" spans="1:12" x14ac:dyDescent="0.25">
      <c r="E84" s="143"/>
      <c r="G84" s="143"/>
      <c r="I84" s="143"/>
      <c r="K84" s="143"/>
    </row>
    <row r="85" spans="1:12" x14ac:dyDescent="0.25">
      <c r="E85" s="143"/>
      <c r="G85" s="143"/>
      <c r="I85" s="143"/>
      <c r="K85" s="143"/>
    </row>
    <row r="86" spans="1:12" x14ac:dyDescent="0.25">
      <c r="E86" s="143"/>
      <c r="G86" s="143"/>
      <c r="I86" s="143"/>
      <c r="K86" s="143"/>
    </row>
    <row r="87" spans="1:12" x14ac:dyDescent="0.25">
      <c r="E87" s="143"/>
      <c r="G87" s="143"/>
      <c r="I87" s="143"/>
      <c r="K87" s="143"/>
    </row>
    <row r="88" spans="1:12" x14ac:dyDescent="0.25">
      <c r="E88" s="143"/>
      <c r="G88" s="143"/>
      <c r="I88" s="143"/>
      <c r="K88" s="143"/>
    </row>
    <row r="89" spans="1:12" x14ac:dyDescent="0.25">
      <c r="E89" s="143"/>
      <c r="G89" s="143"/>
      <c r="I89" s="143"/>
      <c r="K89" s="143"/>
    </row>
    <row r="90" spans="1:12" x14ac:dyDescent="0.25">
      <c r="E90" s="143"/>
      <c r="G90" s="143"/>
      <c r="I90" s="143"/>
      <c r="K90" s="143"/>
    </row>
    <row r="91" spans="1:12" x14ac:dyDescent="0.25">
      <c r="E91" s="143"/>
      <c r="G91" s="143"/>
      <c r="I91" s="143"/>
      <c r="K91" s="143"/>
    </row>
    <row r="92" spans="1:12" x14ac:dyDescent="0.25">
      <c r="E92" s="143"/>
      <c r="G92" s="143"/>
      <c r="I92" s="143"/>
      <c r="K92" s="143"/>
    </row>
    <row r="93" spans="1:12" x14ac:dyDescent="0.25">
      <c r="E93" s="143"/>
      <c r="G93" s="143"/>
      <c r="I93" s="143"/>
      <c r="K93" s="143"/>
    </row>
    <row r="94" spans="1:12" s="138" customFormat="1" x14ac:dyDescent="0.25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</row>
    <row r="95" spans="1:12" s="107" customFormat="1" x14ac:dyDescent="0.25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</row>
    <row r="96" spans="1:12" x14ac:dyDescent="0.25">
      <c r="E96" s="143"/>
      <c r="G96" s="143"/>
      <c r="I96" s="143"/>
      <c r="K96" s="143"/>
    </row>
    <row r="97" spans="1:20" x14ac:dyDescent="0.25">
      <c r="E97" s="143"/>
      <c r="G97" s="143"/>
      <c r="I97" s="143"/>
      <c r="K97" s="143"/>
    </row>
    <row r="98" spans="1:20" x14ac:dyDescent="0.25">
      <c r="A98" s="460" t="s">
        <v>1874</v>
      </c>
      <c r="B98" s="461"/>
      <c r="C98" s="461"/>
      <c r="D98" s="461"/>
      <c r="E98" s="461"/>
      <c r="F98" s="461"/>
      <c r="G98" s="461"/>
      <c r="H98" s="461"/>
      <c r="I98" s="461"/>
      <c r="J98" s="461"/>
      <c r="K98" s="462"/>
    </row>
    <row r="99" spans="1:20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N99" s="215"/>
    </row>
    <row r="100" spans="1:20" s="152" customFormat="1" x14ac:dyDescent="0.25">
      <c r="A100" s="470"/>
      <c r="B100" s="471"/>
      <c r="C100" s="471"/>
      <c r="D100" s="214"/>
      <c r="E100" s="213"/>
      <c r="F100" s="214"/>
      <c r="G100" s="213"/>
      <c r="H100" s="214"/>
      <c r="I100" s="213"/>
      <c r="J100" s="214"/>
      <c r="K100" s="213"/>
    </row>
    <row r="101" spans="1:20" x14ac:dyDescent="0.25">
      <c r="A101" s="454"/>
      <c r="B101" s="455"/>
      <c r="C101" s="456"/>
      <c r="D101" s="177"/>
      <c r="E101" s="106"/>
      <c r="F101" s="177"/>
      <c r="G101" s="106"/>
      <c r="H101" s="177"/>
      <c r="I101" s="106"/>
      <c r="J101" s="177"/>
      <c r="K101" s="106"/>
    </row>
    <row r="102" spans="1:20" s="291" customFormat="1" x14ac:dyDescent="0.25">
      <c r="A102" s="454"/>
      <c r="B102" s="455"/>
      <c r="C102" s="456"/>
      <c r="D102" s="177"/>
      <c r="E102" s="106"/>
      <c r="F102" s="177"/>
      <c r="G102" s="106"/>
      <c r="H102" s="177"/>
      <c r="I102" s="106"/>
      <c r="J102" s="177"/>
      <c r="K102" s="106"/>
    </row>
    <row r="103" spans="1:20" x14ac:dyDescent="0.25">
      <c r="A103" s="451"/>
      <c r="B103" s="452"/>
      <c r="C103" s="453"/>
      <c r="D103" s="174"/>
      <c r="E103" s="104"/>
      <c r="F103" s="174"/>
      <c r="G103" s="104"/>
      <c r="H103" s="174"/>
      <c r="I103" s="104"/>
      <c r="J103" s="174"/>
      <c r="K103" s="104"/>
    </row>
    <row r="104" spans="1:20" x14ac:dyDescent="0.25">
      <c r="A104" s="454"/>
      <c r="B104" s="455"/>
      <c r="C104" s="456"/>
      <c r="D104" s="184"/>
      <c r="E104" s="106"/>
      <c r="F104" s="184"/>
      <c r="G104" s="106"/>
      <c r="H104" s="184"/>
      <c r="I104" s="106"/>
      <c r="J104" s="184"/>
      <c r="K104" s="106"/>
      <c r="M104" s="138"/>
      <c r="N104" s="138"/>
      <c r="O104" s="138"/>
      <c r="P104" s="138"/>
      <c r="Q104" s="138"/>
      <c r="R104" s="138"/>
      <c r="S104" s="138"/>
      <c r="T104" s="138"/>
    </row>
    <row r="105" spans="1:20" s="152" customFormat="1" x14ac:dyDescent="0.25">
      <c r="A105" s="451"/>
      <c r="B105" s="452"/>
      <c r="C105" s="453"/>
      <c r="D105" s="174"/>
      <c r="E105" s="104"/>
      <c r="F105" s="174"/>
      <c r="G105" s="104"/>
      <c r="H105" s="174"/>
      <c r="I105" s="104"/>
      <c r="J105" s="174"/>
      <c r="K105" s="104"/>
      <c r="L105" s="138"/>
      <c r="M105" s="138"/>
      <c r="N105" s="138"/>
    </row>
    <row r="106" spans="1:20" s="291" customFormat="1" x14ac:dyDescent="0.25">
      <c r="A106" s="454"/>
      <c r="B106" s="455"/>
      <c r="C106" s="456"/>
      <c r="D106" s="177"/>
      <c r="E106" s="106"/>
      <c r="F106" s="177"/>
      <c r="G106" s="106"/>
      <c r="H106" s="177"/>
      <c r="I106" s="106"/>
      <c r="J106" s="177"/>
      <c r="K106" s="106"/>
    </row>
    <row r="107" spans="1:20" s="291" customFormat="1" x14ac:dyDescent="0.25">
      <c r="A107" s="485"/>
      <c r="B107" s="486"/>
      <c r="C107" s="487"/>
      <c r="D107" s="353"/>
      <c r="E107" s="354"/>
      <c r="F107" s="353"/>
      <c r="G107" s="354"/>
      <c r="H107" s="353"/>
      <c r="I107" s="354"/>
      <c r="J107" s="353"/>
      <c r="K107" s="354"/>
    </row>
    <row r="108" spans="1:20" s="291" customFormat="1" x14ac:dyDescent="0.25">
      <c r="A108" s="451"/>
      <c r="B108" s="452"/>
      <c r="C108" s="453"/>
      <c r="D108" s="174"/>
      <c r="E108" s="104"/>
      <c r="F108" s="174"/>
      <c r="G108" s="104"/>
      <c r="H108" s="174"/>
      <c r="I108" s="104"/>
      <c r="J108" s="174"/>
      <c r="K108" s="104"/>
    </row>
    <row r="109" spans="1:20" s="291" customFormat="1" x14ac:dyDescent="0.25">
      <c r="A109" s="454"/>
      <c r="B109" s="455"/>
      <c r="C109" s="456"/>
      <c r="D109" s="217"/>
      <c r="E109" s="106"/>
      <c r="F109" s="217"/>
      <c r="G109" s="106"/>
      <c r="H109" s="217"/>
      <c r="I109" s="106"/>
      <c r="J109" s="217"/>
      <c r="K109" s="106"/>
      <c r="M109" s="290"/>
      <c r="N109" s="290"/>
      <c r="O109" s="290"/>
      <c r="P109" s="290"/>
      <c r="Q109" s="290"/>
      <c r="R109" s="290"/>
      <c r="S109" s="290"/>
      <c r="T109" s="290"/>
    </row>
    <row r="110" spans="1:20" s="291" customFormat="1" x14ac:dyDescent="0.25">
      <c r="A110" s="451"/>
      <c r="B110" s="452"/>
      <c r="C110" s="453"/>
      <c r="D110" s="218"/>
      <c r="E110" s="104"/>
      <c r="F110" s="218"/>
      <c r="G110" s="104"/>
      <c r="H110" s="218"/>
      <c r="I110" s="104"/>
      <c r="J110" s="218"/>
      <c r="K110" s="104"/>
      <c r="L110" s="290"/>
      <c r="M110" s="290"/>
      <c r="N110" s="290"/>
    </row>
    <row r="111" spans="1:20" s="152" customFormat="1" x14ac:dyDescent="0.25">
      <c r="A111" s="451"/>
      <c r="B111" s="452"/>
      <c r="C111" s="453"/>
      <c r="D111" s="218"/>
      <c r="E111" s="104"/>
      <c r="F111" s="218"/>
      <c r="G111" s="104"/>
      <c r="H111" s="218"/>
      <c r="I111" s="104"/>
      <c r="J111" s="218"/>
      <c r="K111" s="104"/>
      <c r="L111" s="138"/>
      <c r="M111" s="138"/>
      <c r="N111" s="138"/>
    </row>
    <row r="112" spans="1:20" s="152" customFormat="1" x14ac:dyDescent="0.25">
      <c r="A112" s="451"/>
      <c r="B112" s="452"/>
      <c r="C112" s="453"/>
      <c r="D112" s="218"/>
      <c r="E112" s="104"/>
      <c r="F112" s="218"/>
      <c r="G112" s="104"/>
      <c r="H112" s="218"/>
      <c r="I112" s="104"/>
      <c r="J112" s="218"/>
      <c r="K112" s="104"/>
      <c r="L112" s="138"/>
      <c r="M112" s="138"/>
      <c r="N112" s="138"/>
    </row>
    <row r="113" spans="1:20" s="152" customFormat="1" x14ac:dyDescent="0.25">
      <c r="A113" s="454"/>
      <c r="B113" s="455"/>
      <c r="C113" s="456"/>
      <c r="D113" s="136"/>
      <c r="E113" s="106"/>
      <c r="F113" s="136"/>
      <c r="G113" s="106"/>
      <c r="H113" s="136"/>
      <c r="I113" s="106"/>
      <c r="J113" s="136"/>
      <c r="K113" s="106"/>
      <c r="L113" s="138"/>
      <c r="M113" s="138"/>
      <c r="N113" s="138"/>
    </row>
    <row r="114" spans="1:20" x14ac:dyDescent="0.25">
      <c r="A114" s="451"/>
      <c r="B114" s="452"/>
      <c r="C114" s="453"/>
      <c r="D114" s="218"/>
      <c r="E114" s="104"/>
      <c r="F114" s="218"/>
      <c r="G114" s="104"/>
      <c r="H114" s="218"/>
      <c r="I114" s="104"/>
      <c r="J114" s="218"/>
      <c r="K114" s="104"/>
      <c r="M114" s="138"/>
      <c r="N114" s="138"/>
      <c r="O114" s="138"/>
      <c r="P114" s="138"/>
      <c r="Q114" s="138"/>
      <c r="R114" s="138"/>
      <c r="S114" s="138"/>
      <c r="T114" s="138"/>
    </row>
    <row r="115" spans="1:20" s="107" customFormat="1" x14ac:dyDescent="0.25">
      <c r="A115" s="451"/>
      <c r="B115" s="452"/>
      <c r="C115" s="453"/>
      <c r="D115" s="150"/>
      <c r="E115" s="104"/>
      <c r="F115" s="150"/>
      <c r="G115" s="104"/>
      <c r="H115" s="150"/>
      <c r="I115" s="104"/>
      <c r="J115" s="218"/>
      <c r="K115" s="104"/>
    </row>
    <row r="116" spans="1:20" x14ac:dyDescent="0.25">
      <c r="A116" s="451"/>
      <c r="B116" s="452"/>
      <c r="C116" s="453"/>
      <c r="D116" s="150"/>
      <c r="E116" s="104"/>
      <c r="F116" s="150"/>
      <c r="G116" s="104"/>
      <c r="H116" s="150"/>
      <c r="I116" s="104"/>
      <c r="J116" s="218"/>
      <c r="K116" s="104"/>
    </row>
    <row r="117" spans="1:20" x14ac:dyDescent="0.25">
      <c r="A117" s="451"/>
      <c r="B117" s="452"/>
      <c r="C117" s="453"/>
      <c r="D117" s="150"/>
      <c r="E117" s="104"/>
      <c r="F117" s="150"/>
      <c r="G117" s="104"/>
      <c r="H117" s="150"/>
      <c r="I117" s="104"/>
      <c r="J117" s="218"/>
      <c r="K117" s="104"/>
    </row>
    <row r="118" spans="1:20" x14ac:dyDescent="0.25">
      <c r="A118" s="442"/>
      <c r="B118" s="443"/>
      <c r="C118" s="444"/>
      <c r="D118" s="151"/>
      <c r="E118" s="108"/>
      <c r="F118" s="151"/>
      <c r="G118" s="108"/>
      <c r="H118" s="151"/>
      <c r="I118" s="108"/>
      <c r="J118" s="358"/>
      <c r="K118" s="108"/>
    </row>
    <row r="119" spans="1:20" x14ac:dyDescent="0.25">
      <c r="A119" s="482"/>
      <c r="B119" s="482"/>
      <c r="C119" s="482"/>
      <c r="H119" s="117"/>
    </row>
    <row r="120" spans="1:20" x14ac:dyDescent="0.25">
      <c r="A120" s="470"/>
      <c r="B120" s="471"/>
      <c r="C120" s="471"/>
      <c r="D120" s="214"/>
      <c r="E120" s="213"/>
      <c r="F120" s="214"/>
      <c r="G120" s="213"/>
      <c r="H120" s="214"/>
      <c r="I120" s="213"/>
      <c r="J120" s="214"/>
      <c r="K120" s="213"/>
    </row>
    <row r="121" spans="1:20" x14ac:dyDescent="0.25">
      <c r="A121" s="483"/>
      <c r="B121" s="482"/>
      <c r="C121" s="484"/>
      <c r="D121" s="174"/>
      <c r="E121" s="104"/>
      <c r="F121" s="174"/>
      <c r="G121" s="104"/>
      <c r="H121" s="174"/>
      <c r="I121" s="104"/>
      <c r="J121" s="174"/>
      <c r="K121" s="104"/>
    </row>
    <row r="122" spans="1:20" x14ac:dyDescent="0.25">
      <c r="A122" s="451"/>
      <c r="B122" s="452"/>
      <c r="C122" s="453"/>
      <c r="D122" s="116"/>
      <c r="E122" s="104"/>
      <c r="F122" s="116"/>
      <c r="G122" s="104"/>
      <c r="H122" s="174"/>
      <c r="I122" s="104"/>
      <c r="J122" s="174"/>
      <c r="K122" s="104"/>
    </row>
    <row r="123" spans="1:20" x14ac:dyDescent="0.25">
      <c r="A123" s="476"/>
      <c r="B123" s="477"/>
      <c r="C123" s="478"/>
      <c r="D123" s="332"/>
      <c r="E123" s="333"/>
      <c r="F123" s="332"/>
      <c r="G123" s="333"/>
      <c r="H123" s="342"/>
      <c r="I123" s="333"/>
      <c r="J123" s="342"/>
      <c r="K123" s="333"/>
    </row>
    <row r="124" spans="1:20" x14ac:dyDescent="0.25">
      <c r="A124" s="451"/>
      <c r="B124" s="452"/>
      <c r="C124" s="453"/>
      <c r="D124" s="116"/>
      <c r="E124" s="104"/>
      <c r="F124" s="116"/>
      <c r="G124" s="104"/>
      <c r="H124" s="174"/>
      <c r="I124" s="104"/>
      <c r="J124" s="174"/>
      <c r="K124" s="104"/>
    </row>
    <row r="125" spans="1:20" x14ac:dyDescent="0.25">
      <c r="A125" s="451"/>
      <c r="B125" s="452"/>
      <c r="C125" s="453"/>
      <c r="D125" s="116"/>
      <c r="E125" s="104"/>
      <c r="F125" s="116"/>
      <c r="G125" s="104"/>
      <c r="H125" s="174"/>
      <c r="I125" s="104"/>
      <c r="J125" s="174"/>
      <c r="K125" s="104"/>
    </row>
    <row r="126" spans="1:20" x14ac:dyDescent="0.25">
      <c r="A126" s="476"/>
      <c r="B126" s="477"/>
      <c r="C126" s="478"/>
      <c r="D126" s="332"/>
      <c r="E126" s="333"/>
      <c r="F126" s="332"/>
      <c r="G126" s="333"/>
      <c r="H126" s="342"/>
      <c r="I126" s="333"/>
      <c r="J126" s="342"/>
      <c r="K126" s="333"/>
    </row>
    <row r="127" spans="1:20" x14ac:dyDescent="0.25">
      <c r="A127" s="451"/>
      <c r="B127" s="452"/>
      <c r="C127" s="453"/>
      <c r="D127" s="116"/>
      <c r="E127" s="104"/>
      <c r="F127" s="116"/>
      <c r="G127" s="104"/>
      <c r="H127" s="174"/>
      <c r="I127" s="104"/>
      <c r="J127" s="174"/>
      <c r="K127" s="104"/>
    </row>
    <row r="128" spans="1:20" x14ac:dyDescent="0.25">
      <c r="A128" s="451"/>
      <c r="B128" s="452"/>
      <c r="C128" s="453"/>
      <c r="D128" s="116"/>
      <c r="E128" s="104"/>
      <c r="F128" s="116"/>
      <c r="G128" s="104"/>
      <c r="H128" s="174"/>
      <c r="I128" s="104"/>
      <c r="J128" s="174"/>
      <c r="K128" s="104"/>
    </row>
    <row r="129" spans="1:11" s="291" customFormat="1" x14ac:dyDescent="0.25">
      <c r="A129" s="476"/>
      <c r="B129" s="477"/>
      <c r="C129" s="478"/>
      <c r="D129" s="332"/>
      <c r="E129" s="333"/>
      <c r="F129" s="332"/>
      <c r="G129" s="333"/>
      <c r="H129" s="342"/>
      <c r="I129" s="333"/>
      <c r="J129" s="342"/>
      <c r="K129" s="333"/>
    </row>
    <row r="130" spans="1:11" s="291" customFormat="1" x14ac:dyDescent="0.25">
      <c r="A130" s="451"/>
      <c r="B130" s="452"/>
      <c r="C130" s="453"/>
      <c r="D130" s="116"/>
      <c r="E130" s="104"/>
      <c r="F130" s="116"/>
      <c r="G130" s="104"/>
      <c r="H130" s="174"/>
      <c r="I130" s="104"/>
      <c r="J130" s="174"/>
      <c r="K130" s="104"/>
    </row>
    <row r="131" spans="1:11" s="291" customFormat="1" x14ac:dyDescent="0.25">
      <c r="A131" s="451"/>
      <c r="B131" s="452"/>
      <c r="C131" s="453"/>
      <c r="D131" s="116"/>
      <c r="E131" s="104"/>
      <c r="F131" s="116"/>
      <c r="G131" s="104"/>
      <c r="H131" s="174"/>
      <c r="I131" s="104"/>
      <c r="J131" s="174"/>
      <c r="K131" s="104"/>
    </row>
    <row r="132" spans="1:11" s="291" customFormat="1" x14ac:dyDescent="0.25">
      <c r="A132" s="476"/>
      <c r="B132" s="477"/>
      <c r="C132" s="478"/>
      <c r="D132" s="332"/>
      <c r="E132" s="333"/>
      <c r="F132" s="332"/>
      <c r="G132" s="333"/>
      <c r="H132" s="342"/>
      <c r="I132" s="333"/>
      <c r="J132" s="342"/>
      <c r="K132" s="333"/>
    </row>
    <row r="133" spans="1:11" x14ac:dyDescent="0.25">
      <c r="A133" s="479"/>
      <c r="B133" s="480"/>
      <c r="C133" s="481"/>
      <c r="D133" s="344"/>
      <c r="E133" s="345"/>
      <c r="F133" s="344"/>
      <c r="G133" s="345"/>
      <c r="H133" s="346"/>
      <c r="I133" s="345"/>
      <c r="J133" s="346"/>
      <c r="K133" s="345"/>
    </row>
    <row r="134" spans="1:11" x14ac:dyDescent="0.25">
      <c r="A134" s="451"/>
      <c r="B134" s="452"/>
      <c r="C134" s="453"/>
      <c r="D134" s="116"/>
      <c r="E134" s="104"/>
      <c r="F134" s="116"/>
      <c r="G134" s="104"/>
      <c r="H134" s="174"/>
      <c r="I134" s="104"/>
      <c r="J134" s="174"/>
      <c r="K134" s="104"/>
    </row>
    <row r="135" spans="1:11" x14ac:dyDescent="0.25">
      <c r="A135" s="451"/>
      <c r="B135" s="452"/>
      <c r="C135" s="453"/>
      <c r="D135" s="116"/>
      <c r="E135" s="104"/>
      <c r="F135" s="116"/>
      <c r="G135" s="104"/>
      <c r="H135" s="174"/>
      <c r="I135" s="104"/>
      <c r="J135" s="174"/>
      <c r="K135" s="104"/>
    </row>
    <row r="136" spans="1:11" x14ac:dyDescent="0.25">
      <c r="A136" s="476"/>
      <c r="B136" s="477"/>
      <c r="C136" s="478"/>
      <c r="D136" s="332"/>
      <c r="E136" s="333"/>
      <c r="F136" s="332"/>
      <c r="G136" s="333"/>
      <c r="H136" s="342"/>
      <c r="I136" s="333"/>
      <c r="J136" s="342"/>
      <c r="K136" s="333"/>
    </row>
    <row r="137" spans="1:11" x14ac:dyDescent="0.25">
      <c r="A137" s="451"/>
      <c r="B137" s="452"/>
      <c r="C137" s="453"/>
      <c r="D137" s="116"/>
      <c r="E137" s="104"/>
      <c r="F137" s="116"/>
      <c r="G137" s="104"/>
      <c r="H137" s="174"/>
      <c r="I137" s="104"/>
      <c r="J137" s="174"/>
      <c r="K137" s="104"/>
    </row>
    <row r="138" spans="1:11" x14ac:dyDescent="0.25">
      <c r="A138" s="451"/>
      <c r="B138" s="452"/>
      <c r="C138" s="453"/>
      <c r="D138" s="116"/>
      <c r="E138" s="104"/>
      <c r="F138" s="116"/>
      <c r="G138" s="104"/>
      <c r="H138" s="174"/>
      <c r="I138" s="104"/>
      <c r="J138" s="174"/>
      <c r="K138" s="104"/>
    </row>
    <row r="139" spans="1:11" s="274" customFormat="1" x14ac:dyDescent="0.25">
      <c r="A139" s="476"/>
      <c r="B139" s="477"/>
      <c r="C139" s="478"/>
      <c r="D139" s="332"/>
      <c r="E139" s="333"/>
      <c r="F139" s="332"/>
      <c r="G139" s="333"/>
      <c r="H139" s="342"/>
      <c r="I139" s="333"/>
      <c r="J139" s="342"/>
      <c r="K139" s="333"/>
    </row>
    <row r="140" spans="1:11" x14ac:dyDescent="0.25">
      <c r="A140" s="451"/>
      <c r="B140" s="452"/>
      <c r="C140" s="453"/>
      <c r="D140" s="116"/>
      <c r="E140" s="104"/>
      <c r="F140" s="116"/>
      <c r="G140" s="104"/>
      <c r="H140" s="174"/>
      <c r="I140" s="104"/>
      <c r="J140" s="174"/>
      <c r="K140" s="104"/>
    </row>
    <row r="141" spans="1:11" x14ac:dyDescent="0.25">
      <c r="A141" s="451"/>
      <c r="B141" s="452"/>
      <c r="C141" s="453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76"/>
      <c r="B142" s="477"/>
      <c r="C142" s="478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51"/>
      <c r="B143" s="452"/>
      <c r="C143" s="453"/>
      <c r="D143" s="116"/>
      <c r="E143" s="104"/>
      <c r="F143" s="116"/>
      <c r="G143" s="104"/>
      <c r="H143" s="174"/>
      <c r="I143" s="104"/>
      <c r="J143" s="174"/>
      <c r="K143" s="104"/>
    </row>
    <row r="144" spans="1:11" x14ac:dyDescent="0.25">
      <c r="A144" s="451"/>
      <c r="B144" s="452"/>
      <c r="C144" s="453"/>
      <c r="D144" s="116"/>
      <c r="E144" s="104"/>
      <c r="F144" s="116"/>
      <c r="G144" s="104"/>
      <c r="H144" s="174"/>
      <c r="I144" s="104"/>
      <c r="J144" s="174"/>
      <c r="K144" s="104"/>
    </row>
    <row r="145" spans="1:11" x14ac:dyDescent="0.25">
      <c r="A145" s="476"/>
      <c r="B145" s="477"/>
      <c r="C145" s="478"/>
      <c r="D145" s="332"/>
      <c r="E145" s="333"/>
      <c r="F145" s="332"/>
      <c r="G145" s="333"/>
      <c r="H145" s="342"/>
      <c r="I145" s="333"/>
      <c r="J145" s="342"/>
      <c r="K145" s="333"/>
    </row>
    <row r="146" spans="1:11" x14ac:dyDescent="0.25">
      <c r="A146" s="451"/>
      <c r="B146" s="452"/>
      <c r="C146" s="453"/>
      <c r="D146" s="116"/>
      <c r="E146" s="104"/>
      <c r="F146" s="116"/>
      <c r="G146" s="104"/>
      <c r="H146" s="174"/>
      <c r="I146" s="104"/>
      <c r="J146" s="174"/>
      <c r="K146" s="104"/>
    </row>
    <row r="147" spans="1:11" x14ac:dyDescent="0.25">
      <c r="A147" s="451"/>
      <c r="B147" s="452"/>
      <c r="C147" s="453"/>
      <c r="D147" s="116"/>
      <c r="E147" s="104"/>
      <c r="F147" s="116"/>
      <c r="G147" s="104"/>
      <c r="H147" s="174"/>
      <c r="I147" s="104"/>
      <c r="J147" s="174"/>
      <c r="K147" s="104"/>
    </row>
    <row r="148" spans="1:11" x14ac:dyDescent="0.25">
      <c r="A148" s="473"/>
      <c r="B148" s="474"/>
      <c r="C148" s="475"/>
      <c r="D148" s="343"/>
      <c r="E148" s="334"/>
      <c r="F148" s="343"/>
      <c r="G148" s="334"/>
      <c r="H148" s="186"/>
      <c r="I148" s="334"/>
      <c r="J148" s="186"/>
      <c r="K148" s="334"/>
    </row>
    <row r="149" spans="1:11" x14ac:dyDescent="0.25">
      <c r="A149" s="451"/>
      <c r="B149" s="452"/>
      <c r="C149" s="453"/>
      <c r="D149" s="116"/>
      <c r="E149" s="104"/>
      <c r="F149" s="116"/>
      <c r="G149" s="104"/>
      <c r="H149" s="174"/>
      <c r="I149" s="104"/>
      <c r="J149" s="174"/>
      <c r="K149" s="104"/>
    </row>
    <row r="150" spans="1:11" x14ac:dyDescent="0.25">
      <c r="A150" s="451"/>
      <c r="B150" s="452"/>
      <c r="C150" s="453"/>
      <c r="D150" s="174"/>
      <c r="E150" s="104"/>
      <c r="F150" s="174"/>
      <c r="G150" s="104"/>
      <c r="H150" s="174"/>
      <c r="I150" s="104"/>
      <c r="J150" s="174"/>
      <c r="K150" s="104"/>
    </row>
    <row r="151" spans="1:11" s="138" customFormat="1" x14ac:dyDescent="0.25">
      <c r="A151" s="451"/>
      <c r="B151" s="452"/>
      <c r="C151" s="453"/>
      <c r="D151" s="174"/>
      <c r="E151" s="104"/>
      <c r="F151" s="174"/>
      <c r="G151" s="104"/>
      <c r="H151" s="174"/>
      <c r="I151" s="104"/>
      <c r="J151" s="174"/>
      <c r="K151" s="104"/>
    </row>
    <row r="152" spans="1:11" s="107" customFormat="1" x14ac:dyDescent="0.25">
      <c r="A152" s="451"/>
      <c r="B152" s="452"/>
      <c r="C152" s="453"/>
      <c r="D152" s="174"/>
      <c r="E152" s="104"/>
      <c r="F152" s="174"/>
      <c r="G152" s="104"/>
      <c r="H152" s="174"/>
      <c r="I152" s="104"/>
      <c r="J152" s="174"/>
      <c r="K152" s="104"/>
    </row>
    <row r="153" spans="1:11" x14ac:dyDescent="0.25">
      <c r="A153" s="473"/>
      <c r="B153" s="474"/>
      <c r="C153" s="475"/>
      <c r="D153" s="186"/>
      <c r="E153" s="334"/>
      <c r="F153" s="186"/>
      <c r="G153" s="334"/>
      <c r="H153" s="186"/>
      <c r="I153" s="334"/>
      <c r="J153" s="186"/>
      <c r="K153" s="334"/>
    </row>
    <row r="154" spans="1:11" x14ac:dyDescent="0.25">
      <c r="A154" s="451"/>
      <c r="B154" s="452"/>
      <c r="C154" s="453"/>
      <c r="D154" s="174"/>
      <c r="E154" s="104"/>
      <c r="F154" s="174"/>
      <c r="G154" s="104"/>
      <c r="H154" s="174"/>
      <c r="I154" s="104"/>
      <c r="J154" s="174"/>
      <c r="K154" s="104"/>
    </row>
    <row r="155" spans="1:11" x14ac:dyDescent="0.25">
      <c r="A155" s="442"/>
      <c r="B155" s="443"/>
      <c r="C155" s="444"/>
      <c r="D155" s="175"/>
      <c r="E155" s="204"/>
      <c r="F155" s="175"/>
      <c r="G155" s="204"/>
      <c r="H155" s="175"/>
      <c r="I155" s="204"/>
      <c r="J155" s="175"/>
      <c r="K155" s="204"/>
    </row>
    <row r="156" spans="1:11" x14ac:dyDescent="0.25">
      <c r="A156" s="138"/>
      <c r="B156" s="138"/>
      <c r="C156" s="138"/>
      <c r="D156" s="278"/>
      <c r="E156" s="190"/>
      <c r="F156" s="279"/>
      <c r="G156" s="190"/>
      <c r="H156" s="279"/>
      <c r="I156" s="190"/>
      <c r="J156" s="279"/>
      <c r="K156" s="190"/>
    </row>
    <row r="157" spans="1:11" x14ac:dyDescent="0.25">
      <c r="A157" s="470"/>
      <c r="B157" s="471"/>
      <c r="C157" s="471"/>
      <c r="D157" s="214"/>
      <c r="E157" s="213"/>
      <c r="F157" s="214"/>
      <c r="G157" s="213"/>
      <c r="H157" s="214"/>
      <c r="I157" s="213"/>
      <c r="J157" s="214"/>
      <c r="K157" s="213"/>
    </row>
    <row r="158" spans="1:11" x14ac:dyDescent="0.25">
      <c r="A158" s="466"/>
      <c r="B158" s="467"/>
      <c r="C158" s="468"/>
      <c r="D158" s="176"/>
      <c r="E158" s="111"/>
      <c r="F158" s="173"/>
      <c r="G158" s="111"/>
      <c r="H158" s="173"/>
      <c r="I158" s="111"/>
      <c r="J158" s="173"/>
      <c r="K158" s="111"/>
    </row>
    <row r="159" spans="1:11" x14ac:dyDescent="0.25">
      <c r="A159" s="451"/>
      <c r="B159" s="452"/>
      <c r="C159" s="453"/>
      <c r="D159" s="116"/>
      <c r="E159" s="104"/>
      <c r="F159" s="174"/>
      <c r="G159" s="104"/>
      <c r="H159" s="174"/>
      <c r="I159" s="104"/>
      <c r="J159" s="174"/>
      <c r="K159" s="104"/>
    </row>
    <row r="160" spans="1:11" x14ac:dyDescent="0.25">
      <c r="A160" s="454"/>
      <c r="B160" s="455"/>
      <c r="C160" s="456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51"/>
      <c r="B161" s="452"/>
      <c r="C161" s="453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54"/>
      <c r="B162" s="455"/>
      <c r="C162" s="456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51"/>
      <c r="B163" s="452"/>
      <c r="C163" s="453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54"/>
      <c r="B164" s="455"/>
      <c r="C164" s="456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51"/>
      <c r="B165" s="452"/>
      <c r="C165" s="453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54"/>
      <c r="B166" s="455"/>
      <c r="C166" s="456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51"/>
      <c r="B167" s="452"/>
      <c r="C167" s="453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54"/>
      <c r="B168" s="455"/>
      <c r="C168" s="456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51"/>
      <c r="B169" s="452"/>
      <c r="C169" s="453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54"/>
      <c r="B170" s="455"/>
      <c r="C170" s="456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51"/>
      <c r="B171" s="452"/>
      <c r="C171" s="453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54"/>
      <c r="B172" s="455"/>
      <c r="C172" s="456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51"/>
      <c r="B173" s="452"/>
      <c r="C173" s="453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54"/>
      <c r="B174" s="455"/>
      <c r="C174" s="456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51"/>
      <c r="B175" s="452"/>
      <c r="C175" s="453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54"/>
      <c r="B176" s="455"/>
      <c r="C176" s="456"/>
      <c r="D176" s="116"/>
      <c r="E176" s="106"/>
      <c r="F176" s="177"/>
      <c r="G176" s="106"/>
      <c r="H176" s="177"/>
      <c r="I176" s="106"/>
      <c r="J176" s="177"/>
      <c r="K176" s="106"/>
    </row>
    <row r="177" spans="1:11" x14ac:dyDescent="0.25">
      <c r="A177" s="451"/>
      <c r="B177" s="452"/>
      <c r="C177" s="453"/>
      <c r="D177" s="116"/>
      <c r="E177" s="104"/>
      <c r="F177" s="174"/>
      <c r="G177" s="104"/>
      <c r="H177" s="174"/>
      <c r="I177" s="104"/>
      <c r="J177" s="174"/>
      <c r="K177" s="104"/>
    </row>
    <row r="178" spans="1:11" s="138" customFormat="1" x14ac:dyDescent="0.25">
      <c r="A178" s="454"/>
      <c r="B178" s="455"/>
      <c r="C178" s="456"/>
      <c r="D178" s="116"/>
      <c r="E178" s="106"/>
      <c r="F178" s="177"/>
      <c r="G178" s="106"/>
      <c r="H178" s="177"/>
      <c r="I178" s="106"/>
      <c r="J178" s="177"/>
      <c r="K178" s="106"/>
    </row>
    <row r="179" spans="1:11" s="107" customFormat="1" x14ac:dyDescent="0.25">
      <c r="A179" s="451"/>
      <c r="B179" s="452"/>
      <c r="C179" s="453"/>
      <c r="D179" s="116"/>
      <c r="E179" s="104"/>
      <c r="F179" s="174"/>
      <c r="G179" s="104"/>
      <c r="H179" s="174"/>
      <c r="I179" s="104"/>
      <c r="J179" s="174"/>
      <c r="K179" s="104"/>
    </row>
    <row r="180" spans="1:11" x14ac:dyDescent="0.25">
      <c r="A180" s="454"/>
      <c r="B180" s="455"/>
      <c r="C180" s="456"/>
      <c r="D180" s="177"/>
      <c r="E180" s="106"/>
      <c r="F180" s="177"/>
      <c r="G180" s="106"/>
      <c r="H180" s="177"/>
      <c r="I180" s="106"/>
      <c r="J180" s="177"/>
      <c r="K180" s="106"/>
    </row>
    <row r="181" spans="1:11" x14ac:dyDescent="0.25">
      <c r="A181" s="451"/>
      <c r="B181" s="452"/>
      <c r="C181" s="453"/>
      <c r="D181" s="116"/>
      <c r="E181" s="104"/>
      <c r="F181" s="174"/>
      <c r="G181" s="104"/>
      <c r="H181" s="174"/>
      <c r="I181" s="104"/>
      <c r="J181" s="174"/>
      <c r="K181" s="104"/>
    </row>
    <row r="182" spans="1:11" x14ac:dyDescent="0.25">
      <c r="A182" s="457"/>
      <c r="B182" s="458"/>
      <c r="C182" s="459"/>
      <c r="D182" s="178"/>
      <c r="E182" s="115"/>
      <c r="F182" s="178"/>
      <c r="G182" s="114"/>
      <c r="H182" s="178"/>
      <c r="I182" s="114"/>
      <c r="J182" s="178"/>
      <c r="K182" s="114"/>
    </row>
    <row r="183" spans="1:11" x14ac:dyDescent="0.25">
      <c r="A183" s="469"/>
      <c r="B183" s="469"/>
      <c r="C183" s="469"/>
      <c r="D183" s="138"/>
      <c r="E183" s="190"/>
      <c r="F183" s="138"/>
      <c r="G183" s="190"/>
      <c r="H183" s="138"/>
      <c r="I183" s="190"/>
      <c r="J183" s="138"/>
      <c r="K183" s="190"/>
    </row>
    <row r="184" spans="1:11" s="107" customFormat="1" x14ac:dyDescent="0.25">
      <c r="A184" s="288"/>
      <c r="B184" s="289"/>
      <c r="C184" s="327"/>
      <c r="D184" s="214"/>
      <c r="E184" s="213"/>
      <c r="F184" s="214"/>
      <c r="G184" s="213"/>
      <c r="H184" s="214"/>
      <c r="I184" s="213"/>
      <c r="J184" s="214"/>
      <c r="K184" s="213"/>
    </row>
    <row r="185" spans="1:11" s="291" customFormat="1" x14ac:dyDescent="0.25">
      <c r="A185" s="466"/>
      <c r="B185" s="467"/>
      <c r="C185" s="468"/>
      <c r="D185" s="173"/>
      <c r="E185" s="111"/>
      <c r="F185" s="173"/>
      <c r="G185" s="111"/>
      <c r="H185" s="173"/>
      <c r="I185" s="111"/>
      <c r="J185" s="173"/>
      <c r="K185" s="111"/>
    </row>
    <row r="186" spans="1:11" s="291" customFormat="1" x14ac:dyDescent="0.25">
      <c r="A186" s="451"/>
      <c r="B186" s="452"/>
      <c r="C186" s="453"/>
      <c r="D186" s="174"/>
      <c r="E186" s="104"/>
      <c r="F186" s="174"/>
      <c r="G186" s="104"/>
      <c r="H186" s="174"/>
      <c r="I186" s="104"/>
      <c r="J186" s="174"/>
      <c r="K186" s="104"/>
    </row>
    <row r="187" spans="1:11" s="291" customFormat="1" x14ac:dyDescent="0.25">
      <c r="A187" s="454"/>
      <c r="B187" s="455"/>
      <c r="C187" s="456"/>
      <c r="D187" s="177"/>
      <c r="E187" s="106"/>
      <c r="F187" s="177"/>
      <c r="G187" s="106"/>
      <c r="H187" s="177"/>
      <c r="I187" s="106"/>
      <c r="J187" s="177"/>
      <c r="K187" s="106"/>
    </row>
    <row r="188" spans="1:11" s="291" customFormat="1" x14ac:dyDescent="0.25">
      <c r="A188" s="442"/>
      <c r="B188" s="443"/>
      <c r="C188" s="444"/>
      <c r="D188" s="179"/>
      <c r="E188" s="108"/>
      <c r="F188" s="179"/>
      <c r="G188" s="108"/>
      <c r="H188" s="179"/>
      <c r="I188" s="108"/>
      <c r="J188" s="179"/>
      <c r="K188" s="108"/>
    </row>
    <row r="189" spans="1:11" s="291" customFormat="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1" s="291" customFormat="1" x14ac:dyDescent="0.25">
      <c r="A190" s="470"/>
      <c r="B190" s="471"/>
      <c r="C190" s="472"/>
      <c r="D190" s="214"/>
      <c r="E190" s="213"/>
      <c r="F190" s="214"/>
      <c r="G190" s="213"/>
      <c r="H190" s="214"/>
      <c r="I190" s="213"/>
      <c r="J190" s="214"/>
      <c r="K190" s="213"/>
    </row>
    <row r="191" spans="1:11" s="291" customFormat="1" x14ac:dyDescent="0.25">
      <c r="A191" s="466"/>
      <c r="B191" s="467"/>
      <c r="C191" s="468"/>
      <c r="D191" s="173"/>
      <c r="E191" s="111"/>
      <c r="F191" s="173"/>
      <c r="G191" s="111"/>
      <c r="H191" s="173"/>
      <c r="I191" s="111"/>
      <c r="J191" s="173"/>
      <c r="K191" s="111"/>
    </row>
    <row r="192" spans="1:11" s="291" customFormat="1" x14ac:dyDescent="0.25">
      <c r="A192" s="451"/>
      <c r="B192" s="452"/>
      <c r="C192" s="453"/>
      <c r="D192" s="174"/>
      <c r="E192" s="104"/>
      <c r="F192" s="174"/>
      <c r="G192" s="104"/>
      <c r="H192" s="174"/>
      <c r="I192" s="104"/>
      <c r="J192" s="174"/>
      <c r="K192" s="104"/>
    </row>
    <row r="193" spans="1:11" s="291" customFormat="1" x14ac:dyDescent="0.25">
      <c r="A193" s="454"/>
      <c r="B193" s="455"/>
      <c r="C193" s="456"/>
      <c r="D193" s="177"/>
      <c r="E193" s="106"/>
      <c r="F193" s="177"/>
      <c r="G193" s="106"/>
      <c r="H193" s="177"/>
      <c r="I193" s="106"/>
      <c r="J193" s="177"/>
      <c r="K193" s="106"/>
    </row>
    <row r="194" spans="1:11" s="291" customFormat="1" x14ac:dyDescent="0.25">
      <c r="A194" s="451"/>
      <c r="B194" s="452"/>
      <c r="C194" s="453"/>
      <c r="D194" s="174"/>
      <c r="E194" s="104"/>
      <c r="F194" s="174"/>
      <c r="G194" s="104"/>
      <c r="H194" s="174"/>
      <c r="I194" s="104"/>
      <c r="J194" s="174"/>
      <c r="K194" s="104"/>
    </row>
    <row r="195" spans="1:11" s="291" customFormat="1" x14ac:dyDescent="0.25">
      <c r="A195" s="454"/>
      <c r="B195" s="455"/>
      <c r="C195" s="456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51"/>
      <c r="B196" s="452"/>
      <c r="C196" s="453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54"/>
      <c r="B197" s="455"/>
      <c r="C197" s="456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51"/>
      <c r="B198" s="452"/>
      <c r="C198" s="453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54"/>
      <c r="B199" s="455"/>
      <c r="C199" s="456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51"/>
      <c r="B200" s="452"/>
      <c r="C200" s="453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54"/>
      <c r="B201" s="455"/>
      <c r="C201" s="456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51"/>
      <c r="B202" s="452"/>
      <c r="C202" s="453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54"/>
      <c r="B203" s="455"/>
      <c r="C203" s="456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51"/>
      <c r="B204" s="452"/>
      <c r="C204" s="453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54"/>
      <c r="B205" s="455"/>
      <c r="C205" s="456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51"/>
      <c r="B206" s="452"/>
      <c r="C206" s="453"/>
      <c r="D206" s="174"/>
      <c r="E206" s="104"/>
      <c r="F206" s="174"/>
      <c r="G206" s="104"/>
      <c r="H206" s="174"/>
      <c r="I206" s="104"/>
      <c r="J206" s="174"/>
      <c r="K206" s="104"/>
    </row>
    <row r="207" spans="1:11" s="138" customFormat="1" x14ac:dyDescent="0.25">
      <c r="A207" s="454"/>
      <c r="B207" s="455"/>
      <c r="C207" s="456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51"/>
      <c r="B208" s="452"/>
      <c r="C208" s="453"/>
      <c r="D208" s="174"/>
      <c r="E208" s="104"/>
      <c r="F208" s="174"/>
      <c r="G208" s="104"/>
      <c r="H208" s="174"/>
      <c r="I208" s="104"/>
      <c r="J208" s="174"/>
      <c r="K208" s="104"/>
    </row>
    <row r="209" spans="1:11" s="138" customFormat="1" x14ac:dyDescent="0.25">
      <c r="A209" s="454"/>
      <c r="B209" s="455"/>
      <c r="C209" s="456"/>
      <c r="D209" s="177"/>
      <c r="E209" s="106"/>
      <c r="F209" s="177"/>
      <c r="G209" s="106"/>
      <c r="H209" s="177"/>
      <c r="I209" s="106"/>
      <c r="J209" s="177"/>
      <c r="K209" s="106"/>
    </row>
    <row r="210" spans="1:11" s="138" customFormat="1" x14ac:dyDescent="0.25">
      <c r="A210" s="451"/>
      <c r="B210" s="452"/>
      <c r="C210" s="453"/>
      <c r="D210" s="174"/>
      <c r="E210" s="104"/>
      <c r="F210" s="174"/>
      <c r="G210" s="104"/>
      <c r="H210" s="174"/>
      <c r="I210" s="104"/>
      <c r="J210" s="174"/>
      <c r="K210" s="104"/>
    </row>
    <row r="211" spans="1:11" s="138" customFormat="1" x14ac:dyDescent="0.25">
      <c r="A211" s="457"/>
      <c r="B211" s="458"/>
      <c r="C211" s="459"/>
      <c r="D211" s="178"/>
      <c r="E211" s="114"/>
      <c r="F211" s="178"/>
      <c r="G211" s="114"/>
      <c r="H211" s="178"/>
      <c r="I211" s="114"/>
      <c r="J211" s="178"/>
      <c r="K211" s="114"/>
    </row>
    <row r="212" spans="1:11" s="1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s="138" customFormat="1" x14ac:dyDescent="0.25">
      <c r="A213" s="460" t="s">
        <v>1873</v>
      </c>
      <c r="B213" s="461"/>
      <c r="C213" s="461"/>
      <c r="D213" s="461"/>
      <c r="E213" s="461"/>
      <c r="F213" s="461"/>
      <c r="G213" s="461"/>
      <c r="H213" s="461"/>
      <c r="I213" s="461"/>
      <c r="J213" s="461"/>
      <c r="K213" s="462"/>
    </row>
    <row r="214" spans="1:11" s="1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1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1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1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1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1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1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1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1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1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1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07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x14ac:dyDescent="0.25">
      <c r="A230" s="463"/>
      <c r="B230" s="464"/>
      <c r="C230" s="464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65"/>
      <c r="B231" s="465"/>
      <c r="C231" s="465"/>
      <c r="D231" s="173"/>
      <c r="E231" s="111"/>
      <c r="F231" s="173"/>
      <c r="G231" s="111"/>
      <c r="H231" s="173"/>
      <c r="I231" s="111"/>
      <c r="J231" s="173"/>
      <c r="K231" s="111"/>
    </row>
    <row r="232" spans="1:12" x14ac:dyDescent="0.25">
      <c r="A232" s="446"/>
      <c r="B232" s="446"/>
      <c r="C232" s="446"/>
      <c r="D232" s="183"/>
      <c r="E232" s="157"/>
      <c r="F232" s="183"/>
      <c r="G232" s="157"/>
      <c r="H232" s="183"/>
      <c r="I232" s="157"/>
      <c r="J232" s="183"/>
      <c r="K232" s="157"/>
    </row>
    <row r="233" spans="1:12" x14ac:dyDescent="0.25">
      <c r="A233" s="447"/>
      <c r="B233" s="447"/>
      <c r="C233" s="447"/>
      <c r="D233" s="177"/>
      <c r="E233" s="106"/>
      <c r="F233" s="177"/>
      <c r="G233" s="106"/>
      <c r="H233" s="177"/>
      <c r="I233" s="106"/>
      <c r="J233" s="177"/>
      <c r="K233" s="106"/>
      <c r="L233" s="138"/>
    </row>
    <row r="234" spans="1:12" x14ac:dyDescent="0.25">
      <c r="A234" s="446"/>
      <c r="B234" s="446"/>
      <c r="C234" s="446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47"/>
      <c r="B235" s="447"/>
      <c r="C235" s="447"/>
      <c r="D235" s="177"/>
      <c r="E235" s="106"/>
      <c r="F235" s="177"/>
      <c r="G235" s="106"/>
      <c r="H235" s="177"/>
      <c r="I235" s="106"/>
      <c r="J235" s="177"/>
      <c r="K235" s="106"/>
    </row>
    <row r="236" spans="1:12" s="138" customFormat="1" x14ac:dyDescent="0.25">
      <c r="A236" s="446"/>
      <c r="B236" s="446"/>
      <c r="C236" s="446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47"/>
      <c r="B237" s="447"/>
      <c r="C237" s="447"/>
      <c r="D237" s="105"/>
      <c r="E237" s="106"/>
      <c r="F237" s="105"/>
      <c r="G237" s="106"/>
      <c r="H237" s="105"/>
      <c r="I237" s="106"/>
      <c r="J237" s="105"/>
      <c r="K237" s="106"/>
    </row>
    <row r="238" spans="1:12" x14ac:dyDescent="0.25">
      <c r="A238" s="446"/>
      <c r="B238" s="446"/>
      <c r="C238" s="446"/>
      <c r="D238" s="174"/>
      <c r="E238" s="104"/>
      <c r="F238" s="174"/>
      <c r="G238" s="104"/>
      <c r="H238" s="174"/>
      <c r="I238" s="104"/>
      <c r="J238" s="174"/>
      <c r="K238" s="104"/>
    </row>
    <row r="239" spans="1:12" x14ac:dyDescent="0.25">
      <c r="A239" s="447"/>
      <c r="B239" s="447"/>
      <c r="C239" s="447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46"/>
      <c r="B240" s="446"/>
      <c r="C240" s="446"/>
      <c r="D240" s="174"/>
      <c r="E240" s="104"/>
      <c r="F240" s="174"/>
      <c r="G240" s="104"/>
      <c r="H240" s="174"/>
      <c r="I240" s="104"/>
      <c r="J240" s="174"/>
      <c r="K240" s="104"/>
    </row>
    <row r="241" spans="1:12" x14ac:dyDescent="0.25">
      <c r="A241" s="448"/>
      <c r="B241" s="449"/>
      <c r="C241" s="450"/>
      <c r="D241" s="182"/>
      <c r="E241" s="153"/>
      <c r="F241" s="182"/>
      <c r="G241" s="153"/>
      <c r="H241" s="182"/>
      <c r="I241" s="153"/>
      <c r="J241" s="182"/>
      <c r="K241" s="153"/>
    </row>
    <row r="242" spans="1:12" x14ac:dyDescent="0.25">
      <c r="A242" s="451"/>
      <c r="B242" s="452"/>
      <c r="C242" s="453"/>
      <c r="D242" s="174"/>
      <c r="E242" s="104"/>
      <c r="F242" s="174"/>
      <c r="G242" s="104"/>
      <c r="H242" s="174"/>
      <c r="I242" s="104"/>
      <c r="J242" s="174"/>
      <c r="K242" s="104"/>
    </row>
    <row r="243" spans="1:12" x14ac:dyDescent="0.25">
      <c r="A243" s="451"/>
      <c r="B243" s="452"/>
      <c r="C243" s="453"/>
      <c r="D243" s="174"/>
      <c r="E243" s="104"/>
      <c r="F243" s="174"/>
      <c r="G243" s="104"/>
      <c r="H243" s="174"/>
      <c r="I243" s="104"/>
      <c r="J243" s="174"/>
      <c r="K243" s="104"/>
    </row>
    <row r="244" spans="1:12" x14ac:dyDescent="0.25">
      <c r="A244" s="442"/>
      <c r="B244" s="443"/>
      <c r="C244" s="444"/>
      <c r="D244" s="179"/>
      <c r="E244" s="108"/>
      <c r="F244" s="179"/>
      <c r="G244" s="108"/>
      <c r="H244" s="179"/>
      <c r="I244" s="108"/>
      <c r="J244" s="179"/>
      <c r="K244" s="108"/>
    </row>
    <row r="245" spans="1:12" x14ac:dyDescent="0.25">
      <c r="C245" s="445" t="s">
        <v>3251</v>
      </c>
      <c r="D245" s="445"/>
      <c r="E245" s="445"/>
      <c r="F245" s="445"/>
      <c r="G245" s="445"/>
      <c r="H245" s="445"/>
      <c r="I245" s="445"/>
      <c r="J245" s="445"/>
      <c r="K245" s="445"/>
      <c r="L245" s="234"/>
    </row>
    <row r="246" spans="1:12" ht="15" customHeight="1" x14ac:dyDescent="0.25"/>
  </sheetData>
  <mergeCells count="183">
    <mergeCell ref="A239:C239"/>
    <mergeCell ref="A114:C114"/>
    <mergeCell ref="A241:C241"/>
    <mergeCell ref="A240:C240"/>
    <mergeCell ref="A208:C208"/>
    <mergeCell ref="A209:C209"/>
    <mergeCell ref="A210:C210"/>
    <mergeCell ref="A211:C211"/>
    <mergeCell ref="A213:K213"/>
    <mergeCell ref="A230:C230"/>
    <mergeCell ref="A231:C231"/>
    <mergeCell ref="A232:C232"/>
    <mergeCell ref="A233:C233"/>
    <mergeCell ref="A199:C199"/>
    <mergeCell ref="A200:C200"/>
    <mergeCell ref="A201:C201"/>
    <mergeCell ref="A202:C202"/>
    <mergeCell ref="A203:C203"/>
    <mergeCell ref="A204:C204"/>
    <mergeCell ref="A205:C205"/>
    <mergeCell ref="A206:C206"/>
    <mergeCell ref="A207:C207"/>
    <mergeCell ref="A190:C190"/>
    <mergeCell ref="A191:C191"/>
    <mergeCell ref="B5:D5"/>
    <mergeCell ref="F5:H5"/>
    <mergeCell ref="J5:K5"/>
    <mergeCell ref="B6:D6"/>
    <mergeCell ref="F6:H6"/>
    <mergeCell ref="J6:K6"/>
    <mergeCell ref="B7:D7"/>
    <mergeCell ref="F7:H7"/>
    <mergeCell ref="J7:K7"/>
    <mergeCell ref="A3:K3"/>
    <mergeCell ref="B4:D4"/>
    <mergeCell ref="F4:H4"/>
    <mergeCell ref="J4:K4"/>
    <mergeCell ref="A234:C234"/>
    <mergeCell ref="A235:C235"/>
    <mergeCell ref="A236:C236"/>
    <mergeCell ref="A237:C237"/>
    <mergeCell ref="A238:C238"/>
    <mergeCell ref="A192:C192"/>
    <mergeCell ref="A193:C193"/>
    <mergeCell ref="A194:C194"/>
    <mergeCell ref="A195:C195"/>
    <mergeCell ref="A196:C196"/>
    <mergeCell ref="A197:C197"/>
    <mergeCell ref="A198:C198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5:C185"/>
    <mergeCell ref="A186:C186"/>
    <mergeCell ref="A187:C187"/>
    <mergeCell ref="A188:C188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83:C183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51:C151"/>
    <mergeCell ref="A152:C152"/>
    <mergeCell ref="A153:C153"/>
    <mergeCell ref="A154:C154"/>
    <mergeCell ref="A155:C155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28:C128"/>
    <mergeCell ref="A133:C133"/>
    <mergeCell ref="A134:C134"/>
    <mergeCell ref="A135:C135"/>
    <mergeCell ref="A136:C136"/>
    <mergeCell ref="A137:C137"/>
    <mergeCell ref="A138:C138"/>
    <mergeCell ref="A140:C140"/>
    <mergeCell ref="A150:C150"/>
    <mergeCell ref="A139:C139"/>
    <mergeCell ref="A129:C129"/>
    <mergeCell ref="A130:C130"/>
    <mergeCell ref="A131:C131"/>
    <mergeCell ref="A132:C13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27:C127"/>
    <mergeCell ref="A119:C119"/>
    <mergeCell ref="A120:C120"/>
    <mergeCell ref="A104:C104"/>
    <mergeCell ref="A105:C105"/>
    <mergeCell ref="A112:C112"/>
    <mergeCell ref="A113:C113"/>
    <mergeCell ref="A111:C111"/>
    <mergeCell ref="A121:C121"/>
    <mergeCell ref="A122:C122"/>
    <mergeCell ref="B77:D77"/>
    <mergeCell ref="B78:D78"/>
    <mergeCell ref="B79:D79"/>
    <mergeCell ref="B80:D80"/>
    <mergeCell ref="B81:D81"/>
    <mergeCell ref="A98:K98"/>
    <mergeCell ref="A100:C100"/>
    <mergeCell ref="A101:C101"/>
    <mergeCell ref="A103:C103"/>
    <mergeCell ref="A102:C102"/>
    <mergeCell ref="A106:C106"/>
    <mergeCell ref="A107:C107"/>
    <mergeCell ref="A108:C108"/>
    <mergeCell ref="A109:C109"/>
    <mergeCell ref="A110:C110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C245:K245"/>
    <mergeCell ref="A242:C242"/>
    <mergeCell ref="A243:C243"/>
    <mergeCell ref="A244:C244"/>
    <mergeCell ref="B47:D47"/>
    <mergeCell ref="B48:D48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</mergeCells>
  <conditionalFormatting sqref="A121:K128 A153:K154 A231:K240 A104:K105 A112:K114 A155:D155 J155 H155 F155 A133:K138 A140:K151 A139 D139:K139">
    <cfRule type="expression" dxfId="83" priority="59">
      <formula>MOD(ROW(),2)=0</formula>
    </cfRule>
    <cfRule type="expression" dxfId="82" priority="60">
      <formula>MOD(ROW(),2)=1</formula>
    </cfRule>
  </conditionalFormatting>
  <conditionalFormatting sqref="A191:K211 A101:K101 A180:K180 A158:C179 E158:K179 A181:C181 E181:K181 A182:D182 F182:K182 A103:K103">
    <cfRule type="expression" dxfId="81" priority="57">
      <formula>MOD(ROW(),2)=0</formula>
    </cfRule>
    <cfRule type="expression" dxfId="80" priority="58">
      <formula>MOD(ROW(),2)=1</formula>
    </cfRule>
  </conditionalFormatting>
  <conditionalFormatting sqref="E182">
    <cfRule type="expression" dxfId="79" priority="51">
      <formula>MOD(ROW(),2)=0</formula>
    </cfRule>
    <cfRule type="expression" dxfId="78" priority="52">
      <formula>MOD(ROW(),2)=1</formula>
    </cfRule>
  </conditionalFormatting>
  <conditionalFormatting sqref="D159:D179">
    <cfRule type="expression" dxfId="77" priority="55">
      <formula>MOD(ROW(),2)=0</formula>
    </cfRule>
    <cfRule type="expression" dxfId="76" priority="56">
      <formula>MOD(ROW(),2)=1</formula>
    </cfRule>
  </conditionalFormatting>
  <conditionalFormatting sqref="D181">
    <cfRule type="expression" dxfId="75" priority="53">
      <formula>MOD(ROW(),2)=0</formula>
    </cfRule>
    <cfRule type="expression" dxfId="74" priority="54">
      <formula>MOD(ROW(),2)=1</formula>
    </cfRule>
  </conditionalFormatting>
  <conditionalFormatting sqref="D158">
    <cfRule type="expression" dxfId="73" priority="49">
      <formula>MOD(ROW(),2)=0</formula>
    </cfRule>
    <cfRule type="expression" dxfId="72" priority="50">
      <formula>MOD(ROW(),2)=1</formula>
    </cfRule>
  </conditionalFormatting>
  <conditionalFormatting sqref="B39:D40 F39:J40 B52:D54 E42:J54 B42:D50">
    <cfRule type="expression" dxfId="71" priority="47">
      <formula>MOD(ROW(),2)=1</formula>
    </cfRule>
    <cfRule type="expression" dxfId="70" priority="48">
      <formula>MOD(ROW(),2)=0</formula>
    </cfRule>
  </conditionalFormatting>
  <conditionalFormatting sqref="B58:D80 F58:J80">
    <cfRule type="expression" dxfId="69" priority="45">
      <formula>MOD(ROW(),2)=1</formula>
    </cfRule>
    <cfRule type="expression" dxfId="68" priority="46">
      <formula>MOD(ROW(),2)=0</formula>
    </cfRule>
  </conditionalFormatting>
  <conditionalFormatting sqref="A152:K152">
    <cfRule type="expression" dxfId="67" priority="41">
      <formula>MOD(ROW(),2)=0</formula>
    </cfRule>
    <cfRule type="expression" dxfId="66" priority="42">
      <formula>MOD(ROW(),2)=1</formula>
    </cfRule>
  </conditionalFormatting>
  <conditionalFormatting sqref="B41:D41 F41:J41">
    <cfRule type="expression" dxfId="65" priority="35">
      <formula>MOD(ROW(),2)=1</formula>
    </cfRule>
    <cfRule type="expression" dxfId="64" priority="36">
      <formula>MOD(ROW(),2)=0</formula>
    </cfRule>
  </conditionalFormatting>
  <conditionalFormatting sqref="A111:K111">
    <cfRule type="expression" dxfId="63" priority="33">
      <formula>MOD(ROW(),2)=0</formula>
    </cfRule>
    <cfRule type="expression" dxfId="62" priority="34">
      <formula>MOD(ROW(),2)=1</formula>
    </cfRule>
  </conditionalFormatting>
  <conditionalFormatting sqref="D115:K118">
    <cfRule type="expression" dxfId="61" priority="31">
      <formula>MOD(ROW(),2)=0</formula>
    </cfRule>
    <cfRule type="expression" dxfId="60" priority="32">
      <formula>MOD(ROW(),2)=1</formula>
    </cfRule>
  </conditionalFormatting>
  <conditionalFormatting sqref="A241:C244">
    <cfRule type="expression" dxfId="59" priority="29">
      <formula>MOD(ROW(),2)=0</formula>
    </cfRule>
    <cfRule type="expression" dxfId="58" priority="30">
      <formula>MOD(ROW(),2)=1</formula>
    </cfRule>
  </conditionalFormatting>
  <conditionalFormatting sqref="D241:K244">
    <cfRule type="expression" dxfId="57" priority="27">
      <formula>MOD(ROW(),2)=0</formula>
    </cfRule>
    <cfRule type="expression" dxfId="56" priority="28">
      <formula>MOD(ROW(),2)=1</formula>
    </cfRule>
  </conditionalFormatting>
  <conditionalFormatting sqref="E39:E40">
    <cfRule type="expression" dxfId="55" priority="25">
      <formula>MOD(ROW(),2)=1</formula>
    </cfRule>
    <cfRule type="expression" dxfId="54" priority="26">
      <formula>MOD(ROW(),2)=0</formula>
    </cfRule>
  </conditionalFormatting>
  <conditionalFormatting sqref="E41">
    <cfRule type="expression" dxfId="53" priority="23">
      <formula>MOD(ROW(),2)=1</formula>
    </cfRule>
    <cfRule type="expression" dxfId="52" priority="24">
      <formula>MOD(ROW(),2)=0</formula>
    </cfRule>
  </conditionalFormatting>
  <conditionalFormatting sqref="E58:E80">
    <cfRule type="expression" dxfId="51" priority="21">
      <formula>MOD(ROW(),2)=1</formula>
    </cfRule>
    <cfRule type="expression" dxfId="50" priority="22">
      <formula>MOD(ROW(),2)=0</formula>
    </cfRule>
  </conditionalFormatting>
  <conditionalFormatting sqref="B51:D51">
    <cfRule type="expression" dxfId="49" priority="19">
      <formula>MOD(ROW(),2)=1</formula>
    </cfRule>
    <cfRule type="expression" dxfId="48" priority="20">
      <formula>MOD(ROW(),2)=0</formula>
    </cfRule>
  </conditionalFormatting>
  <conditionalFormatting sqref="A115:A118">
    <cfRule type="expression" dxfId="47" priority="15">
      <formula>MOD(ROW(),2)=0</formula>
    </cfRule>
    <cfRule type="expression" dxfId="46" priority="16">
      <formula>MOD(ROW(),2)=1</formula>
    </cfRule>
  </conditionalFormatting>
  <conditionalFormatting sqref="E155 G155 I155 K155">
    <cfRule type="expression" dxfId="45" priority="13">
      <formula>MOD(ROW(),2)=0</formula>
    </cfRule>
    <cfRule type="expression" dxfId="44" priority="14">
      <formula>MOD(ROW(),2)=1</formula>
    </cfRule>
  </conditionalFormatting>
  <conditionalFormatting sqref="A102:K102">
    <cfRule type="expression" dxfId="43" priority="11">
      <formula>MOD(ROW(),2)=0</formula>
    </cfRule>
    <cfRule type="expression" dxfId="42" priority="12">
      <formula>MOD(ROW(),2)=1</formula>
    </cfRule>
  </conditionalFormatting>
  <conditionalFormatting sqref="A109:K110">
    <cfRule type="expression" dxfId="41" priority="9">
      <formula>MOD(ROW(),2)=0</formula>
    </cfRule>
    <cfRule type="expression" dxfId="40" priority="10">
      <formula>MOD(ROW(),2)=1</formula>
    </cfRule>
  </conditionalFormatting>
  <conditionalFormatting sqref="A106:K106 A108:K108">
    <cfRule type="expression" dxfId="39" priority="7">
      <formula>MOD(ROW(),2)=0</formula>
    </cfRule>
    <cfRule type="expression" dxfId="38" priority="8">
      <formula>MOD(ROW(),2)=1</formula>
    </cfRule>
  </conditionalFormatting>
  <conditionalFormatting sqref="A107:K107">
    <cfRule type="expression" dxfId="37" priority="5">
      <formula>MOD(ROW(),2)=0</formula>
    </cfRule>
    <cfRule type="expression" dxfId="36" priority="6">
      <formula>MOD(ROW(),2)=1</formula>
    </cfRule>
  </conditionalFormatting>
  <conditionalFormatting sqref="A129:K132">
    <cfRule type="expression" dxfId="35" priority="3">
      <formula>MOD(ROW(),2)=0</formula>
    </cfRule>
    <cfRule type="expression" dxfId="34" priority="4">
      <formula>MOD(ROW(),2)=1</formula>
    </cfRule>
  </conditionalFormatting>
  <conditionalFormatting sqref="A185:K188">
    <cfRule type="expression" dxfId="33" priority="1">
      <formula>MOD(ROW(),2)=1</formula>
    </cfRule>
    <cfRule type="expression" dxfId="32" priority="2">
      <formula>MOD(ROW(),2)=0</formula>
    </cfRule>
  </conditionalFormatting>
  <pageMargins left="0.7" right="0.7" top="0.75" bottom="0.75" header="0.3" footer="0.3"/>
  <pageSetup scale="47" orientation="portrait" r:id="rId1"/>
  <rowBreaks count="1" manualBreakCount="1">
    <brk id="17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7</vt:i4>
      </vt:variant>
    </vt:vector>
  </HeadingPairs>
  <TitlesOfParts>
    <vt:vector size="41" baseType="lpstr">
      <vt:lpstr>HEALTH_template_Q</vt:lpstr>
      <vt:lpstr>LIFE_template_Q</vt:lpstr>
      <vt:lpstr>Illiq_MPL_Q</vt:lpstr>
      <vt:lpstr>Liq_MPL_Q</vt:lpstr>
      <vt:lpstr>PC_template_Q</vt:lpstr>
      <vt:lpstr>Illiq_MPL</vt:lpstr>
      <vt:lpstr>Liq_MPL</vt:lpstr>
      <vt:lpstr>Sector_Info</vt:lpstr>
      <vt:lpstr>HEALTH_template</vt:lpstr>
      <vt:lpstr>LIFE_template</vt:lpstr>
      <vt:lpstr>PC_template</vt:lpstr>
      <vt:lpstr>Assets</vt:lpstr>
      <vt:lpstr>Asset_Alloc</vt:lpstr>
      <vt:lpstr>CashFlow</vt:lpstr>
      <vt:lpstr>SI01</vt:lpstr>
      <vt:lpstr>SI05_07</vt:lpstr>
      <vt:lpstr>E10</vt:lpstr>
      <vt:lpstr>E07</vt:lpstr>
      <vt:lpstr>BA_Disp</vt:lpstr>
      <vt:lpstr>BA_Acq</vt:lpstr>
      <vt:lpstr>Liq_Acq</vt:lpstr>
      <vt:lpstr>Liq_Disp</vt:lpstr>
      <vt:lpstr>Liquid_Assets</vt:lpstr>
      <vt:lpstr>Real_Estate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Sheet1</vt:lpstr>
      <vt:lpstr>CR</vt:lpstr>
      <vt:lpstr>'E10'!_FilterDatabase</vt:lpstr>
      <vt:lpstr>HEALTH_template!Print_Area</vt:lpstr>
      <vt:lpstr>HEALTH_template_Q!Print_Area</vt:lpstr>
      <vt:lpstr>LIFE_template!Print_Area</vt:lpstr>
      <vt:lpstr>LIFE_template_Q!Print_Area</vt:lpstr>
      <vt:lpstr>PC_template!Print_Area</vt:lpstr>
      <vt:lpstr>PC_template_Q!Print_Area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2017-04-14T12:51:29Z</cp:lastPrinted>
  <dcterms:created xsi:type="dcterms:W3CDTF">2017-01-18T18:44:51Z</dcterms:created>
  <dcterms:modified xsi:type="dcterms:W3CDTF">2017-10-06T21:11:13Z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