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200" yWindow="900" windowWidth="24420" windowHeight="14660" activeTab="4"/>
  </bookViews>
  <sheets>
    <sheet name="Index" sheetId="4" r:id="rId1"/>
    <sheet name="Tubing Volume" sheetId="3" r:id="rId2"/>
    <sheet name="Fraction Volume" sheetId="1" r:id="rId3"/>
    <sheet name="MS ppm" sheetId="2" r:id="rId4"/>
    <sheet name="dp Crossover" sheetId="5" r:id="rId5"/>
    <sheet name="Compare 2 Poppe" sheetId="6" r:id="rId6"/>
    <sheet name="2D PC" sheetId="7" r:id="rId7"/>
    <sheet name="Focusing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5" l="1"/>
  <c r="F15" i="5"/>
  <c r="F16" i="5"/>
  <c r="B23" i="5"/>
  <c r="F9" i="5"/>
  <c r="B22" i="5"/>
  <c r="F11" i="5"/>
  <c r="F3" i="5"/>
  <c r="F17" i="5"/>
  <c r="F18" i="5"/>
  <c r="F19" i="5"/>
  <c r="F5" i="5"/>
  <c r="F4" i="5"/>
  <c r="F2" i="5"/>
  <c r="F7" i="5"/>
  <c r="F8" i="5"/>
  <c r="F10" i="5"/>
  <c r="F14" i="5"/>
  <c r="F13" i="5"/>
  <c r="F12" i="5"/>
  <c r="F6" i="5"/>
  <c r="B25" i="8"/>
  <c r="C13" i="8"/>
  <c r="C14" i="8"/>
  <c r="C15" i="8"/>
  <c r="C25" i="8"/>
  <c r="D25" i="8"/>
  <c r="E25" i="8"/>
  <c r="B24" i="8"/>
  <c r="C24" i="8"/>
  <c r="D24" i="8"/>
  <c r="E24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C11" i="8"/>
  <c r="C12" i="8"/>
  <c r="D14" i="8"/>
  <c r="C17" i="8"/>
  <c r="C18" i="8"/>
  <c r="C19" i="8"/>
  <c r="C20" i="8"/>
  <c r="F24" i="8"/>
  <c r="H29" i="8"/>
  <c r="H22" i="8"/>
  <c r="I22" i="8"/>
  <c r="J22" i="8"/>
  <c r="K22" i="8"/>
  <c r="L22" i="8"/>
  <c r="M22" i="8"/>
  <c r="N22" i="8"/>
  <c r="O22" i="8"/>
  <c r="P22" i="8"/>
  <c r="H23" i="8"/>
  <c r="I23" i="8"/>
  <c r="J23" i="8"/>
  <c r="K23" i="8"/>
  <c r="L23" i="8"/>
  <c r="M23" i="8"/>
  <c r="N23" i="8"/>
  <c r="O23" i="8"/>
  <c r="P23" i="8"/>
  <c r="H24" i="8"/>
  <c r="I24" i="8"/>
  <c r="J24" i="8"/>
  <c r="K24" i="8"/>
  <c r="L24" i="8"/>
  <c r="M24" i="8"/>
  <c r="N24" i="8"/>
  <c r="O24" i="8"/>
  <c r="P24" i="8"/>
  <c r="H25" i="8"/>
  <c r="I25" i="8"/>
  <c r="J25" i="8"/>
  <c r="K25" i="8"/>
  <c r="L25" i="8"/>
  <c r="M25" i="8"/>
  <c r="N25" i="8"/>
  <c r="O25" i="8"/>
  <c r="P25" i="8"/>
  <c r="H26" i="8"/>
  <c r="I26" i="8"/>
  <c r="J26" i="8"/>
  <c r="K26" i="8"/>
  <c r="L26" i="8"/>
  <c r="M26" i="8"/>
  <c r="N26" i="8"/>
  <c r="O26" i="8"/>
  <c r="P26" i="8"/>
  <c r="H27" i="8"/>
  <c r="I27" i="8"/>
  <c r="J27" i="8"/>
  <c r="K27" i="8"/>
  <c r="L27" i="8"/>
  <c r="M27" i="8"/>
  <c r="N27" i="8"/>
  <c r="O27" i="8"/>
  <c r="P27" i="8"/>
  <c r="H28" i="8"/>
  <c r="I28" i="8"/>
  <c r="J28" i="8"/>
  <c r="K28" i="8"/>
  <c r="L28" i="8"/>
  <c r="M28" i="8"/>
  <c r="N28" i="8"/>
  <c r="O28" i="8"/>
  <c r="P28" i="8"/>
  <c r="I29" i="8"/>
  <c r="J29" i="8"/>
  <c r="K29" i="8"/>
  <c r="L29" i="8"/>
  <c r="M29" i="8"/>
  <c r="N29" i="8"/>
  <c r="O29" i="8"/>
  <c r="P29" i="8"/>
  <c r="J21" i="8"/>
  <c r="K21" i="8"/>
  <c r="L21" i="8"/>
  <c r="M21" i="8"/>
  <c r="N21" i="8"/>
  <c r="O21" i="8"/>
  <c r="P21" i="8"/>
  <c r="I21" i="8"/>
  <c r="H21" i="8"/>
  <c r="B30" i="8"/>
  <c r="C30" i="8"/>
  <c r="D30" i="8"/>
  <c r="B31" i="8"/>
  <c r="C31" i="8"/>
  <c r="D31" i="8"/>
  <c r="E30" i="8"/>
  <c r="E31" i="8"/>
  <c r="C21" i="8"/>
  <c r="F12" i="7"/>
  <c r="C12" i="7"/>
  <c r="D12" i="7"/>
  <c r="A12" i="7"/>
  <c r="D11" i="7"/>
  <c r="F11" i="7"/>
  <c r="D13" i="7"/>
  <c r="F13" i="7"/>
  <c r="D14" i="7"/>
  <c r="F14" i="7"/>
  <c r="D15" i="7"/>
  <c r="F15" i="7"/>
  <c r="D16" i="7"/>
  <c r="F16" i="7"/>
  <c r="F10" i="7"/>
  <c r="C11" i="7"/>
  <c r="C13" i="7"/>
  <c r="C14" i="7"/>
  <c r="C15" i="7"/>
  <c r="C16" i="7"/>
  <c r="C10" i="7"/>
  <c r="A11" i="7"/>
  <c r="A13" i="7"/>
  <c r="A14" i="7"/>
  <c r="A15" i="7"/>
  <c r="A16" i="7"/>
  <c r="A10" i="7"/>
  <c r="D10" i="7"/>
  <c r="B4" i="7"/>
  <c r="B3" i="7"/>
  <c r="B6" i="3"/>
  <c r="F14" i="3"/>
  <c r="F8" i="3"/>
  <c r="B3" i="2"/>
  <c r="B5" i="1"/>
  <c r="B6" i="1"/>
</calcChain>
</file>

<file path=xl/sharedStrings.xml><?xml version="1.0" encoding="utf-8"?>
<sst xmlns="http://schemas.openxmlformats.org/spreadsheetml/2006/main" count="150" uniqueCount="122">
  <si>
    <t>ts (s)</t>
  </si>
  <si>
    <t>F (uL/min.)</t>
  </si>
  <si>
    <t>Split (uL/min.)</t>
  </si>
  <si>
    <t>Dilution (uL/min.)</t>
  </si>
  <si>
    <t>Vinj (uL)</t>
  </si>
  <si>
    <t>Total Flow (uL/min.)</t>
  </si>
  <si>
    <t>m/z</t>
  </si>
  <si>
    <t>ppm</t>
  </si>
  <si>
    <t>+/- Da</t>
  </si>
  <si>
    <t>Length</t>
  </si>
  <si>
    <t>Diameter</t>
  </si>
  <si>
    <t>Volume</t>
  </si>
  <si>
    <t>mm</t>
  </si>
  <si>
    <t>cm</t>
  </si>
  <si>
    <t>in</t>
  </si>
  <si>
    <t>Blind to user</t>
  </si>
  <si>
    <t>Choice</t>
  </si>
  <si>
    <t>Selection</t>
  </si>
  <si>
    <t>Conv. Factor</t>
  </si>
  <si>
    <t>Options</t>
  </si>
  <si>
    <t>mL</t>
  </si>
  <si>
    <t>Inputs</t>
  </si>
  <si>
    <t>Outputs</t>
  </si>
  <si>
    <t>uL</t>
  </si>
  <si>
    <t>Basics</t>
  </si>
  <si>
    <t>Tubing Volume</t>
  </si>
  <si>
    <t>Dynamics-1</t>
  </si>
  <si>
    <t>Dynamics-2</t>
  </si>
  <si>
    <t>Particle Size Crossover</t>
  </si>
  <si>
    <t>For 2D-LC</t>
  </si>
  <si>
    <t>For LC-MS</t>
  </si>
  <si>
    <t>A</t>
  </si>
  <si>
    <t>B</t>
  </si>
  <si>
    <t>C</t>
  </si>
  <si>
    <t>van Deemter Coefficients (hover = in reduced coordinates)</t>
  </si>
  <si>
    <t>Dropdown w/min or sec</t>
  </si>
  <si>
    <t>Conditions</t>
  </si>
  <si>
    <t>Mobile phase composition (%ACN, 0-1 scale)</t>
  </si>
  <si>
    <t>Temperature ( C)</t>
  </si>
  <si>
    <t>Intermediate values, blind to user</t>
  </si>
  <si>
    <t>Temperature (K)</t>
  </si>
  <si>
    <t>dp(1) (um)</t>
  </si>
  <si>
    <t>dp(2) (um)</t>
  </si>
  <si>
    <t>Column length(1) (cm)</t>
  </si>
  <si>
    <t>Column length(2) (cm)</t>
  </si>
  <si>
    <t>dp(1) (cm)</t>
  </si>
  <si>
    <t>dp(2) (cm)</t>
  </si>
  <si>
    <t>%Loss in N relative to K-S</t>
  </si>
  <si>
    <t>Column diameter (mm)</t>
  </si>
  <si>
    <t>Flow rate (1) (mL/min.)</t>
  </si>
  <si>
    <t>Flow rate (2) (mL/min.)</t>
  </si>
  <si>
    <t>Column Properties</t>
  </si>
  <si>
    <r>
      <t>Flow resistance parameter (</t>
    </r>
    <r>
      <rPr>
        <sz val="11"/>
        <color theme="1"/>
        <rFont val="Symbol"/>
      </rPr>
      <t>F</t>
    </r>
    <r>
      <rPr>
        <sz val="11"/>
        <color theme="1"/>
        <rFont val="Calibri"/>
        <family val="2"/>
        <scheme val="minor"/>
      </rPr>
      <t>)</t>
    </r>
  </si>
  <si>
    <r>
      <t>Intraparticle porosity (</t>
    </r>
    <r>
      <rPr>
        <sz val="11"/>
        <color theme="1"/>
        <rFont val="Symbol"/>
      </rPr>
      <t>e</t>
    </r>
    <r>
      <rPr>
        <sz val="11"/>
        <color theme="1"/>
        <rFont val="Calibri"/>
        <family val="2"/>
        <scheme val="minor"/>
      </rPr>
      <t>i)</t>
    </r>
  </si>
  <si>
    <r>
      <t>Interstitial porosity (</t>
    </r>
    <r>
      <rPr>
        <sz val="11"/>
        <color theme="1"/>
        <rFont val="Symbol"/>
      </rPr>
      <t>e</t>
    </r>
    <r>
      <rPr>
        <sz val="11"/>
        <color theme="1"/>
        <rFont val="Calibri"/>
        <family val="2"/>
        <scheme val="minor"/>
      </rPr>
      <t>e)</t>
    </r>
  </si>
  <si>
    <t>Viscosity (cP)</t>
  </si>
  <si>
    <t>Compare 2 Poppe Isocratic</t>
  </si>
  <si>
    <t>Crossover plate count (N)</t>
  </si>
  <si>
    <t>Solute Molecular Weight (g/mol)</t>
  </si>
  <si>
    <r>
      <t>Diffusion coefficient (cm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</si>
  <si>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Maximum pressure (bar)</t>
  </si>
  <si>
    <t>Psi</t>
  </si>
  <si>
    <r>
      <rPr>
        <sz val="11"/>
        <color theme="1"/>
        <rFont val="Symbol"/>
      </rPr>
      <t>e</t>
    </r>
    <r>
      <rPr>
        <sz val="11"/>
        <color theme="1"/>
        <rFont val="Calibri"/>
        <family val="2"/>
        <scheme val="minor"/>
      </rPr>
      <t>T</t>
    </r>
  </si>
  <si>
    <t>Lambda</t>
  </si>
  <si>
    <t>Crossover time (to) (sec)</t>
  </si>
  <si>
    <t>Crossover plate height (h)</t>
  </si>
  <si>
    <t>1nc</t>
  </si>
  <si>
    <t>tg (min.)</t>
  </si>
  <si>
    <t>8*1s (min.)</t>
  </si>
  <si>
    <t>8*1s (sec.)</t>
  </si>
  <si>
    <t>treeq (sec.)</t>
  </si>
  <si>
    <t>2tg (sec.)</t>
  </si>
  <si>
    <t>2tcycle (sec.)</t>
  </si>
  <si>
    <t>beta</t>
  </si>
  <si>
    <t>1nc/beta</t>
  </si>
  <si>
    <t>2nc</t>
  </si>
  <si>
    <t>nc,2D</t>
  </si>
  <si>
    <t>a</t>
  </si>
  <si>
    <t>b</t>
  </si>
  <si>
    <t>Column Diameter (mm)</t>
  </si>
  <si>
    <t>Column Length (mm)</t>
  </si>
  <si>
    <t>Column Efficiency (N)</t>
  </si>
  <si>
    <t>Flow Rate (mL/min.)</t>
  </si>
  <si>
    <t>k,mp</t>
  </si>
  <si>
    <t>k,ss</t>
  </si>
  <si>
    <t>Injection Volume (uL)</t>
  </si>
  <si>
    <t>Column Variance (uL2)</t>
  </si>
  <si>
    <t>Injection Variance (uL2)</t>
  </si>
  <si>
    <t>Effective Efficiency (Neff)</t>
  </si>
  <si>
    <t>% Loss in N</t>
  </si>
  <si>
    <t>Total Variance (uL2)</t>
  </si>
  <si>
    <t>Column Dead Volume (mL)</t>
  </si>
  <si>
    <t>Internal Porosity</t>
  </si>
  <si>
    <t>Interstitial Porosity</t>
  </si>
  <si>
    <t>Total Porosity</t>
  </si>
  <si>
    <t>Retention Time (min.)</t>
  </si>
  <si>
    <t>Injection Factor (4 or 12)</t>
  </si>
  <si>
    <t>Inj. Vol. (uL)</t>
  </si>
  <si>
    <t>Inj. Var (uL2)</t>
  </si>
  <si>
    <t>Tot. Var. (uL2)</t>
  </si>
  <si>
    <t>Eff. N</t>
  </si>
  <si>
    <t>w1/2 (s)</t>
  </si>
  <si>
    <t>kmp</t>
  </si>
  <si>
    <t>kss</t>
  </si>
  <si>
    <t>1,1</t>
  </si>
  <si>
    <t>Normalized widths</t>
  </si>
  <si>
    <t>1,3</t>
  </si>
  <si>
    <t>1,10</t>
  </si>
  <si>
    <t>3,3</t>
  </si>
  <si>
    <t>3,9</t>
  </si>
  <si>
    <t>3,30</t>
  </si>
  <si>
    <t>10,10</t>
  </si>
  <si>
    <t>10,30</t>
  </si>
  <si>
    <t>Nw</t>
  </si>
  <si>
    <t>Column Variance (min.2)</t>
  </si>
  <si>
    <t>Total Variance (min.2)</t>
  </si>
  <si>
    <t>Internal diameter (mm)</t>
  </si>
  <si>
    <t>Reduced velocity (2)</t>
  </si>
  <si>
    <t>Reduced velocity (1)</t>
  </si>
  <si>
    <t>ue,1 (cm/s)</t>
  </si>
  <si>
    <t>ue,2 (cm/s)</t>
  </si>
  <si>
    <t>N (K-S)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</si>
</sst>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E+00;\_x0000_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8000"/>
      <name val="Calibri"/>
      <scheme val="minor"/>
    </font>
    <font>
      <b/>
      <sz val="11"/>
      <color rgb="FF0000FF"/>
      <name val="Calibri"/>
      <scheme val="minor"/>
    </font>
    <font>
      <b/>
      <sz val="11"/>
      <name val="Calibri"/>
      <scheme val="minor"/>
    </font>
    <font>
      <sz val="11"/>
      <color rgb="FF008000"/>
      <name val="Calibri"/>
      <scheme val="minor"/>
    </font>
    <font>
      <sz val="11"/>
      <color rgb="FF0000FF"/>
      <name val="Calibri"/>
      <scheme val="minor"/>
    </font>
    <font>
      <sz val="11"/>
      <name val="Calibri"/>
      <scheme val="minor"/>
    </font>
    <font>
      <sz val="11"/>
      <color theme="1"/>
      <name val="Symbol"/>
    </font>
    <font>
      <vertAlign val="superscript"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3" borderId="6" xfId="0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5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2" borderId="0" xfId="0" applyFont="1" applyFill="1" applyBorder="1"/>
    <xf numFmtId="165" fontId="9" fillId="3" borderId="7" xfId="0" applyNumberFormat="1" applyFont="1" applyFill="1" applyBorder="1"/>
    <xf numFmtId="0" fontId="1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'2D PC'!$D$9</c:f>
              <c:strCache>
                <c:ptCount val="1"/>
                <c:pt idx="0">
                  <c:v>1nc/beta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'2D PC'!$B$10:$B$16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21.0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'2D PC'!$D$10:$D$16</c:f>
              <c:numCache>
                <c:formatCode>0</c:formatCode>
                <c:ptCount val="7"/>
                <c:pt idx="0">
                  <c:v>69.7224160785178</c:v>
                </c:pt>
                <c:pt idx="1">
                  <c:v>54.40512641343336</c:v>
                </c:pt>
                <c:pt idx="2">
                  <c:v>42.02643243170115</c:v>
                </c:pt>
                <c:pt idx="3">
                  <c:v>30.84027972260563</c:v>
                </c:pt>
                <c:pt idx="4">
                  <c:v>16.00142241187995</c:v>
                </c:pt>
                <c:pt idx="5">
                  <c:v>10.74430618700507</c:v>
                </c:pt>
                <c:pt idx="6">
                  <c:v>8.0786561106427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85608"/>
        <c:axId val="768844152"/>
      </c:scatterChart>
      <c:valAx>
        <c:axId val="75698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30000"/>
                  <a:t>2</a:t>
                </a:r>
                <a:r>
                  <a:rPr lang="en-US" sz="1400"/>
                  <a:t>t</a:t>
                </a:r>
                <a:r>
                  <a:rPr lang="en-US" sz="1400" baseline="-25000"/>
                  <a:t>cycle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3658355205599"/>
              <c:y val="0.8666670312044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68844152"/>
        <c:crosses val="autoZero"/>
        <c:crossBetween val="midCat"/>
      </c:valAx>
      <c:valAx>
        <c:axId val="768844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Effective </a:t>
                </a:r>
                <a:r>
                  <a:rPr lang="en-US" sz="1400" baseline="30000"/>
                  <a:t>1</a:t>
                </a:r>
                <a:r>
                  <a:rPr lang="en-US" sz="1400"/>
                  <a:t>n</a:t>
                </a:r>
                <a:r>
                  <a:rPr lang="en-US" sz="1400" baseline="-25000"/>
                  <a:t>c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242082239720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56985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'2D PC'!$E$9</c:f>
              <c:strCache>
                <c:ptCount val="1"/>
                <c:pt idx="0">
                  <c:v>2nc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'2D PC'!$B$10:$B$16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21.0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'2D PC'!$E$10:$E$16</c:f>
              <c:numCache>
                <c:formatCode>General</c:formatCode>
                <c:ptCount val="7"/>
                <c:pt idx="0">
                  <c:v>16.3</c:v>
                </c:pt>
                <c:pt idx="1">
                  <c:v>29.0</c:v>
                </c:pt>
                <c:pt idx="2">
                  <c:v>40.0</c:v>
                </c:pt>
                <c:pt idx="3">
                  <c:v>52.8</c:v>
                </c:pt>
                <c:pt idx="4">
                  <c:v>70.3</c:v>
                </c:pt>
                <c:pt idx="5">
                  <c:v>78.7</c:v>
                </c:pt>
                <c:pt idx="6">
                  <c:v>83.9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54952"/>
        <c:axId val="775238152"/>
      </c:scatterChart>
      <c:valAx>
        <c:axId val="7690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30000"/>
                  <a:t>2</a:t>
                </a:r>
                <a:r>
                  <a:rPr lang="en-US" sz="1400"/>
                  <a:t>t</a:t>
                </a:r>
                <a:r>
                  <a:rPr lang="en-US" sz="1400" baseline="-25000"/>
                  <a:t>cycle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3658355205599"/>
              <c:y val="0.8666670312044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5238152"/>
        <c:crosses val="autoZero"/>
        <c:crossBetween val="midCat"/>
      </c:valAx>
      <c:valAx>
        <c:axId val="775238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30000"/>
                  <a:t>2</a:t>
                </a:r>
                <a:r>
                  <a:rPr lang="en-US" sz="1400"/>
                  <a:t>n</a:t>
                </a:r>
                <a:r>
                  <a:rPr lang="en-US" sz="1400" baseline="-25000"/>
                  <a:t>c</a:t>
                </a:r>
              </a:p>
            </c:rich>
          </c:tx>
          <c:layout>
            <c:manualLayout>
              <c:xMode val="edge"/>
              <c:yMode val="edge"/>
              <c:x val="0.025"/>
              <c:y val="0.347302420530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69054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'2D PC'!$F$9</c:f>
              <c:strCache>
                <c:ptCount val="1"/>
                <c:pt idx="0">
                  <c:v>nc,2D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'2D PC'!$B$10:$B$16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21.0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'2D PC'!$F$10:$F$16</c:f>
              <c:numCache>
                <c:formatCode>0</c:formatCode>
                <c:ptCount val="7"/>
                <c:pt idx="0">
                  <c:v>1136.47538207984</c:v>
                </c:pt>
                <c:pt idx="1">
                  <c:v>1577.748665989568</c:v>
                </c:pt>
                <c:pt idx="2">
                  <c:v>1681.057297268046</c:v>
                </c:pt>
                <c:pt idx="3">
                  <c:v>1628.366769353577</c:v>
                </c:pt>
                <c:pt idx="4">
                  <c:v>1124.899995555161</c:v>
                </c:pt>
                <c:pt idx="5">
                  <c:v>845.5768969172992</c:v>
                </c:pt>
                <c:pt idx="6">
                  <c:v>677.7992476829227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52584"/>
        <c:axId val="783205224"/>
      </c:scatterChart>
      <c:valAx>
        <c:axId val="78635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30000"/>
                  <a:t>2</a:t>
                </a:r>
                <a:r>
                  <a:rPr lang="en-US" sz="1400"/>
                  <a:t>t</a:t>
                </a:r>
                <a:r>
                  <a:rPr lang="en-US" sz="1400" baseline="-25000"/>
                  <a:t>cycle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3658355205599"/>
              <c:y val="0.8666670312044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3205224"/>
        <c:crosses val="autoZero"/>
        <c:crossBetween val="midCat"/>
      </c:valAx>
      <c:valAx>
        <c:axId val="783205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</a:t>
                </a:r>
                <a:r>
                  <a:rPr lang="en-US" sz="1400" baseline="-25000"/>
                  <a:t>c,2D</a:t>
                </a:r>
              </a:p>
            </c:rich>
          </c:tx>
          <c:layout>
            <c:manualLayout>
              <c:xMode val="edge"/>
              <c:yMode val="edge"/>
              <c:x val="0.025"/>
              <c:y val="0.32781058617672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6352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Focusing!$H$20</c:f>
              <c:strCache>
                <c:ptCount val="1"/>
                <c:pt idx="0">
                  <c:v>1,1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Focusing!$H$21:$H$27</c:f>
              <c:numCache>
                <c:formatCode>General</c:formatCode>
                <c:ptCount val="7"/>
                <c:pt idx="0">
                  <c:v>100.0</c:v>
                </c:pt>
                <c:pt idx="1">
                  <c:v>100.2746046587351</c:v>
                </c:pt>
                <c:pt idx="2">
                  <c:v>102.176174892804</c:v>
                </c:pt>
                <c:pt idx="3">
                  <c:v>108.6962704160777</c:v>
                </c:pt>
                <c:pt idx="4">
                  <c:v>131.5846235276978</c:v>
                </c:pt>
                <c:pt idx="5">
                  <c:v>236.2455306981531</c:v>
                </c:pt>
                <c:pt idx="6">
                  <c:v>439.6621423762497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Focusing!$I$20</c:f>
              <c:strCache>
                <c:ptCount val="1"/>
                <c:pt idx="0">
                  <c:v>1,3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Focusing!$I$21:$I$27</c:f>
              <c:numCache>
                <c:formatCode>General</c:formatCode>
                <c:ptCount val="7"/>
                <c:pt idx="0">
                  <c:v>100.0</c:v>
                </c:pt>
                <c:pt idx="1">
                  <c:v>100.0688163946519</c:v>
                </c:pt>
                <c:pt idx="2">
                  <c:v>100.5492124136855</c:v>
                </c:pt>
                <c:pt idx="3">
                  <c:v>102.2464888525585</c:v>
                </c:pt>
                <c:pt idx="4">
                  <c:v>108.7710712704991</c:v>
                </c:pt>
                <c:pt idx="5">
                  <c:v>146.5222037232633</c:v>
                </c:pt>
                <c:pt idx="6">
                  <c:v>236.4081063549059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Focusing!$J$20</c:f>
              <c:strCache>
                <c:ptCount val="1"/>
                <c:pt idx="0">
                  <c:v>1,10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Focusing!$J$21:$J$27</c:f>
              <c:numCache>
                <c:formatCode>General</c:formatCode>
                <c:ptCount val="7"/>
                <c:pt idx="0">
                  <c:v>100.0</c:v>
                </c:pt>
                <c:pt idx="1">
                  <c:v>100.009106031616</c:v>
                </c:pt>
                <c:pt idx="2">
                  <c:v>100.0728250522792</c:v>
                </c:pt>
                <c:pt idx="3">
                  <c:v>100.3000625374647</c:v>
                </c:pt>
                <c:pt idx="4">
                  <c:v>101.2039103459955</c:v>
                </c:pt>
                <c:pt idx="5">
                  <c:v>107.3179106180657</c:v>
                </c:pt>
                <c:pt idx="6">
                  <c:v>126.7689119893026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Focusing!$K$20</c:f>
              <c:strCache>
                <c:ptCount val="1"/>
                <c:pt idx="0">
                  <c:v>3,3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Focusing!$K$21:$K$27</c:f>
              <c:numCache>
                <c:formatCode>General</c:formatCode>
                <c:ptCount val="7"/>
                <c:pt idx="0">
                  <c:v>100.0</c:v>
                </c:pt>
                <c:pt idx="1">
                  <c:v>100.0688163946519</c:v>
                </c:pt>
                <c:pt idx="2">
                  <c:v>100.5492124136855</c:v>
                </c:pt>
                <c:pt idx="3">
                  <c:v>102.2464888525585</c:v>
                </c:pt>
                <c:pt idx="4">
                  <c:v>108.7710712704991</c:v>
                </c:pt>
                <c:pt idx="5">
                  <c:v>146.5222037232633</c:v>
                </c:pt>
                <c:pt idx="6">
                  <c:v>236.4081063549059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Focusing!$L$20</c:f>
              <c:strCache>
                <c:ptCount val="1"/>
                <c:pt idx="0">
                  <c:v>3,9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Focusing!$L$21:$L$27</c:f>
              <c:numCache>
                <c:formatCode>General</c:formatCode>
                <c:ptCount val="7"/>
                <c:pt idx="0">
                  <c:v>100.0</c:v>
                </c:pt>
                <c:pt idx="1">
                  <c:v>100.0110180524556</c:v>
                </c:pt>
                <c:pt idx="2">
                  <c:v>100.0881104582801</c:v>
                </c:pt>
                <c:pt idx="3">
                  <c:v>100.3629570724384</c:v>
                </c:pt>
                <c:pt idx="4">
                  <c:v>101.4548980640416</c:v>
                </c:pt>
                <c:pt idx="5">
                  <c:v>108.7920431980747</c:v>
                </c:pt>
                <c:pt idx="6">
                  <c:v>131.7005633425142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Focusing!$M$20</c:f>
              <c:strCache>
                <c:ptCount val="1"/>
                <c:pt idx="0">
                  <c:v>3,30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Focusing!$M$21:$M$27</c:f>
              <c:numCache>
                <c:formatCode>General</c:formatCode>
                <c:ptCount val="7"/>
                <c:pt idx="0">
                  <c:v>100.0</c:v>
                </c:pt>
                <c:pt idx="1">
                  <c:v>100.0011466515603</c:v>
                </c:pt>
                <c:pt idx="2">
                  <c:v>100.0091728443694</c:v>
                </c:pt>
                <c:pt idx="3">
                  <c:v>100.0378325619199</c:v>
                </c:pt>
                <c:pt idx="4">
                  <c:v>100.1523894191934</c:v>
                </c:pt>
                <c:pt idx="5">
                  <c:v>100.9506475718857</c:v>
                </c:pt>
                <c:pt idx="6">
                  <c:v>103.7514448687783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Focusing!$N$20</c:f>
              <c:strCache>
                <c:ptCount val="1"/>
                <c:pt idx="0">
                  <c:v>10,10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Focusing!$N$21:$N$27</c:f>
              <c:numCache>
                <c:formatCode>General</c:formatCode>
                <c:ptCount val="7"/>
                <c:pt idx="0">
                  <c:v>100.0</c:v>
                </c:pt>
                <c:pt idx="1">
                  <c:v>100.009106031616</c:v>
                </c:pt>
                <c:pt idx="2">
                  <c:v>100.0728250522792</c:v>
                </c:pt>
                <c:pt idx="3">
                  <c:v>100.3000625374647</c:v>
                </c:pt>
                <c:pt idx="4">
                  <c:v>101.2039103459955</c:v>
                </c:pt>
                <c:pt idx="5">
                  <c:v>107.3179106180657</c:v>
                </c:pt>
                <c:pt idx="6">
                  <c:v>126.7689119893026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Focusing!$O$20</c:f>
              <c:strCache>
                <c:ptCount val="1"/>
                <c:pt idx="0">
                  <c:v>10,30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Focusing!$O$21:$O$27</c:f>
              <c:numCache>
                <c:formatCode>General</c:formatCode>
                <c:ptCount val="7"/>
                <c:pt idx="0">
                  <c:v>100.0</c:v>
                </c:pt>
                <c:pt idx="1">
                  <c:v>100.0011466515603</c:v>
                </c:pt>
                <c:pt idx="2">
                  <c:v>100.0091728443694</c:v>
                </c:pt>
                <c:pt idx="3">
                  <c:v>100.0378325619199</c:v>
                </c:pt>
                <c:pt idx="4">
                  <c:v>100.1523894191934</c:v>
                </c:pt>
                <c:pt idx="5">
                  <c:v>100.9506475718857</c:v>
                </c:pt>
                <c:pt idx="6">
                  <c:v>103.7514448687783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Focusing!$P$20</c:f>
              <c:strCache>
                <c:ptCount val="1"/>
                <c:pt idx="0">
                  <c:v>10100</c:v>
                </c:pt>
              </c:strCache>
            </c:strRef>
          </c:tx>
          <c:xVal>
            <c:numRef>
              <c:f>Focusing!$G$21:$G$27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Focusing!$P$21:$P$27</c:f>
              <c:numCache>
                <c:formatCode>General</c:formatCode>
                <c:ptCount val="7"/>
                <c:pt idx="0">
                  <c:v>100.0</c:v>
                </c:pt>
                <c:pt idx="1">
                  <c:v>100.0001080232822</c:v>
                </c:pt>
                <c:pt idx="2">
                  <c:v>100.0008641829906</c:v>
                </c:pt>
                <c:pt idx="3">
                  <c:v>100.0035647067034</c:v>
                </c:pt>
                <c:pt idx="4">
                  <c:v>100.0143660723768</c:v>
                </c:pt>
                <c:pt idx="5">
                  <c:v>100.0899429939916</c:v>
                </c:pt>
                <c:pt idx="6">
                  <c:v>100.3593959668455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54520"/>
        <c:axId val="785283256"/>
      </c:scatterChart>
      <c:valAx>
        <c:axId val="77705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283256"/>
        <c:crosses val="autoZero"/>
        <c:crossBetween val="midCat"/>
      </c:valAx>
      <c:valAx>
        <c:axId val="785283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705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44" dropStyle="combo" dx="16" fmlaLink="$F$4" fmlaRange="$G$6:$G$8" sel="2" val="0"/>
</file>

<file path=xl/ctrlProps/ctrlProp2.xml><?xml version="1.0" encoding="utf-8"?>
<formControlPr xmlns="http://schemas.microsoft.com/office/spreadsheetml/2009/9/main" objectType="Drop" dropLines="44" dropStyle="combo" dx="16" fmlaLink="$F$10" fmlaRange="$G$12:$G$14" val="0"/>
</file>

<file path=xl/ctrlProps/ctrlProp3.xml><?xml version="1.0" encoding="utf-8"?>
<formControlPr xmlns="http://schemas.microsoft.com/office/spreadsheetml/2009/9/main" objectType="Drop" dropLines="44" dropStyle="combo" dx="16" fmlaLink="$F$16" fmlaRange="$G$18:$G$19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</xdr:row>
          <xdr:rowOff>25400</xdr:rowOff>
        </xdr:from>
        <xdr:to>
          <xdr:col>2</xdr:col>
          <xdr:colOff>584200</xdr:colOff>
          <xdr:row>1</xdr:row>
          <xdr:rowOff>266700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12700</xdr:rowOff>
        </xdr:from>
        <xdr:to>
          <xdr:col>2</xdr:col>
          <xdr:colOff>596900</xdr:colOff>
          <xdr:row>2</xdr:row>
          <xdr:rowOff>254000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25400</xdr:rowOff>
        </xdr:from>
        <xdr:to>
          <xdr:col>2</xdr:col>
          <xdr:colOff>584200</xdr:colOff>
          <xdr:row>5</xdr:row>
          <xdr:rowOff>266700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</xdr:colOff>
      <xdr:row>24</xdr:row>
      <xdr:rowOff>152400</xdr:rowOff>
    </xdr:from>
    <xdr:to>
      <xdr:col>7</xdr:col>
      <xdr:colOff>522513</xdr:colOff>
      <xdr:row>37</xdr:row>
      <xdr:rowOff>7257</xdr:rowOff>
    </xdr:to>
    <xdr:sp macro="" textlink="">
      <xdr:nvSpPr>
        <xdr:cNvPr id="2" name="TextBox 1"/>
        <xdr:cNvSpPr txBox="1"/>
      </xdr:nvSpPr>
      <xdr:spPr>
        <a:xfrm>
          <a:off x="5043714" y="2692400"/>
          <a:ext cx="2939142" cy="1669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- Load</a:t>
          </a:r>
          <a:r>
            <a:rPr lang="en-US" sz="1100" baseline="0"/>
            <a:t> current input values as defaults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57150</xdr:rowOff>
    </xdr:from>
    <xdr:to>
      <xdr:col>11</xdr:col>
      <xdr:colOff>558800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444500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17</xdr:row>
      <xdr:rowOff>0</xdr:rowOff>
    </xdr:from>
    <xdr:to>
      <xdr:col>4</xdr:col>
      <xdr:colOff>63500</xdr:colOff>
      <xdr:row>24</xdr:row>
      <xdr:rowOff>76200</xdr:rowOff>
    </xdr:to>
    <xdr:sp macro="" textlink="">
      <xdr:nvSpPr>
        <xdr:cNvPr id="5" name="TextBox 4"/>
        <xdr:cNvSpPr txBox="1"/>
      </xdr:nvSpPr>
      <xdr:spPr>
        <a:xfrm>
          <a:off x="228600" y="3022600"/>
          <a:ext cx="31369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also:</a:t>
          </a:r>
        </a:p>
        <a:p>
          <a:endParaRPr lang="en-US" sz="1100"/>
        </a:p>
        <a:p>
          <a:r>
            <a:rPr lang="en-US" sz="1100"/>
            <a:t>Bedani, 2012 - Theories to support...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118241</xdr:colOff>
      <xdr:row>1</xdr:row>
      <xdr:rowOff>60435</xdr:rowOff>
    </xdr:from>
    <xdr:to>
      <xdr:col>14</xdr:col>
      <xdr:colOff>162034</xdr:colOff>
      <xdr:row>18</xdr:row>
      <xdr:rowOff>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E4" sqref="E4"/>
    </sheetView>
  </sheetViews>
  <sheetFormatPr baseColWidth="10" defaultRowHeight="14" x14ac:dyDescent="0"/>
  <cols>
    <col min="1" max="16384" width="10.83203125" style="18"/>
  </cols>
  <sheetData>
    <row r="2" spans="1:5" ht="28">
      <c r="A2" s="18" t="s">
        <v>24</v>
      </c>
      <c r="B2" s="19" t="s">
        <v>25</v>
      </c>
    </row>
    <row r="3" spans="1:5" ht="28">
      <c r="A3" s="18" t="s">
        <v>26</v>
      </c>
      <c r="D3" s="19" t="s">
        <v>28</v>
      </c>
    </row>
    <row r="4" spans="1:5" ht="42">
      <c r="A4" s="18" t="s">
        <v>27</v>
      </c>
      <c r="E4" s="19" t="s">
        <v>56</v>
      </c>
    </row>
    <row r="5" spans="1:5">
      <c r="A5" s="18" t="s">
        <v>29</v>
      </c>
    </row>
    <row r="6" spans="1:5">
      <c r="A6" s="18" t="s">
        <v>30</v>
      </c>
    </row>
  </sheetData>
  <hyperlinks>
    <hyperlink ref="B2" location="'Tubing Volume'!A1" display="Tubing Volume"/>
    <hyperlink ref="D3" location="'dp Crossover'!A1" display="Particle Size Crossover"/>
    <hyperlink ref="E4" location="'Compare 2 Poppe'!A1" display="Compare 2 Poppe Isocratic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="190" zoomScaleNormal="190" zoomScalePageLayoutView="190" workbookViewId="0">
      <selection activeCell="C13" sqref="C13"/>
    </sheetView>
  </sheetViews>
  <sheetFormatPr baseColWidth="10" defaultColWidth="8.83203125" defaultRowHeight="14" x14ac:dyDescent="0"/>
  <cols>
    <col min="2" max="3" width="7.83203125" customWidth="1"/>
    <col min="6" max="6" width="10" customWidth="1"/>
  </cols>
  <sheetData>
    <row r="1" spans="1:7">
      <c r="A1" s="5" t="s">
        <v>21</v>
      </c>
      <c r="B1" s="6"/>
      <c r="C1" s="7"/>
    </row>
    <row r="2" spans="1:7" ht="23" customHeight="1">
      <c r="A2" s="8" t="s">
        <v>9</v>
      </c>
      <c r="B2" s="32">
        <v>200</v>
      </c>
      <c r="C2" s="9"/>
      <c r="E2" s="3" t="s">
        <v>15</v>
      </c>
      <c r="F2" s="3"/>
      <c r="G2" s="3"/>
    </row>
    <row r="3" spans="1:7" ht="23" customHeight="1">
      <c r="A3" s="8" t="s">
        <v>10</v>
      </c>
      <c r="B3" s="32">
        <v>0.12</v>
      </c>
      <c r="C3" s="9"/>
      <c r="E3" s="4" t="s">
        <v>9</v>
      </c>
      <c r="F3" s="4"/>
      <c r="G3" s="4"/>
    </row>
    <row r="4" spans="1:7" ht="23" customHeight="1">
      <c r="A4" s="10"/>
      <c r="B4" s="11"/>
      <c r="C4" s="12"/>
      <c r="E4" s="4" t="s">
        <v>16</v>
      </c>
      <c r="F4" s="4">
        <v>2</v>
      </c>
      <c r="G4" s="4"/>
    </row>
    <row r="5" spans="1:7" ht="23" customHeight="1">
      <c r="A5" s="13" t="s">
        <v>22</v>
      </c>
      <c r="B5" s="11"/>
      <c r="C5" s="12"/>
      <c r="E5" s="4" t="s">
        <v>17</v>
      </c>
      <c r="F5" s="4" t="s">
        <v>18</v>
      </c>
      <c r="G5" s="4" t="s">
        <v>19</v>
      </c>
    </row>
    <row r="6" spans="1:7" ht="23" customHeight="1" thickBot="1">
      <c r="A6" s="14" t="s">
        <v>11</v>
      </c>
      <c r="B6" s="33">
        <f>(PI()*((B3/VLOOKUP(F10,E12:F14,2,FALSE))/2)^2*B2/VLOOKUP(F4,E6:F8,2,FALSE))*VLOOKUP(F16,E18:F19,2,FALSE)</f>
        <v>2.2619467105846509E-2</v>
      </c>
      <c r="C6" s="15"/>
      <c r="E6" s="4">
        <v>1</v>
      </c>
      <c r="F6" s="4">
        <v>10</v>
      </c>
      <c r="G6" s="4" t="s">
        <v>12</v>
      </c>
    </row>
    <row r="7" spans="1:7">
      <c r="E7" s="4">
        <v>2</v>
      </c>
      <c r="F7" s="4">
        <v>1</v>
      </c>
      <c r="G7" s="4" t="s">
        <v>13</v>
      </c>
    </row>
    <row r="8" spans="1:7">
      <c r="E8" s="4">
        <v>3</v>
      </c>
      <c r="F8" s="4">
        <f>1/2.54</f>
        <v>0.39370078740157477</v>
      </c>
      <c r="G8" s="4" t="s">
        <v>14</v>
      </c>
    </row>
    <row r="9" spans="1:7">
      <c r="E9" s="4" t="s">
        <v>10</v>
      </c>
      <c r="F9" s="4"/>
      <c r="G9" s="4"/>
    </row>
    <row r="10" spans="1:7">
      <c r="E10" s="4" t="s">
        <v>16</v>
      </c>
      <c r="F10" s="4">
        <v>1</v>
      </c>
      <c r="G10" s="4"/>
    </row>
    <row r="11" spans="1:7">
      <c r="E11" s="4" t="s">
        <v>17</v>
      </c>
      <c r="F11" s="4" t="s">
        <v>18</v>
      </c>
      <c r="G11" s="4" t="s">
        <v>19</v>
      </c>
    </row>
    <row r="12" spans="1:7">
      <c r="E12" s="4">
        <v>1</v>
      </c>
      <c r="F12" s="4">
        <v>10</v>
      </c>
      <c r="G12" s="4" t="s">
        <v>12</v>
      </c>
    </row>
    <row r="13" spans="1:7">
      <c r="E13" s="4">
        <v>2</v>
      </c>
      <c r="F13" s="4">
        <v>1</v>
      </c>
      <c r="G13" s="4" t="s">
        <v>13</v>
      </c>
    </row>
    <row r="14" spans="1:7">
      <c r="E14" s="4">
        <v>3</v>
      </c>
      <c r="F14" s="4">
        <f>1/2.54</f>
        <v>0.39370078740157477</v>
      </c>
      <c r="G14" s="4" t="s">
        <v>14</v>
      </c>
    </row>
    <row r="15" spans="1:7">
      <c r="E15" s="4" t="s">
        <v>11</v>
      </c>
      <c r="F15" s="4"/>
      <c r="G15" s="4"/>
    </row>
    <row r="16" spans="1:7">
      <c r="E16" s="4" t="s">
        <v>16</v>
      </c>
      <c r="F16" s="4">
        <v>1</v>
      </c>
      <c r="G16" s="4"/>
    </row>
    <row r="17" spans="5:7">
      <c r="E17" s="4" t="s">
        <v>17</v>
      </c>
      <c r="F17" s="4" t="s">
        <v>18</v>
      </c>
      <c r="G17" s="4" t="s">
        <v>19</v>
      </c>
    </row>
    <row r="18" spans="5:7">
      <c r="E18" s="4">
        <v>1</v>
      </c>
      <c r="F18" s="4">
        <v>1</v>
      </c>
      <c r="G18" s="4" t="s">
        <v>20</v>
      </c>
    </row>
    <row r="19" spans="5:7">
      <c r="E19" s="4">
        <v>2</v>
      </c>
      <c r="F19" s="4">
        <v>1000</v>
      </c>
      <c r="G19" s="4" t="s">
        <v>23</v>
      </c>
    </row>
    <row r="20" spans="5:7">
      <c r="E20" s="4"/>
      <c r="F20" s="4"/>
      <c r="G20" s="4"/>
    </row>
  </sheetData>
  <pageMargins left="0.7" right="0.7" top="0.75" bottom="0.75" header="0.3" footer="0.3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25400</xdr:colOff>
                    <xdr:row>1</xdr:row>
                    <xdr:rowOff>25400</xdr:rowOff>
                  </from>
                  <to>
                    <xdr:col>2</xdr:col>
                    <xdr:colOff>584200</xdr:colOff>
                    <xdr:row>1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38100</xdr:colOff>
                    <xdr:row>2</xdr:row>
                    <xdr:rowOff>12700</xdr:rowOff>
                  </from>
                  <to>
                    <xdr:col>2</xdr:col>
                    <xdr:colOff>596900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</xdr:col>
                    <xdr:colOff>25400</xdr:colOff>
                    <xdr:row>5</xdr:row>
                    <xdr:rowOff>25400</xdr:rowOff>
                  </from>
                  <to>
                    <xdr:col>2</xdr:col>
                    <xdr:colOff>584200</xdr:colOff>
                    <xdr:row>5</xdr:row>
                    <xdr:rowOff>266700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19.1640625" bestFit="1" customWidth="1"/>
  </cols>
  <sheetData>
    <row r="1" spans="1:2">
      <c r="A1" t="s">
        <v>0</v>
      </c>
      <c r="B1">
        <v>5</v>
      </c>
    </row>
    <row r="2" spans="1:2">
      <c r="A2" t="s">
        <v>1</v>
      </c>
      <c r="B2">
        <v>150</v>
      </c>
    </row>
    <row r="3" spans="1:2">
      <c r="A3" t="s">
        <v>2</v>
      </c>
      <c r="B3">
        <v>0</v>
      </c>
    </row>
    <row r="4" spans="1:2">
      <c r="A4" t="s">
        <v>3</v>
      </c>
      <c r="B4">
        <v>300</v>
      </c>
    </row>
    <row r="5" spans="1:2">
      <c r="A5" t="s">
        <v>5</v>
      </c>
      <c r="B5">
        <f>B2-B3+B4</f>
        <v>450</v>
      </c>
    </row>
    <row r="6" spans="1:2">
      <c r="A6" t="s">
        <v>4</v>
      </c>
      <c r="B6" s="1">
        <f>B5*B1/60</f>
        <v>37.5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4" x14ac:dyDescent="0"/>
  <sheetData>
    <row r="1" spans="1:2">
      <c r="A1" t="s">
        <v>6</v>
      </c>
      <c r="B1">
        <v>750</v>
      </c>
    </row>
    <row r="2" spans="1:2">
      <c r="A2" t="s">
        <v>7</v>
      </c>
      <c r="B2">
        <v>20</v>
      </c>
    </row>
    <row r="3" spans="1:2">
      <c r="A3" s="2" t="s">
        <v>8</v>
      </c>
      <c r="B3">
        <f>B2*B1/1000000</f>
        <v>1.4999999999999999E-2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45" zoomScaleNormal="145" zoomScalePageLayoutView="145" workbookViewId="0">
      <selection activeCell="G13" sqref="G13"/>
    </sheetView>
  </sheetViews>
  <sheetFormatPr baseColWidth="10" defaultRowHeight="14" x14ac:dyDescent="0"/>
  <cols>
    <col min="1" max="1" width="35.1640625" style="17" customWidth="1"/>
    <col min="2" max="2" width="8" style="17" customWidth="1"/>
    <col min="3" max="3" width="12.1640625" style="17" bestFit="1" customWidth="1"/>
    <col min="4" max="16384" width="10.83203125" style="17"/>
  </cols>
  <sheetData>
    <row r="1" spans="1:7">
      <c r="A1" s="22" t="s">
        <v>21</v>
      </c>
      <c r="D1" s="23" t="s">
        <v>22</v>
      </c>
    </row>
    <row r="2" spans="1:7">
      <c r="A2" s="26" t="s">
        <v>41</v>
      </c>
      <c r="B2" s="27">
        <v>1.8</v>
      </c>
      <c r="D2" s="34" t="s">
        <v>64</v>
      </c>
      <c r="F2" s="38">
        <f>(F19*B22*B23/F16)^2*(B7/B6)</f>
        <v>180.24440134950652</v>
      </c>
      <c r="G2" s="16" t="s">
        <v>35</v>
      </c>
    </row>
    <row r="3" spans="1:7">
      <c r="A3" s="26" t="s">
        <v>42</v>
      </c>
      <c r="B3" s="27">
        <v>3</v>
      </c>
      <c r="D3" s="34" t="s">
        <v>65</v>
      </c>
      <c r="F3" s="37">
        <f>B5+B6/F11+B7*F11</f>
        <v>2.1333333333333333</v>
      </c>
    </row>
    <row r="4" spans="1:7">
      <c r="A4" s="21" t="s">
        <v>34</v>
      </c>
      <c r="D4" s="16" t="s">
        <v>57</v>
      </c>
      <c r="F4" s="38">
        <f>F5/(F3*B22)</f>
        <v>67581.059757829571</v>
      </c>
    </row>
    <row r="5" spans="1:7">
      <c r="A5" s="16" t="s">
        <v>31</v>
      </c>
      <c r="B5" s="28">
        <v>1</v>
      </c>
      <c r="D5" s="34" t="s">
        <v>43</v>
      </c>
      <c r="F5" s="37">
        <f>F15*F18*F19^2*B22^2*B23/(F16*SQRT(B6/B7))</f>
        <v>25.951126947006557</v>
      </c>
    </row>
    <row r="6" spans="1:7">
      <c r="A6" s="16" t="s">
        <v>32</v>
      </c>
      <c r="B6" s="28">
        <v>5</v>
      </c>
      <c r="D6" s="34" t="s">
        <v>44</v>
      </c>
      <c r="F6" s="37">
        <f>F19*F18*B23*SQRT(F2)</f>
        <v>60.433497425635338</v>
      </c>
    </row>
    <row r="7" spans="1:7">
      <c r="A7" s="16" t="s">
        <v>33</v>
      </c>
      <c r="B7" s="29">
        <v>0.05</v>
      </c>
      <c r="D7" s="17" t="s">
        <v>121</v>
      </c>
      <c r="F7" s="38">
        <f>SQRT(100000*B14*F18*F2/B9/(F15/1000))*(1/(B5+2*SQRT(B6*B7)))</f>
        <v>100722.49570939224</v>
      </c>
    </row>
    <row r="8" spans="1:7">
      <c r="A8" s="21" t="s">
        <v>51</v>
      </c>
      <c r="B8" s="29"/>
      <c r="D8" s="44" t="s">
        <v>47</v>
      </c>
      <c r="E8" s="45"/>
      <c r="F8" s="46">
        <f>100*(F4-F7)/F7</f>
        <v>-32.903708072507854</v>
      </c>
    </row>
    <row r="9" spans="1:7" ht="15">
      <c r="A9" s="16" t="s">
        <v>52</v>
      </c>
      <c r="B9" s="27">
        <v>500</v>
      </c>
      <c r="D9" s="17" t="s">
        <v>119</v>
      </c>
      <c r="F9" s="47">
        <f>SQRT(B6/B7)*F16/B23</f>
        <v>0.29964016652837328</v>
      </c>
    </row>
    <row r="10" spans="1:7" ht="15">
      <c r="A10" s="16" t="s">
        <v>53</v>
      </c>
      <c r="B10" s="31">
        <v>0.3</v>
      </c>
      <c r="D10" s="17" t="s">
        <v>120</v>
      </c>
      <c r="F10" s="47">
        <f>SQRT(B6/B7)*F16/B22</f>
        <v>0.49940027754728872</v>
      </c>
    </row>
    <row r="11" spans="1:7" ht="15">
      <c r="A11" s="16" t="s">
        <v>54</v>
      </c>
      <c r="B11" s="27">
        <v>0.38</v>
      </c>
      <c r="D11" s="16" t="s">
        <v>118</v>
      </c>
      <c r="F11" s="48">
        <f>F9*B22/F16</f>
        <v>6.0000000000000009</v>
      </c>
    </row>
    <row r="12" spans="1:7">
      <c r="A12" s="16" t="s">
        <v>116</v>
      </c>
      <c r="B12" s="27">
        <v>2.1</v>
      </c>
      <c r="D12" s="16" t="s">
        <v>117</v>
      </c>
      <c r="F12" s="48">
        <f>F10*B23/F16</f>
        <v>16.666666666666664</v>
      </c>
    </row>
    <row r="13" spans="1:7">
      <c r="A13" s="20" t="s">
        <v>36</v>
      </c>
      <c r="D13" s="16" t="s">
        <v>49</v>
      </c>
      <c r="F13" s="48">
        <f>60*F9*PI()*(B12/10/2)^2*B11</f>
        <v>0.23662648233535372</v>
      </c>
    </row>
    <row r="14" spans="1:7">
      <c r="A14" s="35" t="s">
        <v>60</v>
      </c>
      <c r="B14" s="27">
        <v>1200</v>
      </c>
      <c r="D14" s="16" t="s">
        <v>50</v>
      </c>
      <c r="F14" s="48">
        <f>60*F10*PI()*(B12/10/2)^2*B11</f>
        <v>0.39437747055892286</v>
      </c>
    </row>
    <row r="15" spans="1:7">
      <c r="A15" s="16" t="s">
        <v>37</v>
      </c>
      <c r="B15" s="31">
        <v>0.4</v>
      </c>
      <c r="D15" s="16" t="s">
        <v>55</v>
      </c>
      <c r="F15" s="48">
        <f>10^(-2.0244 + 586.85/B24 + 0.20913*B15 + 10.147*B15/B24 + 0.33435*B15^2 + -283.8*B15^2/B24)</f>
        <v>0.7156937805599165</v>
      </c>
    </row>
    <row r="16" spans="1:7" ht="16">
      <c r="A16" s="16" t="s">
        <v>38</v>
      </c>
      <c r="B16" s="27">
        <v>40</v>
      </c>
      <c r="D16" s="16" t="s">
        <v>59</v>
      </c>
      <c r="F16" s="49">
        <f>0.000000074*SQRT(B15*1*41+(1-B15)*2.6*18)*B24/(F15*(B18/1)^0.6)</f>
        <v>8.9892049958511977E-6</v>
      </c>
    </row>
    <row r="17" spans="1:6" ht="15">
      <c r="A17" s="16" t="s">
        <v>48</v>
      </c>
      <c r="B17" s="27">
        <v>2.1</v>
      </c>
      <c r="D17" s="16" t="s">
        <v>62</v>
      </c>
      <c r="F17" s="48">
        <f>B11+B10*(1-B11)</f>
        <v>0.56600000000000006</v>
      </c>
    </row>
    <row r="18" spans="1:6">
      <c r="A18" s="16" t="s">
        <v>58</v>
      </c>
      <c r="B18" s="27">
        <v>200</v>
      </c>
      <c r="D18" s="16" t="s">
        <v>63</v>
      </c>
      <c r="F18" s="48">
        <f>B11/F17</f>
        <v>0.6713780918727914</v>
      </c>
    </row>
    <row r="19" spans="1:6">
      <c r="D19" s="16" t="s">
        <v>61</v>
      </c>
      <c r="F19" s="38">
        <f>SQRT(100000*B14/(B9*0.001*F15*F18))</f>
        <v>22349.016520961417</v>
      </c>
    </row>
    <row r="20" spans="1:6">
      <c r="A20" s="16"/>
      <c r="B20" s="42"/>
    </row>
    <row r="21" spans="1:6">
      <c r="A21" s="21" t="s">
        <v>39</v>
      </c>
    </row>
    <row r="22" spans="1:6">
      <c r="A22" s="36" t="s">
        <v>45</v>
      </c>
      <c r="B22" s="17">
        <f>B2/10000</f>
        <v>1.8000000000000001E-4</v>
      </c>
    </row>
    <row r="23" spans="1:6">
      <c r="A23" s="36" t="s">
        <v>46</v>
      </c>
      <c r="B23" s="17">
        <f>B3/10000</f>
        <v>2.9999999999999997E-4</v>
      </c>
    </row>
    <row r="24" spans="1:6">
      <c r="A24" s="16" t="s">
        <v>40</v>
      </c>
      <c r="B24" s="17">
        <f>B16+273.15</f>
        <v>313.14999999999998</v>
      </c>
    </row>
    <row r="30" spans="1:6">
      <c r="A30" s="16"/>
      <c r="B30" s="30"/>
    </row>
    <row r="31" spans="1:6">
      <c r="A31" s="16"/>
    </row>
    <row r="32" spans="1:6">
      <c r="A32" s="16"/>
      <c r="B32" s="25"/>
    </row>
    <row r="33" spans="1:1">
      <c r="A33" s="1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3" sqref="F23"/>
    </sheetView>
  </sheetViews>
  <sheetFormatPr baseColWidth="10" defaultRowHeight="14" x14ac:dyDescent="0"/>
  <sheetData>
    <row r="1" spans="1:6">
      <c r="A1" t="s">
        <v>66</v>
      </c>
      <c r="B1">
        <v>100</v>
      </c>
      <c r="E1" t="s">
        <v>75</v>
      </c>
    </row>
    <row r="2" spans="1:6">
      <c r="A2" t="s">
        <v>67</v>
      </c>
      <c r="B2">
        <v>30</v>
      </c>
      <c r="E2" t="s">
        <v>77</v>
      </c>
    </row>
    <row r="3" spans="1:6">
      <c r="A3" t="s">
        <v>68</v>
      </c>
      <c r="B3">
        <f>2*B2/B1</f>
        <v>0.6</v>
      </c>
      <c r="E3" t="s">
        <v>78</v>
      </c>
    </row>
    <row r="4" spans="1:6">
      <c r="A4" t="s">
        <v>69</v>
      </c>
      <c r="B4">
        <f>B3*60</f>
        <v>36</v>
      </c>
    </row>
    <row r="6" spans="1:6">
      <c r="A6" t="s">
        <v>70</v>
      </c>
      <c r="B6">
        <v>3</v>
      </c>
    </row>
    <row r="9" spans="1:6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</row>
    <row r="10" spans="1:6">
      <c r="A10">
        <f>B10-$B$6</f>
        <v>7</v>
      </c>
      <c r="B10">
        <v>10</v>
      </c>
      <c r="C10" s="1">
        <f>SQRT(1+(13.7/($B$4/B10)^2))</f>
        <v>1.4342589603806206</v>
      </c>
      <c r="D10" s="40">
        <f>$B$1/C10</f>
        <v>69.722416078517796</v>
      </c>
      <c r="E10">
        <v>16.3</v>
      </c>
      <c r="F10" s="40">
        <f>D10*E10</f>
        <v>1136.4753820798401</v>
      </c>
    </row>
    <row r="11" spans="1:6">
      <c r="A11">
        <f t="shared" ref="A11:A16" si="0">B11-$B$6</f>
        <v>12</v>
      </c>
      <c r="B11">
        <v>15</v>
      </c>
      <c r="C11" s="1">
        <f t="shared" ref="C11:C16" si="1">SQRT(1+(13.7/($B$4/B11)^2))</f>
        <v>1.8380620833427315</v>
      </c>
      <c r="D11" s="40">
        <f t="shared" ref="D11:D16" si="2">$B$1/C11</f>
        <v>54.405126413433365</v>
      </c>
      <c r="E11">
        <v>29</v>
      </c>
      <c r="F11" s="40">
        <f t="shared" ref="F11:F16" si="3">D11*E11</f>
        <v>1577.7486659895676</v>
      </c>
    </row>
    <row r="12" spans="1:6">
      <c r="A12">
        <f t="shared" si="0"/>
        <v>18</v>
      </c>
      <c r="B12">
        <v>21</v>
      </c>
      <c r="C12" s="1">
        <f t="shared" si="1"/>
        <v>2.3794548862198575</v>
      </c>
      <c r="D12" s="40">
        <f t="shared" si="2"/>
        <v>42.026432431701153</v>
      </c>
      <c r="E12">
        <v>40</v>
      </c>
      <c r="F12" s="40">
        <f t="shared" si="3"/>
        <v>1681.0572972680461</v>
      </c>
    </row>
    <row r="13" spans="1:6">
      <c r="A13">
        <f t="shared" si="0"/>
        <v>27</v>
      </c>
      <c r="B13">
        <v>30</v>
      </c>
      <c r="C13" s="1">
        <f t="shared" si="1"/>
        <v>3.2425127430572864</v>
      </c>
      <c r="D13" s="40">
        <f t="shared" si="2"/>
        <v>30.840279722605633</v>
      </c>
      <c r="E13">
        <v>52.8</v>
      </c>
      <c r="F13" s="40">
        <f t="shared" si="3"/>
        <v>1628.3667693535774</v>
      </c>
    </row>
    <row r="14" spans="1:6">
      <c r="A14">
        <f t="shared" si="0"/>
        <v>57</v>
      </c>
      <c r="B14">
        <v>60</v>
      </c>
      <c r="C14" s="1">
        <f t="shared" si="1"/>
        <v>6.2494444197508914</v>
      </c>
      <c r="D14" s="40">
        <f t="shared" si="2"/>
        <v>16.00142241187995</v>
      </c>
      <c r="E14">
        <v>70.3</v>
      </c>
      <c r="F14" s="40">
        <f t="shared" si="3"/>
        <v>1124.8999955551606</v>
      </c>
    </row>
    <row r="15" spans="1:6">
      <c r="A15">
        <f t="shared" si="0"/>
        <v>87</v>
      </c>
      <c r="B15">
        <v>90</v>
      </c>
      <c r="C15" s="1">
        <f t="shared" si="1"/>
        <v>9.307255234493141</v>
      </c>
      <c r="D15" s="40">
        <f t="shared" si="2"/>
        <v>10.744306187005073</v>
      </c>
      <c r="E15">
        <v>78.7</v>
      </c>
      <c r="F15" s="40">
        <f t="shared" si="3"/>
        <v>845.57689691729922</v>
      </c>
    </row>
    <row r="16" spans="1:6">
      <c r="A16">
        <f t="shared" si="0"/>
        <v>117</v>
      </c>
      <c r="B16">
        <v>120</v>
      </c>
      <c r="C16" s="1">
        <f t="shared" si="1"/>
        <v>12.378296418418095</v>
      </c>
      <c r="D16" s="40">
        <f t="shared" si="2"/>
        <v>8.0786561106427008</v>
      </c>
      <c r="E16">
        <v>83.9</v>
      </c>
      <c r="F16" s="40">
        <f t="shared" si="3"/>
        <v>677.79924768292267</v>
      </c>
    </row>
    <row r="17" spans="3:4">
      <c r="C17" s="39"/>
      <c r="D17" s="40"/>
    </row>
    <row r="18" spans="3:4">
      <c r="C18" s="39"/>
      <c r="D18" s="40"/>
    </row>
    <row r="19" spans="3:4">
      <c r="C19" s="39"/>
      <c r="D19" s="40"/>
    </row>
    <row r="20" spans="3:4">
      <c r="C20" s="39"/>
      <c r="D20" s="40"/>
    </row>
    <row r="21" spans="3:4">
      <c r="C21" s="39"/>
      <c r="D21" s="40"/>
    </row>
    <row r="22" spans="3:4">
      <c r="C22" s="39"/>
      <c r="D22" s="40"/>
    </row>
    <row r="23" spans="3:4">
      <c r="C23" s="39"/>
      <c r="D23" s="40"/>
    </row>
    <row r="24" spans="3:4">
      <c r="C24" s="39"/>
      <c r="D24" s="4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="145" zoomScaleNormal="145" zoomScalePageLayoutView="145" workbookViewId="0">
      <selection activeCell="F25" sqref="F25:F29"/>
    </sheetView>
  </sheetViews>
  <sheetFormatPr baseColWidth="10" defaultRowHeight="14" x14ac:dyDescent="0"/>
  <cols>
    <col min="3" max="3" width="11.33203125" style="17" bestFit="1" customWidth="1"/>
    <col min="6" max="6" width="5.5" customWidth="1"/>
    <col min="8" max="16" width="6.33203125" customWidth="1"/>
  </cols>
  <sheetData>
    <row r="1" spans="1:16">
      <c r="A1" t="s">
        <v>79</v>
      </c>
      <c r="C1" s="17">
        <v>4.5999999999999996</v>
      </c>
    </row>
    <row r="2" spans="1:16">
      <c r="A2" t="s">
        <v>80</v>
      </c>
      <c r="C2" s="17">
        <v>50</v>
      </c>
    </row>
    <row r="3" spans="1:16">
      <c r="A3" t="s">
        <v>92</v>
      </c>
      <c r="C3" s="17">
        <v>0.2</v>
      </c>
    </row>
    <row r="4" spans="1:16">
      <c r="A4" t="s">
        <v>93</v>
      </c>
      <c r="C4" s="17">
        <v>0.38</v>
      </c>
    </row>
    <row r="5" spans="1:16">
      <c r="A5" t="s">
        <v>81</v>
      </c>
      <c r="C5" s="17">
        <v>6500</v>
      </c>
      <c r="G5" t="s">
        <v>97</v>
      </c>
      <c r="H5" t="s">
        <v>101</v>
      </c>
    </row>
    <row r="6" spans="1:16">
      <c r="A6" t="s">
        <v>82</v>
      </c>
      <c r="C6" s="17">
        <v>2</v>
      </c>
      <c r="G6" t="s">
        <v>102</v>
      </c>
      <c r="H6">
        <v>1</v>
      </c>
      <c r="I6">
        <v>1</v>
      </c>
      <c r="J6">
        <v>1</v>
      </c>
      <c r="K6">
        <v>3</v>
      </c>
      <c r="L6">
        <v>3</v>
      </c>
      <c r="M6">
        <v>3</v>
      </c>
      <c r="N6">
        <v>10</v>
      </c>
      <c r="O6">
        <v>10</v>
      </c>
      <c r="P6">
        <v>10</v>
      </c>
    </row>
    <row r="7" spans="1:16">
      <c r="A7" t="s">
        <v>83</v>
      </c>
      <c r="C7" s="17">
        <v>7.8079999999999998</v>
      </c>
      <c r="G7" t="s">
        <v>103</v>
      </c>
      <c r="H7">
        <v>1</v>
      </c>
      <c r="I7">
        <v>3</v>
      </c>
      <c r="J7">
        <v>10</v>
      </c>
      <c r="K7">
        <v>3</v>
      </c>
      <c r="L7">
        <v>9</v>
      </c>
      <c r="M7">
        <v>30</v>
      </c>
      <c r="N7">
        <v>10</v>
      </c>
      <c r="O7">
        <v>30</v>
      </c>
      <c r="P7">
        <v>100</v>
      </c>
    </row>
    <row r="8" spans="1:16">
      <c r="A8" t="s">
        <v>84</v>
      </c>
      <c r="C8" s="17">
        <v>1.907</v>
      </c>
      <c r="H8" t="s">
        <v>104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  <c r="O8" t="s">
        <v>112</v>
      </c>
      <c r="P8" s="43">
        <v>10100</v>
      </c>
    </row>
    <row r="9" spans="1:16">
      <c r="A9" t="s">
        <v>85</v>
      </c>
      <c r="C9" s="17">
        <v>2</v>
      </c>
      <c r="G9" s="17">
        <v>1</v>
      </c>
      <c r="H9" s="30">
        <v>1.649186884966833</v>
      </c>
      <c r="I9">
        <v>1.6480527544792389</v>
      </c>
      <c r="J9">
        <v>1.6477245546488912</v>
      </c>
      <c r="K9">
        <v>3.2961055089584779</v>
      </c>
      <c r="L9">
        <v>3.295470116111876</v>
      </c>
      <c r="M9">
        <v>3.295361670547559</v>
      </c>
      <c r="N9">
        <v>9.0624850505689025</v>
      </c>
      <c r="O9">
        <v>9.0622445940057883</v>
      </c>
      <c r="P9">
        <v>9.0622132193870684</v>
      </c>
    </row>
    <row r="10" spans="1:16">
      <c r="G10" s="17">
        <v>2</v>
      </c>
      <c r="H10" s="30">
        <v>1.6537156289841994</v>
      </c>
      <c r="I10">
        <v>1.649186884966833</v>
      </c>
      <c r="J10">
        <v>1.6478745969677817</v>
      </c>
      <c r="K10">
        <v>3.2983737699336659</v>
      </c>
      <c r="L10">
        <v>3.2958332127379295</v>
      </c>
      <c r="M10">
        <v>3.2953994568635721</v>
      </c>
      <c r="N10">
        <v>9.0633102833228048</v>
      </c>
      <c r="O10">
        <v>9.0623485063748248</v>
      </c>
      <c r="P10">
        <v>9.06222300868723</v>
      </c>
    </row>
    <row r="11" spans="1:16">
      <c r="A11" t="s">
        <v>94</v>
      </c>
      <c r="C11" s="17">
        <f>C4+C3*(1-C4)</f>
        <v>0.504</v>
      </c>
      <c r="G11" s="17">
        <v>5</v>
      </c>
      <c r="H11" s="30">
        <v>1.6850760758928975</v>
      </c>
      <c r="I11">
        <v>1.6571040647909248</v>
      </c>
      <c r="J11">
        <v>1.648924510917231</v>
      </c>
      <c r="K11">
        <v>3.3142081295818495</v>
      </c>
      <c r="L11">
        <v>3.2983737699336659</v>
      </c>
      <c r="M11">
        <v>3.2956639489450081</v>
      </c>
      <c r="N11">
        <v>9.0690848100447763</v>
      </c>
      <c r="O11">
        <v>9.0630758595987757</v>
      </c>
      <c r="P11">
        <v>9.0622915334922798</v>
      </c>
    </row>
    <row r="12" spans="1:16">
      <c r="A12" t="s">
        <v>91</v>
      </c>
      <c r="C12" s="25">
        <f>C11*C2/10*(C1/10/2)^2*PI()</f>
        <v>0.41879943346474807</v>
      </c>
      <c r="G12" s="17">
        <v>10</v>
      </c>
      <c r="H12" s="30">
        <v>1.7926046361500367</v>
      </c>
      <c r="I12">
        <v>1.6850760758928975</v>
      </c>
      <c r="J12">
        <v>1.6526687587579989</v>
      </c>
      <c r="K12">
        <v>3.3701521517857951</v>
      </c>
      <c r="L12">
        <v>3.3074312579683989</v>
      </c>
      <c r="M12">
        <v>3.2966083902920542</v>
      </c>
      <c r="N12">
        <v>9.0896781731689948</v>
      </c>
      <c r="O12">
        <v>9.0656730733031523</v>
      </c>
      <c r="P12">
        <v>9.0625362607091784</v>
      </c>
    </row>
    <row r="13" spans="1:16">
      <c r="A13" t="s">
        <v>95</v>
      </c>
      <c r="C13" s="25">
        <f>(C12/C6)*(1+C7)</f>
        <v>1.8443927049787505</v>
      </c>
      <c r="G13" s="17">
        <v>20</v>
      </c>
      <c r="H13" s="30">
        <v>2.1700763538517731</v>
      </c>
      <c r="I13">
        <v>1.7926046361500367</v>
      </c>
      <c r="J13">
        <v>1.6675616810358176</v>
      </c>
      <c r="K13">
        <v>3.5852092723000735</v>
      </c>
      <c r="L13">
        <v>3.343415847032257</v>
      </c>
      <c r="M13">
        <v>3.3003834530576288</v>
      </c>
      <c r="N13">
        <v>9.1715892456969996</v>
      </c>
      <c r="O13">
        <v>9.0760544959084815</v>
      </c>
      <c r="P13">
        <v>9.0635151034971084</v>
      </c>
    </row>
    <row r="14" spans="1:16">
      <c r="A14" t="s">
        <v>114</v>
      </c>
      <c r="C14" s="41">
        <f>C13^2/C5</f>
        <v>5.2335145387366643E-4</v>
      </c>
      <c r="D14">
        <f>C13^2/C14</f>
        <v>6500.0000000000009</v>
      </c>
      <c r="G14" s="17">
        <v>50</v>
      </c>
      <c r="H14" s="30">
        <v>3.8961303085942349</v>
      </c>
      <c r="I14">
        <v>2.4147632143849234</v>
      </c>
      <c r="J14">
        <v>1.7683035647900176</v>
      </c>
      <c r="K14">
        <v>4.8295264287698467</v>
      </c>
      <c r="L14">
        <v>3.5852092723000735</v>
      </c>
      <c r="M14">
        <v>3.3266889462534701</v>
      </c>
      <c r="N14">
        <v>9.7256696063451002</v>
      </c>
      <c r="O14">
        <v>9.1483946021970493</v>
      </c>
      <c r="P14">
        <v>9.0703640452784882</v>
      </c>
    </row>
    <row r="15" spans="1:16">
      <c r="A15" t="s">
        <v>86</v>
      </c>
      <c r="C15" s="24">
        <f>(C14*C6^2)*1000^2</f>
        <v>2093.4058154946656</v>
      </c>
      <c r="G15" s="17">
        <v>100</v>
      </c>
      <c r="H15" s="30">
        <v>7.2508503902333139</v>
      </c>
      <c r="I15">
        <v>3.8961303085942349</v>
      </c>
      <c r="J15">
        <v>2.0888024905089817</v>
      </c>
      <c r="K15">
        <v>7.7922606171884699</v>
      </c>
      <c r="L15">
        <v>4.3401527077035462</v>
      </c>
      <c r="M15">
        <v>3.4189853468450035</v>
      </c>
      <c r="N15">
        <v>11.4884136977994</v>
      </c>
      <c r="O15">
        <v>9.4022097038237611</v>
      </c>
      <c r="P15">
        <v>9.0947824482044854</v>
      </c>
    </row>
    <row r="16" spans="1:16">
      <c r="A16" t="s">
        <v>96</v>
      </c>
      <c r="C16" s="42">
        <v>4</v>
      </c>
      <c r="G16" s="17">
        <v>200</v>
      </c>
      <c r="H16" s="30">
        <v>14.2181163091862</v>
      </c>
      <c r="I16">
        <v>7.2508503902333139</v>
      </c>
      <c r="J16">
        <v>3.050883352864588</v>
      </c>
      <c r="K16">
        <v>14.501700780466628</v>
      </c>
      <c r="L16">
        <v>6.539856690034302</v>
      </c>
      <c r="M16">
        <v>3.7656163677682453</v>
      </c>
      <c r="N16">
        <v>16.779858440755241</v>
      </c>
      <c r="O16">
        <v>10.355445011362679</v>
      </c>
      <c r="P16">
        <v>9.1918073981844746</v>
      </c>
    </row>
    <row r="17" spans="1:16">
      <c r="A17" t="s">
        <v>87</v>
      </c>
      <c r="C17" s="24">
        <f>((C7+1)/(C8+1))^2*C9^2/C16</f>
        <v>9.1804622343207001</v>
      </c>
      <c r="G17" s="17">
        <v>500</v>
      </c>
      <c r="H17" s="30">
        <v>35.344233353993502</v>
      </c>
      <c r="I17">
        <v>17.729631450809872</v>
      </c>
      <c r="J17">
        <v>6.6273254750158861</v>
      </c>
      <c r="K17">
        <v>35.459262901619745</v>
      </c>
      <c r="L17">
        <v>14.501700780466628</v>
      </c>
      <c r="M17">
        <v>5.6225178897044854</v>
      </c>
      <c r="N17">
        <v>36.450290112587382</v>
      </c>
      <c r="O17">
        <v>15.461924196687338</v>
      </c>
      <c r="P17">
        <v>9.8442425560005464</v>
      </c>
    </row>
    <row r="18" spans="1:16">
      <c r="A18" t="s">
        <v>90</v>
      </c>
      <c r="C18" s="24">
        <f>C17+C15</f>
        <v>2102.5862777289863</v>
      </c>
      <c r="G18" s="17"/>
      <c r="H18" s="30"/>
    </row>
    <row r="19" spans="1:16">
      <c r="A19" t="s">
        <v>115</v>
      </c>
      <c r="C19" s="17">
        <f>C18/(C6^2*1000^2)</f>
        <v>5.2564656943224653E-4</v>
      </c>
      <c r="G19" t="s">
        <v>105</v>
      </c>
    </row>
    <row r="20" spans="1:16">
      <c r="A20" t="s">
        <v>88</v>
      </c>
      <c r="C20" s="42">
        <f>C13^2/C19</f>
        <v>6471.6192361972735</v>
      </c>
      <c r="G20" t="s">
        <v>97</v>
      </c>
      <c r="H20" s="2" t="s">
        <v>104</v>
      </c>
      <c r="I20" s="2" t="s">
        <v>106</v>
      </c>
      <c r="J20" s="2" t="s">
        <v>107</v>
      </c>
      <c r="K20" s="2" t="s">
        <v>108</v>
      </c>
      <c r="L20" s="2" t="s">
        <v>109</v>
      </c>
      <c r="M20" s="2" t="s">
        <v>110</v>
      </c>
      <c r="N20" s="2" t="s">
        <v>111</v>
      </c>
      <c r="O20" s="2" t="s">
        <v>112</v>
      </c>
      <c r="P20" s="2">
        <v>10100</v>
      </c>
    </row>
    <row r="21" spans="1:16">
      <c r="A21" t="s">
        <v>89</v>
      </c>
      <c r="C21" s="24">
        <f>100*(C5-C20)/C5</f>
        <v>0.43662713542656162</v>
      </c>
      <c r="G21" s="17">
        <v>1</v>
      </c>
      <c r="H21">
        <f>100*H9/H$9</f>
        <v>100</v>
      </c>
      <c r="I21">
        <f>100*I9/I$9</f>
        <v>100</v>
      </c>
      <c r="J21">
        <f t="shared" ref="J21:P21" si="0">100*J9/J$9</f>
        <v>100</v>
      </c>
      <c r="K21">
        <f t="shared" si="0"/>
        <v>100</v>
      </c>
      <c r="L21">
        <f t="shared" si="0"/>
        <v>100</v>
      </c>
      <c r="M21">
        <f t="shared" si="0"/>
        <v>100</v>
      </c>
      <c r="N21">
        <f t="shared" si="0"/>
        <v>100</v>
      </c>
      <c r="O21">
        <f t="shared" si="0"/>
        <v>100</v>
      </c>
      <c r="P21">
        <f t="shared" si="0"/>
        <v>100</v>
      </c>
    </row>
    <row r="22" spans="1:16">
      <c r="G22" s="17">
        <v>2</v>
      </c>
      <c r="H22">
        <f t="shared" ref="H22:P22" si="1">100*H10/H$9</f>
        <v>100.27460465873506</v>
      </c>
      <c r="I22">
        <f t="shared" si="1"/>
        <v>100.0688163946519</v>
      </c>
      <c r="J22">
        <f t="shared" si="1"/>
        <v>100.00910603161597</v>
      </c>
      <c r="K22">
        <f t="shared" si="1"/>
        <v>100.0688163946519</v>
      </c>
      <c r="L22">
        <f t="shared" si="1"/>
        <v>100.01101805245564</v>
      </c>
      <c r="M22">
        <f t="shared" si="1"/>
        <v>100.0011466515603</v>
      </c>
      <c r="N22">
        <f t="shared" si="1"/>
        <v>100.00910603161601</v>
      </c>
      <c r="O22">
        <f t="shared" si="1"/>
        <v>100.00114665156032</v>
      </c>
      <c r="P22">
        <f t="shared" si="1"/>
        <v>100.00010802328222</v>
      </c>
    </row>
    <row r="23" spans="1:16">
      <c r="A23" t="s">
        <v>97</v>
      </c>
      <c r="B23" t="s">
        <v>98</v>
      </c>
      <c r="C23" s="17" t="s">
        <v>99</v>
      </c>
      <c r="D23" t="s">
        <v>100</v>
      </c>
      <c r="E23" t="s">
        <v>101</v>
      </c>
      <c r="F23" t="s">
        <v>113</v>
      </c>
      <c r="G23" s="17">
        <v>5</v>
      </c>
      <c r="H23">
        <f t="shared" ref="H23:P23" si="2">100*H11/H$9</f>
        <v>102.176174892804</v>
      </c>
      <c r="I23">
        <f t="shared" si="2"/>
        <v>100.54921241368551</v>
      </c>
      <c r="J23">
        <f t="shared" si="2"/>
        <v>100.07282505227917</v>
      </c>
      <c r="K23">
        <f t="shared" si="2"/>
        <v>100.54921241368551</v>
      </c>
      <c r="L23">
        <f t="shared" si="2"/>
        <v>100.0881104582801</v>
      </c>
      <c r="M23">
        <f t="shared" si="2"/>
        <v>100.00917284436943</v>
      </c>
      <c r="N23">
        <f t="shared" si="2"/>
        <v>100.07282505227923</v>
      </c>
      <c r="O23">
        <f t="shared" si="2"/>
        <v>100.00917284436944</v>
      </c>
      <c r="P23">
        <f t="shared" si="2"/>
        <v>100.00086418299057</v>
      </c>
    </row>
    <row r="24" spans="1:16">
      <c r="A24" s="17">
        <v>1</v>
      </c>
      <c r="B24" s="24">
        <f>(($C$7+1)/($C$8+1))^2*(A24^2/$C$16)</f>
        <v>2.295115558580175</v>
      </c>
      <c r="C24" s="24">
        <f>B24+$C$15</f>
        <v>2095.7009310532458</v>
      </c>
      <c r="D24" s="42">
        <f>$C$13^2/(C24/($C$9^2*1000^2))</f>
        <v>6492.88149806601</v>
      </c>
      <c r="E24" s="30">
        <f>60*$C$13/SQRT(D24/5.54)</f>
        <v>3.232516796898584</v>
      </c>
      <c r="F24">
        <f>100*E24/E$24</f>
        <v>100</v>
      </c>
      <c r="G24" s="17">
        <v>10</v>
      </c>
      <c r="H24">
        <f t="shared" ref="H24:P24" si="3">100*H12/H$9</f>
        <v>108.6962704160777</v>
      </c>
      <c r="I24">
        <f t="shared" si="3"/>
        <v>102.24648885255846</v>
      </c>
      <c r="J24">
        <f t="shared" si="3"/>
        <v>100.30006253746465</v>
      </c>
      <c r="K24">
        <f t="shared" si="3"/>
        <v>102.24648885255846</v>
      </c>
      <c r="L24">
        <f t="shared" si="3"/>
        <v>100.36295707243842</v>
      </c>
      <c r="M24">
        <f t="shared" si="3"/>
        <v>100.03783256191991</v>
      </c>
      <c r="N24">
        <f t="shared" si="3"/>
        <v>100.30006253746467</v>
      </c>
      <c r="O24">
        <f t="shared" si="3"/>
        <v>100.03783256191994</v>
      </c>
      <c r="P24">
        <f t="shared" si="3"/>
        <v>100.00356470670341</v>
      </c>
    </row>
    <row r="25" spans="1:16">
      <c r="A25" s="17">
        <v>2</v>
      </c>
      <c r="B25" s="24">
        <f t="shared" ref="B25:B31" si="4">(($C$7+1)/($C$8+1))^2*(A25^2/$C$16)</f>
        <v>9.1804622343207001</v>
      </c>
      <c r="C25" s="24">
        <f>B25+$C$15</f>
        <v>2102.5862777289863</v>
      </c>
      <c r="D25" s="42">
        <f t="shared" ref="D25:D29" si="5">$C$13^2/(C25/($C$9^2*1000^2))</f>
        <v>6471.6192361972735</v>
      </c>
      <c r="E25" s="30">
        <f t="shared" ref="E25:E31" si="6">60*$C$13/SQRT(D25/5.54)</f>
        <v>3.2378225987161064</v>
      </c>
      <c r="F25">
        <f t="shared" ref="F25:F29" si="7">100*E25/E$24</f>
        <v>100.16413841445814</v>
      </c>
      <c r="G25" s="17">
        <v>20</v>
      </c>
      <c r="H25">
        <f t="shared" ref="H25:P25" si="8">100*H13/H$9</f>
        <v>131.58462352769777</v>
      </c>
      <c r="I25">
        <f t="shared" si="8"/>
        <v>108.77107127049912</v>
      </c>
      <c r="J25">
        <f t="shared" si="8"/>
        <v>101.20391034599551</v>
      </c>
      <c r="K25">
        <f t="shared" si="8"/>
        <v>108.77107127049912</v>
      </c>
      <c r="L25">
        <f t="shared" si="8"/>
        <v>101.45489806404159</v>
      </c>
      <c r="M25">
        <f t="shared" si="8"/>
        <v>100.15238941919343</v>
      </c>
      <c r="N25">
        <f t="shared" si="8"/>
        <v>101.20391034599552</v>
      </c>
      <c r="O25">
        <f t="shared" si="8"/>
        <v>100.15238941919343</v>
      </c>
      <c r="P25">
        <f t="shared" si="8"/>
        <v>100.01436607237683</v>
      </c>
    </row>
    <row r="26" spans="1:16">
      <c r="A26" s="17">
        <v>5</v>
      </c>
      <c r="B26" s="24">
        <f t="shared" si="4"/>
        <v>57.377888964504379</v>
      </c>
      <c r="C26" s="24">
        <f t="shared" ref="C26:C31" si="9">B26+$C$15</f>
        <v>2150.7837044591702</v>
      </c>
      <c r="D26" s="42">
        <f t="shared" si="5"/>
        <v>6326.5951720314624</v>
      </c>
      <c r="E26" s="30">
        <f t="shared" si="6"/>
        <v>3.2747225150283223</v>
      </c>
      <c r="F26">
        <f t="shared" si="7"/>
        <v>101.30566121636963</v>
      </c>
      <c r="G26" s="17">
        <v>50</v>
      </c>
      <c r="H26">
        <f t="shared" ref="H26:P26" si="10">100*H14/H$9</f>
        <v>236.24553069815312</v>
      </c>
      <c r="I26">
        <f t="shared" si="10"/>
        <v>146.52220372326335</v>
      </c>
      <c r="J26">
        <f t="shared" si="10"/>
        <v>107.31791061806565</v>
      </c>
      <c r="K26">
        <f t="shared" si="10"/>
        <v>146.52220372326335</v>
      </c>
      <c r="L26">
        <f t="shared" si="10"/>
        <v>108.79204319807468</v>
      </c>
      <c r="M26">
        <f t="shared" si="10"/>
        <v>100.95064757188567</v>
      </c>
      <c r="N26">
        <f t="shared" si="10"/>
        <v>107.3179106180657</v>
      </c>
      <c r="O26">
        <f t="shared" si="10"/>
        <v>100.95064757188572</v>
      </c>
      <c r="P26">
        <f t="shared" si="10"/>
        <v>100.08994299399161</v>
      </c>
    </row>
    <row r="27" spans="1:16">
      <c r="A27" s="17">
        <v>20</v>
      </c>
      <c r="B27" s="24">
        <f t="shared" si="4"/>
        <v>918.04622343207006</v>
      </c>
      <c r="C27" s="24">
        <f t="shared" si="9"/>
        <v>3011.4520389267354</v>
      </c>
      <c r="D27" s="42">
        <f t="shared" si="5"/>
        <v>4518.4640581441354</v>
      </c>
      <c r="E27" s="30">
        <f t="shared" si="6"/>
        <v>3.8749322401932016</v>
      </c>
      <c r="F27">
        <f t="shared" si="7"/>
        <v>119.87353766919259</v>
      </c>
      <c r="G27" s="17">
        <v>100</v>
      </c>
      <c r="H27">
        <f t="shared" ref="H27:P27" si="11">100*H15/H$9</f>
        <v>439.66214237624968</v>
      </c>
      <c r="I27">
        <f t="shared" si="11"/>
        <v>236.40810635490587</v>
      </c>
      <c r="J27">
        <f t="shared" si="11"/>
        <v>126.76891198930262</v>
      </c>
      <c r="K27">
        <f t="shared" si="11"/>
        <v>236.40810635490587</v>
      </c>
      <c r="L27">
        <f t="shared" si="11"/>
        <v>131.70056334251416</v>
      </c>
      <c r="M27">
        <f t="shared" si="11"/>
        <v>103.75144486877834</v>
      </c>
      <c r="N27">
        <f t="shared" si="11"/>
        <v>126.76891198930262</v>
      </c>
      <c r="O27">
        <f t="shared" si="11"/>
        <v>103.75144486877834</v>
      </c>
      <c r="P27">
        <f t="shared" si="11"/>
        <v>100.35939596684551</v>
      </c>
    </row>
    <row r="28" spans="1:16">
      <c r="A28" s="17">
        <v>50</v>
      </c>
      <c r="B28" s="24">
        <f t="shared" si="4"/>
        <v>5737.7888964504373</v>
      </c>
      <c r="C28" s="24">
        <f t="shared" si="9"/>
        <v>7831.1947119451033</v>
      </c>
      <c r="D28" s="42">
        <f t="shared" si="5"/>
        <v>1737.5558010274019</v>
      </c>
      <c r="E28" s="30">
        <f t="shared" si="6"/>
        <v>6.2487068129140351</v>
      </c>
      <c r="F28">
        <f t="shared" si="7"/>
        <v>193.30779097294447</v>
      </c>
      <c r="G28" s="17">
        <v>200</v>
      </c>
      <c r="H28">
        <f t="shared" ref="H28:P28" si="12">100*H16/H$9</f>
        <v>862.12887325211432</v>
      </c>
      <c r="I28">
        <f t="shared" si="12"/>
        <v>439.96470201128233</v>
      </c>
      <c r="J28">
        <f t="shared" si="12"/>
        <v>185.15736409078954</v>
      </c>
      <c r="K28">
        <f t="shared" si="12"/>
        <v>439.96470201128233</v>
      </c>
      <c r="L28">
        <f t="shared" si="12"/>
        <v>198.44988604388499</v>
      </c>
      <c r="M28">
        <f t="shared" si="12"/>
        <v>114.27019988196162</v>
      </c>
      <c r="N28">
        <f t="shared" si="12"/>
        <v>185.1573640907896</v>
      </c>
      <c r="O28">
        <f t="shared" si="12"/>
        <v>114.27019988196166</v>
      </c>
      <c r="P28">
        <f t="shared" si="12"/>
        <v>101.43004998514228</v>
      </c>
    </row>
    <row r="29" spans="1:16">
      <c r="A29" s="17">
        <v>100</v>
      </c>
      <c r="B29" s="24">
        <f t="shared" si="4"/>
        <v>22951.155585801749</v>
      </c>
      <c r="C29" s="24">
        <f t="shared" si="9"/>
        <v>25044.561401296414</v>
      </c>
      <c r="D29" s="42">
        <f t="shared" si="5"/>
        <v>543.31707322336922</v>
      </c>
      <c r="E29" s="30">
        <f t="shared" si="6"/>
        <v>11.174622282066805</v>
      </c>
      <c r="F29">
        <f t="shared" si="7"/>
        <v>345.69417528744845</v>
      </c>
      <c r="G29" s="17">
        <v>500</v>
      </c>
      <c r="H29">
        <f t="shared" ref="H29:P29" si="13">100*H17/H$9</f>
        <v>2143.1308771718927</v>
      </c>
      <c r="I29">
        <f t="shared" si="13"/>
        <v>1075.792713711533</v>
      </c>
      <c r="J29">
        <f t="shared" si="13"/>
        <v>402.21076127788137</v>
      </c>
      <c r="K29">
        <f t="shared" si="13"/>
        <v>1075.792713711533</v>
      </c>
      <c r="L29">
        <f t="shared" si="13"/>
        <v>440.04953070478149</v>
      </c>
      <c r="M29">
        <f t="shared" si="13"/>
        <v>170.61914447679561</v>
      </c>
      <c r="N29">
        <f t="shared" si="13"/>
        <v>402.21076127788143</v>
      </c>
      <c r="O29">
        <f t="shared" si="13"/>
        <v>170.61914447679564</v>
      </c>
      <c r="P29">
        <f t="shared" si="13"/>
        <v>108.62956231200187</v>
      </c>
    </row>
    <row r="30" spans="1:16">
      <c r="A30" s="17">
        <v>200</v>
      </c>
      <c r="B30" s="24">
        <f t="shared" si="4"/>
        <v>91804.622343206996</v>
      </c>
      <c r="C30" s="24">
        <f t="shared" si="9"/>
        <v>93898.028158701665</v>
      </c>
      <c r="D30" s="42">
        <f t="shared" ref="D30:D31" si="14">($C$13/(SQRT(C30)/1000))^2</f>
        <v>36.228497199422648</v>
      </c>
      <c r="E30" s="30">
        <f t="shared" si="6"/>
        <v>43.274730196699615</v>
      </c>
    </row>
    <row r="31" spans="1:16">
      <c r="A31" s="17">
        <v>500</v>
      </c>
      <c r="B31" s="24">
        <f t="shared" si="4"/>
        <v>573778.88964504376</v>
      </c>
      <c r="C31" s="24">
        <f t="shared" si="9"/>
        <v>575872.29546053847</v>
      </c>
      <c r="D31" s="42">
        <f t="shared" si="14"/>
        <v>5.9071854593358148</v>
      </c>
      <c r="E31" s="30">
        <f t="shared" si="6"/>
        <v>107.16901166225702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Tubing Volume</vt:lpstr>
      <vt:lpstr>Fraction Volume</vt:lpstr>
      <vt:lpstr>MS ppm</vt:lpstr>
      <vt:lpstr>dp Crossover</vt:lpstr>
      <vt:lpstr>Compare 2 Poppe</vt:lpstr>
      <vt:lpstr>2D PC</vt:lpstr>
      <vt:lpstr>Focusing</vt:lpstr>
    </vt:vector>
  </TitlesOfParts>
  <Company>Gustavus Adolphus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Gustavus</dc:creator>
  <cp:lastModifiedBy>Gustavus User</cp:lastModifiedBy>
  <dcterms:created xsi:type="dcterms:W3CDTF">2014-04-04T19:30:10Z</dcterms:created>
  <dcterms:modified xsi:type="dcterms:W3CDTF">2014-07-29T13:30:20Z</dcterms:modified>
</cp:coreProperties>
</file>