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taylormccoll/Documents/SFU/1. Ph.D./1. Research Projects/1. Network Feedback/6. Manuscript/Manuscript Versions/230207/Manuscript/MuscleProteinSynthesisKineticModel/McColl_2023_Muscle Protein Synthesis Kinetic Model_230221/Experimental Data/"/>
    </mc:Choice>
  </mc:AlternateContent>
  <xr:revisionPtr revIDLastSave="0" documentId="13_ncr:1_{26BDC45D-EE61-E44D-A226-4A089F479334}" xr6:coauthVersionLast="47" xr6:coauthVersionMax="47" xr10:uidLastSave="{00000000-0000-0000-0000-000000000000}"/>
  <bookViews>
    <workbookView xWindow="-10560" yWindow="-21100" windowWidth="51200" windowHeight="21100" activeTab="8" xr2:uid="{B9D5D0FD-EB50-5348-A554-B27748D99417}"/>
  </bookViews>
  <sheets>
    <sheet name="Tessari (1995)-transport rates" sheetId="1" r:id="rId1"/>
    <sheet name="Glynn (2010) - 3-pool values" sheetId="2" r:id="rId2"/>
    <sheet name="Biolo (1995) - 3-pool values" sheetId="13" r:id="rId3"/>
    <sheet name="Glynn (2010) - FSR" sheetId="3" r:id="rId4"/>
    <sheet name="Mitchell (2015) - FSR" sheetId="5" r:id="rId5"/>
    <sheet name="Drummond (2010) - 3-pool values" sheetId="7" r:id="rId6"/>
    <sheet name="Wilkinson (2013) - FSR" sheetId="8" r:id="rId7"/>
    <sheet name="Dickinson (2011) - FSR" sheetId="12" r:id="rId8"/>
    <sheet name="Tolic (2000) - insulin module"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8" l="1"/>
  <c r="B20" i="8"/>
  <c r="E10" i="13"/>
  <c r="F10" i="13" s="1"/>
  <c r="E9" i="13"/>
  <c r="F9" i="13" s="1"/>
  <c r="E8" i="13"/>
  <c r="F8" i="13" s="1"/>
  <c r="E7" i="13"/>
  <c r="F7" i="13"/>
  <c r="B28" i="12"/>
  <c r="B29" i="12" s="1"/>
  <c r="B30" i="12" s="1"/>
  <c r="B18" i="12"/>
  <c r="B19" i="12" s="1"/>
  <c r="B20" i="12" s="1"/>
  <c r="F25" i="9"/>
  <c r="F24" i="9"/>
  <c r="F23" i="9"/>
  <c r="F22" i="9"/>
  <c r="F13" i="9"/>
  <c r="F20" i="9"/>
  <c r="F19" i="9"/>
  <c r="F18" i="9"/>
  <c r="F17" i="9"/>
  <c r="F16" i="9"/>
  <c r="F15" i="9"/>
  <c r="F14" i="9"/>
  <c r="J5" i="9"/>
  <c r="B29" i="5"/>
  <c r="C28" i="12" l="1"/>
  <c r="C29" i="12" s="1"/>
  <c r="C30" i="12" s="1"/>
  <c r="C18" i="12"/>
  <c r="C19" i="12" s="1"/>
  <c r="C20" i="12" s="1"/>
  <c r="B18" i="8"/>
  <c r="C7" i="8"/>
  <c r="C18" i="8" s="1"/>
  <c r="C19" i="8" s="1"/>
  <c r="C20" i="8" s="1"/>
  <c r="G14" i="7"/>
  <c r="G15" i="7"/>
  <c r="G16" i="7"/>
  <c r="G13" i="7"/>
  <c r="F15" i="7"/>
  <c r="F16" i="7"/>
  <c r="F14" i="7"/>
  <c r="F13" i="7"/>
  <c r="C28" i="5"/>
  <c r="B30" i="5"/>
  <c r="B28" i="5"/>
  <c r="C28" i="3"/>
  <c r="B28" i="3"/>
  <c r="F69" i="2"/>
  <c r="F68" i="2"/>
  <c r="F67" i="2"/>
  <c r="F66" i="2"/>
  <c r="G66" i="2" s="1"/>
  <c r="F65" i="2"/>
  <c r="F64" i="2"/>
  <c r="G64" i="2" s="1"/>
  <c r="F63" i="2"/>
  <c r="G63" i="2" s="1"/>
  <c r="F62" i="2"/>
  <c r="G62" i="2" s="1"/>
  <c r="F61" i="2"/>
  <c r="G61" i="2" s="1"/>
  <c r="F60" i="2"/>
  <c r="G60" i="2" s="1"/>
  <c r="F59" i="2"/>
  <c r="G59" i="2" s="1"/>
  <c r="F58" i="2"/>
  <c r="G58" i="2" s="1"/>
  <c r="F57" i="2"/>
  <c r="F53" i="2"/>
  <c r="F52" i="2"/>
  <c r="F51" i="2"/>
  <c r="F50" i="2"/>
  <c r="G50" i="2" s="1"/>
  <c r="F49" i="2"/>
  <c r="F48" i="2"/>
  <c r="G48" i="2" s="1"/>
  <c r="F47" i="2"/>
  <c r="G47" i="2" s="1"/>
  <c r="F46" i="2"/>
  <c r="G46" i="2" s="1"/>
  <c r="F45" i="2"/>
  <c r="G45" i="2" s="1"/>
  <c r="F44" i="2"/>
  <c r="G44" i="2" s="1"/>
  <c r="F43" i="2"/>
  <c r="G43" i="2" s="1"/>
  <c r="F42" i="2"/>
  <c r="G42" i="2" s="1"/>
  <c r="F41" i="2"/>
  <c r="G8" i="7"/>
  <c r="G7" i="7"/>
  <c r="F8" i="7"/>
  <c r="F7" i="7"/>
  <c r="C29" i="5" l="1"/>
  <c r="C30" i="5" s="1"/>
  <c r="B29" i="3"/>
  <c r="B30" i="3" l="1"/>
  <c r="C29" i="3"/>
  <c r="C30" i="3" s="1"/>
  <c r="C19" i="5" l="1"/>
  <c r="C18" i="5"/>
  <c r="C19" i="3"/>
  <c r="C20" i="3" s="1"/>
  <c r="C18" i="3"/>
  <c r="B19" i="5"/>
  <c r="B20" i="5" s="1"/>
  <c r="B18" i="5"/>
  <c r="C7" i="5"/>
  <c r="C7" i="3"/>
  <c r="B18" i="3"/>
  <c r="B19" i="3" s="1"/>
  <c r="B20" i="3" s="1"/>
  <c r="F24" i="2"/>
  <c r="G24" i="2" s="1"/>
  <c r="F25" i="2"/>
  <c r="G25" i="2" s="1"/>
  <c r="F26" i="2"/>
  <c r="G26" i="2" s="1"/>
  <c r="F27" i="2"/>
  <c r="G27" i="2" s="1"/>
  <c r="F28" i="2"/>
  <c r="G28" i="2" s="1"/>
  <c r="F29" i="2"/>
  <c r="G29" i="2" s="1"/>
  <c r="F30" i="2"/>
  <c r="G30" i="2" s="1"/>
  <c r="F31" i="2"/>
  <c r="G31" i="2" s="1"/>
  <c r="F32" i="2"/>
  <c r="G32" i="2" s="1"/>
  <c r="F33" i="2"/>
  <c r="G33" i="2" s="1"/>
  <c r="F34" i="2"/>
  <c r="F35" i="2"/>
  <c r="F23" i="2"/>
  <c r="F8" i="2"/>
  <c r="G8" i="2" s="1"/>
  <c r="F9" i="2"/>
  <c r="G9" i="2" s="1"/>
  <c r="F10" i="2"/>
  <c r="G10" i="2" s="1"/>
  <c r="F11" i="2"/>
  <c r="G11" i="2" s="1"/>
  <c r="F12" i="2"/>
  <c r="G12" i="2" s="1"/>
  <c r="F13" i="2"/>
  <c r="G13" i="2" s="1"/>
  <c r="F14" i="2"/>
  <c r="G14" i="2" s="1"/>
  <c r="F15" i="2"/>
  <c r="G15" i="2" s="1"/>
  <c r="F16" i="2"/>
  <c r="G16" i="2" s="1"/>
  <c r="F17" i="2"/>
  <c r="G17" i="2" s="1"/>
  <c r="F18" i="2"/>
  <c r="F19" i="2"/>
  <c r="F7" i="2"/>
  <c r="C20" i="5" l="1"/>
  <c r="I6" i="1"/>
  <c r="I12" i="1"/>
  <c r="I11" i="1"/>
  <c r="I10" i="1"/>
  <c r="I9" i="1"/>
  <c r="I8" i="1"/>
  <c r="I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tc={97A3AD4B-2BDE-9D47-9B35-7ECAA029B2F7}</author>
    <author>tc={D9F1F3A4-CAEA-F443-8DA1-5D2B77924B5F}</author>
    <author>tc={F9DE3D4A-2E09-864F-8A4C-89A220763E41}</author>
    <author>tc={9F343F58-0A1B-F74E-93F2-81BF1336B99E}</author>
    <author>tc={4EF47C01-BD99-DB45-84A3-B47A7CF0E84A}</author>
  </authors>
  <commentList>
    <comment ref="A1" authorId="0" shapeId="0" xr:uid="{97A3AD4B-2BDE-9D47-9B35-7ECAA029B2F7}">
      <text>
        <t>[Threaded comment]
Your version of Excel allows you to read this threaded comment; however, any edits to it will get removed if the file is opened in a newer version of Excel. Learn more: https://go.microsoft.com/fwlink/?linkid=870924
Comment:
    The formula for the unit conversions are provided in the methods</t>
      </text>
    </comment>
    <comment ref="C4" authorId="1" shapeId="0" xr:uid="{D9F1F3A4-CAEA-F443-8DA1-5D2B77924B5F}">
      <text>
        <t>[Threaded comment]
Your version of Excel allows you to read this threaded comment; however, any edits to it will get removed if the file is opened in a newer version of Excel. Learn more: https://go.microsoft.com/fwlink/?linkid=870924
Comment:
    K-value in my model (most up to date)</t>
      </text>
    </comment>
    <comment ref="D4" authorId="2" shapeId="0" xr:uid="{F9DE3D4A-2E09-864F-8A4C-89A220763E41}">
      <text>
        <t>[Threaded comment]
Your version of Excel allows you to read this threaded comment; however, any edits to it will get removed if the file is opened in a newer version of Excel. Learn more: https://go.microsoft.com/fwlink/?linkid=870924
Comment:
    mean value</t>
      </text>
    </comment>
    <comment ref="F4" authorId="3" shapeId="0" xr:uid="{9F343F58-0A1B-F74E-93F2-81BF1336B99E}">
      <text>
        <t>[Threaded comment]
Your version of Excel allows you to read this threaded comment; however, any edits to it will get removed if the file is opened in a newer version of Excel. Learn more: https://go.microsoft.com/fwlink/?linkid=870924
Comment:
    Simulated value at end of equilibrium period.
(Doesn’t necessarily make sense as I am calculating this number to run the initial model. However, the issue is that the concentrations for intracellular leucine and KIC are not given, so I need to use the model to inform the numbers)</t>
      </text>
    </comment>
    <comment ref="K4" authorId="4" shapeId="0" xr:uid="{4EF47C01-BD99-DB45-84A3-B47A7CF0E84A}">
      <text>
        <t>[Threaded comment]
Your version of Excel allows you to read this threaded comment; however, any edits to it will get removed if the file is opened in a newer version of Excel. Learn more: https://go.microsoft.com/fwlink/?linkid=870924
Comment:
    K-values from ‘5. 210402 extensive opt, tune2’ excel sheet.
These k-values were optimized using the 3-pool model values and fit the experimental data well
For comparison to show our k-values are still within range of the ‘initial’ Tessari values.
Reply:
    Update as of 210107 - 210713 excel file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tc={01C355AB-D6E5-1B42-B7B3-E67F8AD21505}</author>
  </authors>
  <commentList>
    <comment ref="A1" authorId="0" shapeId="0" xr:uid="{01C355AB-D6E5-1B42-B7B3-E67F8AD21505}">
      <text>
        <t>[Threaded comment]
Your version of Excel allows you to read this threaded comment; however, any edits to it will get removed if the file is opened in a newer version of Excel. Learn more: https://go.microsoft.com/fwlink/?linkid=870924
Comment:
    The formula for the unit conversions are provided in the methods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tc={D418327C-4356-EE45-9ECE-9809E785B4A6}</author>
  </authors>
  <commentList>
    <comment ref="A1" authorId="0" shapeId="0" xr:uid="{D418327C-4356-EE45-9ECE-9809E785B4A6}">
      <text>
        <t>[Threaded comment]
Your version of Excel allows you to read this threaded comment; however, any edits to it will get removed if the file is opened in a newer version of Excel. Learn more: https://go.microsoft.com/fwlink/?linkid=870924
Comment:
    The formula for the unit conversions are provided in the methods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tc={2DACA5CC-0C0F-914F-9531-124A10B6C9E7}</author>
    <author>tc={ED3C89D4-314E-374B-B2A7-590948D7BFFB}</author>
    <author>tc={CD547888-0026-7A42-B4F6-E29028FC42C5}</author>
    <author>tc={AD9FDB5B-D6C0-3F44-85ED-0D2B7E5B5D7D}</author>
  </authors>
  <commentList>
    <comment ref="D8" authorId="0" shapeId="0" xr:uid="{2DACA5CC-0C0F-914F-9531-124A10B6C9E7}">
      <text>
        <t>[Threaded comment]
Your version of Excel allows you to read this threaded comment; however, any edits to it will get removed if the file is opened in a newer version of Excel. Learn more: https://go.microsoft.com/fwlink/?linkid=870924
Comment:
    Data obtained from:
-Brooks: Exercise physiology: Human bioenergetics and its applications
-Hall: Guyton and Hall textbook of medical physiology</t>
      </text>
    </comment>
    <comment ref="D9" authorId="1" shapeId="0" xr:uid="{ED3C89D4-314E-374B-B2A7-590948D7BFFB}">
      <text>
        <t>[Threaded comment]
Your version of Excel allows you to read this threaded comment; however, any edits to it will get removed if the file is opened in a newer version of Excel. Learn more: https://go.microsoft.com/fwlink/?linkid=870924
Comment:
    Data obtained from:
-Brooks: Exercise physiology: Human bioenergetics and its applications</t>
      </text>
    </comment>
    <comment ref="C14" authorId="2" shapeId="0" xr:uid="{CD547888-0026-7A42-B4F6-E29028FC42C5}">
      <text>
        <t>[Threaded comment]
Your version of Excel allows you to read this threaded comment; however, any edits to it will get removed if the file is opened in a newer version of Excel. Learn more: https://go.microsoft.com/fwlink/?linkid=870924
Comment:
    SEM estimated from Fig 2a</t>
      </text>
    </comment>
    <comment ref="C15" authorId="3" shapeId="0" xr:uid="{AD9FDB5B-D6C0-3F44-85ED-0D2B7E5B5D7D}">
      <text>
        <t>[Threaded comment]
Your version of Excel allows you to read this threaded comment; however, any edits to it will get removed if the file is opened in a newer version of Excel. Learn more: https://go.microsoft.com/fwlink/?linkid=870924
Comment:
    SEM estimated from Fig 2a. 3 hour FSR is the mean of FSR at 1 hour, 2 hour, and 3 hour. Error propagation applied to calculate SEM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tc={F8E4AD43-CEDA-B14B-B3F7-705E4CDFC562}</author>
    <author>tc={55B62F90-85D4-924E-92CF-3DC290E25843}</author>
    <author>tc={391132FF-173F-214E-9D8C-F760917FC93E}</author>
    <author>tc={BEAE89F8-F871-634A-8F8D-37B44BFF0CE6}</author>
  </authors>
  <commentList>
    <comment ref="D8" authorId="0" shapeId="0" xr:uid="{F8E4AD43-CEDA-B14B-B3F7-705E4CDFC562}">
      <text>
        <t>[Threaded comment]
Your version of Excel allows you to read this threaded comment; however, any edits to it will get removed if the file is opened in a newer version of Excel. Learn more: https://go.microsoft.com/fwlink/?linkid=870924
Comment:
    Data obtained from:
-Brooks: Exercise physiology: Human bioenergetics and its applications
-Hall: Guyton and Hall textbook of medical physiology</t>
      </text>
    </comment>
    <comment ref="D9" authorId="1" shapeId="0" xr:uid="{55B62F90-85D4-924E-92CF-3DC290E25843}">
      <text>
        <t>[Threaded comment]
Your version of Excel allows you to read this threaded comment; however, any edits to it will get removed if the file is opened in a newer version of Excel. Learn more: https://go.microsoft.com/fwlink/?linkid=870924
Comment:
    Data obtained from:
-Brooks: Exercise physiology: Human bioenergetics and its applications</t>
      </text>
    </comment>
    <comment ref="C15" authorId="2" shapeId="0" xr:uid="{391132FF-173F-214E-9D8C-F760917FC93E}">
      <text>
        <t>[Threaded comment]
Your version of Excel allows you to read this threaded comment; however, any edits to it will get removed if the file is opened in a newer version of Excel. Learn more: https://go.microsoft.com/fwlink/?linkid=870924
Comment:
    SEM estimated from Fig 2a. 3 hour FSR is the mean of FSR at 1 hour, 2 hour, and 3 hour. Error propagation applied to calculate SEM</t>
      </text>
    </comment>
    <comment ref="C25" authorId="3" shapeId="0" xr:uid="{BEAE89F8-F871-634A-8F8D-37B44BFF0CE6}">
      <text>
        <t>[Threaded comment]
Your version of Excel allows you to read this threaded comment; however, any edits to it will get removed if the file is opened in a newer version of Excel. Learn more: https://go.microsoft.com/fwlink/?linkid=870924
Comment:
    SEM estimated from Fig 2a. 3 hour FSR is the mean of FSR at 1 hour, 2 hour, and 3 hour. Error propagation applied to calculate SEM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tc={B997EADE-61B3-234A-9719-00276018BA5D}</author>
    <author>tc={43A09FF9-89C2-8245-AF03-35EC3F18AA9B}</author>
  </authors>
  <commentList>
    <comment ref="D8" authorId="0" shapeId="0" xr:uid="{B997EADE-61B3-234A-9719-00276018BA5D}">
      <text>
        <t>[Threaded comment]
Your version of Excel allows you to read this threaded comment; however, any edits to it will get removed if the file is opened in a newer version of Excel. Learn more: https://go.microsoft.com/fwlink/?linkid=870924
Comment:
    Data obtained from:
-Brooks: Exercise physiology: Human bioenergetics and its applications
-Hall: Guyton and Hall textbook of medical physiology</t>
      </text>
    </comment>
    <comment ref="D9" authorId="1" shapeId="0" xr:uid="{43A09FF9-89C2-8245-AF03-35EC3F18AA9B}">
      <text>
        <t>[Threaded comment]
Your version of Excel allows you to read this threaded comment; however, any edits to it will get removed if the file is opened in a newer version of Excel. Learn more: https://go.microsoft.com/fwlink/?linkid=870924
Comment:
    Data obtained from:
-Brooks: Exercise physiology: Human bioenergetics and its applications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tc={C57A3227-5856-9944-9012-BC632DBFA424}</author>
    <author>tc={3AE699B8-34A6-9943-A4C3-D476EE1E8DD0}</author>
  </authors>
  <commentList>
    <comment ref="D8" authorId="0" shapeId="0" xr:uid="{C57A3227-5856-9944-9012-BC632DBFA424}">
      <text>
        <t>[Threaded comment]
Your version of Excel allows you to read this threaded comment; however, any edits to it will get removed if the file is opened in a newer version of Excel. Learn more: https://go.microsoft.com/fwlink/?linkid=870924
Comment:
    Data obtained from:
-Brooks: Exercise physiology: Human bioenergetics and its applications
-Hall: Guyton and Hall textbook of medical physiology</t>
      </text>
    </comment>
    <comment ref="D9" authorId="1" shapeId="0" xr:uid="{3AE699B8-34A6-9943-A4C3-D476EE1E8DD0}">
      <text>
        <t>[Threaded comment]
Your version of Excel allows you to read this threaded comment; however, any edits to it will get removed if the file is opened in a newer version of Excel. Learn more: https://go.microsoft.com/fwlink/?linkid=870924
Comment:
    Data obtained from:
-Brooks: Exercise physiology: Human bioenergetics and its applications</t>
      </text>
    </comment>
  </commentList>
</comments>
</file>

<file path=xl/sharedStrings.xml><?xml version="1.0" encoding="utf-8"?>
<sst xmlns="http://schemas.openxmlformats.org/spreadsheetml/2006/main" count="401" uniqueCount="160">
  <si>
    <t>Conversion of Tessari et al. (1995) transport rates to kinetic rate parameters</t>
  </si>
  <si>
    <t>Description of reaction</t>
  </si>
  <si>
    <t>Tessari parameter</t>
  </si>
  <si>
    <t>Equivalent kinetic rate parameter</t>
  </si>
  <si>
    <t>Tessari value (mol/min/100 mL forearm)</t>
  </si>
  <si>
    <t>Concentration of previous species (moles)</t>
  </si>
  <si>
    <t>Species</t>
  </si>
  <si>
    <t>Kinetic rate parameter (/min)</t>
  </si>
  <si>
    <t>Leucine absorption into cell</t>
  </si>
  <si>
    <t>F2</t>
  </si>
  <si>
    <t>k6</t>
  </si>
  <si>
    <t>Plasma leucine</t>
  </si>
  <si>
    <t>Leucine release from cell 
(cell to plasma)</t>
  </si>
  <si>
    <t>F3</t>
  </si>
  <si>
    <t>k7</t>
  </si>
  <si>
    <t>Intracellular leucine</t>
  </si>
  <si>
    <t>Proteolysis
 (leucine breakdown from protein to intracellular leucine)</t>
  </si>
  <si>
    <t>F5</t>
  </si>
  <si>
    <t>k9</t>
  </si>
  <si>
    <t>Protein</t>
  </si>
  <si>
    <t>Protein synthesis 
(intracellular leucine to protein)</t>
  </si>
  <si>
    <t>F6</t>
  </si>
  <si>
    <t>k15</t>
  </si>
  <si>
    <t>Leucine transamination 
(intracellular leucine to intracellular KIC)</t>
  </si>
  <si>
    <t>F7</t>
  </si>
  <si>
    <t>k10</t>
  </si>
  <si>
    <t>KIC reamination 
(intracellular KIC to intracellular leucine)</t>
  </si>
  <si>
    <t>F8</t>
  </si>
  <si>
    <t>k11</t>
  </si>
  <si>
    <t>Intracellular KIC</t>
  </si>
  <si>
    <t>KIC oxidation</t>
  </si>
  <si>
    <t>F9</t>
  </si>
  <si>
    <t>k14</t>
  </si>
  <si>
    <t>KIC absorption into cell</t>
  </si>
  <si>
    <t>Cannot be determined</t>
  </si>
  <si>
    <t>k12</t>
  </si>
  <si>
    <t>n/a</t>
  </si>
  <si>
    <t>Plasma KIC</t>
  </si>
  <si>
    <t>KIC release from cell to plasma</t>
  </si>
  <si>
    <t>k13</t>
  </si>
  <si>
    <t>Total forearm volume (Maughan, 1986)</t>
  </si>
  <si>
    <t>L</t>
  </si>
  <si>
    <t>L to mL conversion</t>
  </si>
  <si>
    <t>mL/1L</t>
  </si>
  <si>
    <t>100 mL forearm compartment</t>
  </si>
  <si>
    <t xml:space="preserve">mL </t>
  </si>
  <si>
    <t>Equation for unit conversion provided in methods.</t>
  </si>
  <si>
    <t>Conversion of Glynn et al. (2010) 3-pool values</t>
  </si>
  <si>
    <t>Parameter</t>
  </si>
  <si>
    <t>Fm,a</t>
  </si>
  <si>
    <r>
      <rPr>
        <b/>
        <u/>
        <sz val="12"/>
        <color theme="1"/>
        <rFont val="Calibri (Body)"/>
      </rPr>
      <t>Time</t>
    </r>
    <r>
      <rPr>
        <sz val="12"/>
        <color theme="1"/>
        <rFont val="Calibri"/>
        <family val="2"/>
        <scheme val="minor"/>
      </rPr>
      <t xml:space="preserve"> 
(min)</t>
    </r>
  </si>
  <si>
    <r>
      <t>SEM</t>
    </r>
    <r>
      <rPr>
        <sz val="12"/>
        <color theme="1"/>
        <rFont val="Calibri (Body)"/>
      </rPr>
      <t xml:space="preserve"> 
(umol/min/100mL)</t>
    </r>
  </si>
  <si>
    <r>
      <t xml:space="preserve">Mean 
</t>
    </r>
    <r>
      <rPr>
        <sz val="12"/>
        <color theme="1"/>
        <rFont val="Calibri (Body)"/>
      </rPr>
      <t>(umol/min/100 mL)</t>
    </r>
  </si>
  <si>
    <r>
      <t xml:space="preserve">Mean 
</t>
    </r>
    <r>
      <rPr>
        <sz val="12"/>
        <color theme="1"/>
        <rFont val="Calibri (Body)"/>
      </rPr>
      <t>(mol/min)</t>
    </r>
  </si>
  <si>
    <r>
      <t>SEM</t>
    </r>
    <r>
      <rPr>
        <sz val="12"/>
        <color theme="1"/>
        <rFont val="Calibri (Body)"/>
      </rPr>
      <t xml:space="preserve"> 
(mol/min)</t>
    </r>
  </si>
  <si>
    <t>Biolo et al. (1995):</t>
  </si>
  <si>
    <t>(assumed leg volume as no data was provided in Glynn et al.)</t>
  </si>
  <si>
    <t>Mean Leg Volume</t>
  </si>
  <si>
    <t>SE</t>
  </si>
  <si>
    <t>#</t>
  </si>
  <si>
    <t>Input data</t>
  </si>
  <si>
    <t>Sex</t>
  </si>
  <si>
    <t>male</t>
  </si>
  <si>
    <t xml:space="preserve">Body mass </t>
  </si>
  <si>
    <t>kg</t>
  </si>
  <si>
    <t>Skeletal muscle mass</t>
  </si>
  <si>
    <t>percent of body mass (Wolfe, 2019: 40-45% BM)</t>
  </si>
  <si>
    <t>Muscle protein</t>
  </si>
  <si>
    <t>percent of skeletal muscle mass (Wolfe, 2019)</t>
  </si>
  <si>
    <t>Leucine content in muscle protein</t>
  </si>
  <si>
    <t>percent of total protein (Cobelli, 1991; Nguyen, 1999)</t>
  </si>
  <si>
    <t>FSR at t0</t>
  </si>
  <si>
    <t>%/hr</t>
  </si>
  <si>
    <t>FSR at t1</t>
  </si>
  <si>
    <t>Duration from t0 to t1</t>
  </si>
  <si>
    <t>hours</t>
  </si>
  <si>
    <t>g</t>
  </si>
  <si>
    <t>Conversion of Glynn et al. (2010) FSR  to quantity of leucine synthesized into protein over the experimental time-course</t>
  </si>
  <si>
    <t>Total leucine content in skeletal muscle protein</t>
  </si>
  <si>
    <t>Increase in leucine bound to protein over intervention</t>
  </si>
  <si>
    <t>Mean</t>
  </si>
  <si>
    <t>SEM</t>
  </si>
  <si>
    <t>FSR: diff from 0 to 4 hr</t>
  </si>
  <si>
    <t>MPS</t>
  </si>
  <si>
    <t>Calculated Fm,0</t>
  </si>
  <si>
    <t>RaM</t>
  </si>
  <si>
    <t>Converted Fm,a</t>
  </si>
  <si>
    <t>Glynn et al. (2010) - 3.5 g bolus</t>
  </si>
  <si>
    <t>Glynn et al. (2010) - 1.85 g bolus</t>
  </si>
  <si>
    <t>The 3-pool model values provided in Glynn et al. (2010) needed the 1/(100 mL leg) factored out for comparison to our model outputs. Fm,0 was not directly provided - we solved for Fm,0 using intracellular availability (Ram) and Fm,a (Fm,0 = Ram - Fm,a). Equations for unit conversion provided in methods. Unit conversion for the both the 3.5 g and 1.85 g leucine interventions provided. # = value can not be accurately estimated from the provided figure.</t>
  </si>
  <si>
    <t>We used the methodology presented in Wolfe et al. (2019) to estimate the leucine content in muscle protein, from which we estimated the increase in leucine content bound to protein using the FSR measures over the experimental intervention period. The input data represents the values we used in our model simulation. Equations for unit conversion provided in methods. Unit conversion for the 3.5 g and 1.85 g leucine interventions provided.</t>
  </si>
  <si>
    <t>FSR data - 3.5 g bolus</t>
  </si>
  <si>
    <t>FSR data - 1.85 g bolus</t>
  </si>
  <si>
    <t>Conversion of Mitchell et al. (2015) FSR  to quantity of leucine synthesized into protein over the experimental time-course</t>
  </si>
  <si>
    <t>We used the methodology presented in Wolfe et al. (2019) to estimate the leucine content in muscle protein, from which we estimated the increase in leucine content bound to protein using the FSR measures over the experimental intervention period. The input data represents the values we used in our model simulation. Equations for unit conversion provided in methods. Unit conversion for the 3.59 g bolus and pulsatile feeding interventions provided.</t>
  </si>
  <si>
    <t>FSR data - pulsatile feeding</t>
  </si>
  <si>
    <t xml:space="preserve">Drummond et al. (2010) </t>
  </si>
  <si>
    <t>Converted MPS</t>
  </si>
  <si>
    <r>
      <t xml:space="preserve">Mean 
</t>
    </r>
    <r>
      <rPr>
        <sz val="12"/>
        <color theme="1"/>
        <rFont val="Calibri (Body)"/>
      </rPr>
      <t>(nmol/min/100 mL)</t>
    </r>
  </si>
  <si>
    <t>(assumed leg volume as no data was provided in Drummond et al.)</t>
  </si>
  <si>
    <t>We used the methodology presented in Wolfe et al. (2019) to estimate the leucine content in muscle protein, from which we estimated the increase in leucine content bound to protein using the FSR measures over the experimental intervention period. The input data represents the values we used in our model simulation. Equations for unit conversion provided in methods.</t>
  </si>
  <si>
    <t>FSR data</t>
  </si>
  <si>
    <t>Conversion of Wilkinson et al. (2013) FSR to quantity of leucine synthesized into protein over the experimental time-course</t>
  </si>
  <si>
    <t>The 3-pool model values provided in Drummond et al. (2010) needed the 1/(100 mL leg) factored out for comparison to our model outputs. # = value can not be accurately estimated from the provided figure.</t>
  </si>
  <si>
    <t>Conversion of Drummond et al. (2010) 3-pool values</t>
  </si>
  <si>
    <t>percent of body mass (Wolfe, 2019; Yin, 2013: 40-45% BM)</t>
  </si>
  <si>
    <t>We converted model parameter values from units of mg to moles of glucose and mU to moles of insulin.</t>
  </si>
  <si>
    <t>Value</t>
  </si>
  <si>
    <t>Units</t>
  </si>
  <si>
    <t>Vp</t>
  </si>
  <si>
    <t>Vi</t>
  </si>
  <si>
    <t>Vg</t>
  </si>
  <si>
    <t>E</t>
  </si>
  <si>
    <t>tp</t>
  </si>
  <si>
    <t>ti</t>
  </si>
  <si>
    <t>td</t>
  </si>
  <si>
    <t>Rm</t>
  </si>
  <si>
    <t>a1</t>
  </si>
  <si>
    <t>C1</t>
  </si>
  <si>
    <t>Ub</t>
  </si>
  <si>
    <t>C2</t>
  </si>
  <si>
    <t>C3</t>
  </si>
  <si>
    <t>Uo</t>
  </si>
  <si>
    <t>Um</t>
  </si>
  <si>
    <t>β</t>
  </si>
  <si>
    <t>C4</t>
  </si>
  <si>
    <t>Rg</t>
  </si>
  <si>
    <t>⍺</t>
  </si>
  <si>
    <t>C5</t>
  </si>
  <si>
    <t>L/min</t>
  </si>
  <si>
    <t>min</t>
  </si>
  <si>
    <t>mU/min</t>
  </si>
  <si>
    <t>mg/L</t>
  </si>
  <si>
    <t>mg/min</t>
  </si>
  <si>
    <t>mU/L</t>
  </si>
  <si>
    <t>L/mU</t>
  </si>
  <si>
    <t>Tolic et al (2000)</t>
  </si>
  <si>
    <t>Conversion of the parameter values from the Tolic et al (2000) original model to units appropriate for our model</t>
  </si>
  <si>
    <t>Glucose conversion:</t>
  </si>
  <si>
    <t>Insulin conversion:</t>
  </si>
  <si>
    <t>mol/mU</t>
  </si>
  <si>
    <t>mol/min</t>
  </si>
  <si>
    <t>mg/mol</t>
  </si>
  <si>
    <t>mol/L</t>
  </si>
  <si>
    <t>L/mol</t>
  </si>
  <si>
    <t>Converted parameter values</t>
  </si>
  <si>
    <t>Conversion of Dickinson et al. (2011) FSR to quantity of leucine synthesized into protein over the experimental time-course</t>
  </si>
  <si>
    <t>FSR data - control intervention</t>
  </si>
  <si>
    <t>FSR data - rapamycin treatment</t>
  </si>
  <si>
    <t>3 male, 5 female</t>
  </si>
  <si>
    <t>FSR data - bolus feeding</t>
  </si>
  <si>
    <t>Conversion of Biolo et al. (1995) 3-pool values</t>
  </si>
  <si>
    <r>
      <t>SEM</t>
    </r>
    <r>
      <rPr>
        <sz val="12"/>
        <color theme="1"/>
        <rFont val="Calibri (Body)"/>
      </rPr>
      <t xml:space="preserve"> 
(nmol/min/100mL)</t>
    </r>
  </si>
  <si>
    <t>Fm,0</t>
  </si>
  <si>
    <t>Fv,m</t>
  </si>
  <si>
    <t>F0,m</t>
  </si>
  <si>
    <t xml:space="preserve">We used the leucine leg muscle amino acid kinetic parameters (Table 3) to confirm the correctness of our basal leucine kinetic module. The 3-pool model values provided in Biolo et al. (1995) needed the 1/(100 mL leg) factored out for comparison to our model outputs. </t>
  </si>
  <si>
    <t>Calibrated   parameters (/min)</t>
  </si>
  <si>
    <t xml:space="preserve">Our reaction is second order (includes p70S6K) such that the k-value is much larger </t>
  </si>
  <si>
    <t>Our oxidation rate is larger because we are simulating total skeletal muscle oxidation, not just oxidation at the forearm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</si>
</sst>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
    <numFmt numFmtId="166" formatCode="0.00000000000000"/>
  </numFmts>
  <fonts count="7" x14ac:knownFonts="1">
    <font>
      <sz val="12"/>
      <color theme="1"/>
      <name val="Calibri"/>
      <family val="2"/>
      <scheme val="minor"/>
    </font>
    <font>
      <b/>
      <sz val="12"/>
      <color theme="1"/>
      <name val="Calibri"/>
      <family val="2"/>
      <scheme val="minor"/>
    </font>
    <font>
      <b/>
      <u/>
      <sz val="12"/>
      <color theme="1"/>
      <name val="Calibri"/>
      <family val="2"/>
      <scheme val="minor"/>
    </font>
    <font>
      <u/>
      <sz val="12"/>
      <color theme="1"/>
      <name val="Calibri"/>
      <family val="2"/>
      <scheme val="minor"/>
    </font>
    <font>
      <sz val="12"/>
      <color rgb="FF000000"/>
      <name val="Calibri"/>
      <family val="2"/>
      <scheme val="minor"/>
    </font>
    <font>
      <b/>
      <u/>
      <sz val="12"/>
      <color theme="1"/>
      <name val="Calibri (Body)"/>
    </font>
    <font>
      <sz val="12"/>
      <color theme="1"/>
      <name val="Calibri (Body)"/>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4">
    <xf numFmtId="0" fontId="0" fillId="0" borderId="0" xfId="0"/>
    <xf numFmtId="0" fontId="2" fillId="0" borderId="0" xfId="0" applyFont="1"/>
    <xf numFmtId="0" fontId="0" fillId="0" borderId="0" xfId="0" applyAlignment="1">
      <alignment vertical="top"/>
    </xf>
    <xf numFmtId="11" fontId="0" fillId="0" borderId="0" xfId="0" applyNumberFormat="1" applyAlignment="1">
      <alignment vertical="top"/>
    </xf>
    <xf numFmtId="0" fontId="0" fillId="0" borderId="0" xfId="0" applyAlignment="1">
      <alignment vertical="top" wrapText="1"/>
    </xf>
    <xf numFmtId="0" fontId="0" fillId="0" borderId="0" xfId="0" applyAlignment="1">
      <alignment horizontal="right" vertical="top"/>
    </xf>
    <xf numFmtId="0" fontId="0" fillId="0" borderId="0" xfId="0" applyAlignment="1">
      <alignment vertical="center"/>
    </xf>
    <xf numFmtId="11" fontId="0" fillId="0" borderId="0" xfId="0" applyNumberFormat="1"/>
    <xf numFmtId="0" fontId="2" fillId="0" borderId="0" xfId="0" applyFont="1" applyAlignment="1">
      <alignment wrapText="1"/>
    </xf>
    <xf numFmtId="0" fontId="1" fillId="0" borderId="0" xfId="0" applyFont="1"/>
    <xf numFmtId="0" fontId="0" fillId="0" borderId="0" xfId="0" applyAlignment="1">
      <alignment horizontal="center"/>
    </xf>
    <xf numFmtId="0" fontId="3" fillId="0" borderId="0" xfId="0" applyFont="1"/>
    <xf numFmtId="0" fontId="0" fillId="0" borderId="0" xfId="0" applyAlignment="1">
      <alignment horizontal="left"/>
    </xf>
    <xf numFmtId="0" fontId="2" fillId="0" borderId="0" xfId="0" applyFont="1" applyAlignment="1">
      <alignment horizontal="left" vertical="top" wrapText="1"/>
    </xf>
    <xf numFmtId="0" fontId="2" fillId="0" borderId="0" xfId="0" applyFont="1" applyAlignment="1">
      <alignment vertical="top"/>
    </xf>
    <xf numFmtId="0" fontId="2" fillId="0" borderId="0" xfId="0" applyFont="1" applyAlignment="1">
      <alignment vertical="top" wrapText="1"/>
    </xf>
    <xf numFmtId="2" fontId="0" fillId="0" borderId="0" xfId="0" applyNumberFormat="1" applyAlignment="1">
      <alignment horizontal="center"/>
    </xf>
    <xf numFmtId="0" fontId="2" fillId="0" borderId="0" xfId="0" applyFont="1" applyAlignment="1">
      <alignment horizontal="center" vertical="top"/>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164" fontId="0" fillId="0" borderId="0" xfId="0" applyNumberFormat="1"/>
    <xf numFmtId="164" fontId="0" fillId="0" borderId="0" xfId="0" applyNumberFormat="1" applyAlignment="1">
      <alignment horizontal="center"/>
    </xf>
    <xf numFmtId="165" fontId="0" fillId="0" borderId="0" xfId="0" applyNumberFormat="1"/>
    <xf numFmtId="2" fontId="0" fillId="0" borderId="0" xfId="0" applyNumberFormat="1"/>
    <xf numFmtId="0" fontId="0" fillId="2" borderId="0" xfId="0" applyFill="1"/>
    <xf numFmtId="0" fontId="0" fillId="0" borderId="3" xfId="0" applyBorder="1"/>
    <xf numFmtId="0" fontId="0" fillId="0" borderId="5" xfId="0" applyBorder="1"/>
    <xf numFmtId="0" fontId="0" fillId="0" borderId="4" xfId="0" applyBorder="1" applyAlignment="1">
      <alignment wrapText="1"/>
    </xf>
    <xf numFmtId="0" fontId="0" fillId="0" borderId="0" xfId="0" applyAlignment="1">
      <alignment horizontal="right"/>
    </xf>
    <xf numFmtId="0" fontId="0" fillId="0" borderId="6" xfId="0" applyBorder="1"/>
    <xf numFmtId="165" fontId="1" fillId="0" borderId="7" xfId="0" applyNumberFormat="1" applyFont="1" applyBorder="1"/>
    <xf numFmtId="0" fontId="0" fillId="0" borderId="1" xfId="0" applyBorder="1" applyAlignment="1">
      <alignment wrapText="1"/>
    </xf>
    <xf numFmtId="0" fontId="1" fillId="0" borderId="8" xfId="0" applyFont="1" applyBorder="1"/>
    <xf numFmtId="11" fontId="0" fillId="0" borderId="2" xfId="0" applyNumberFormat="1" applyBorder="1"/>
    <xf numFmtId="0" fontId="0" fillId="0" borderId="4" xfId="0" applyBorder="1"/>
    <xf numFmtId="0" fontId="0" fillId="0" borderId="7" xfId="0" applyBorder="1"/>
    <xf numFmtId="2" fontId="0" fillId="0" borderId="7" xfId="0" applyNumberFormat="1" applyBorder="1" applyAlignment="1">
      <alignment horizontal="center"/>
    </xf>
    <xf numFmtId="0" fontId="0" fillId="0" borderId="7" xfId="0" applyBorder="1" applyAlignment="1">
      <alignment horizontal="center"/>
    </xf>
    <xf numFmtId="164" fontId="0" fillId="0" borderId="7" xfId="0" applyNumberFormat="1" applyBorder="1"/>
    <xf numFmtId="11" fontId="0" fillId="0" borderId="0" xfId="0" applyNumberFormat="1" applyAlignment="1">
      <alignment horizontal="center"/>
    </xf>
    <xf numFmtId="165" fontId="0" fillId="0" borderId="0" xfId="0" applyNumberFormat="1" applyAlignment="1">
      <alignment vertical="top"/>
    </xf>
    <xf numFmtId="166" fontId="0" fillId="0" borderId="0" xfId="0" applyNumberFormat="1"/>
    <xf numFmtId="1"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left" wrapText="1"/>
    </xf>
    <xf numFmtId="0" fontId="2" fillId="0" borderId="0" xfId="0" applyFont="1" applyAlignment="1">
      <alignment wrapText="1"/>
    </xf>
    <xf numFmtId="0" fontId="2" fillId="0" borderId="0" xfId="0" applyFont="1" applyAlignment="1">
      <alignment horizontal="center"/>
    </xf>
    <xf numFmtId="0" fontId="2" fillId="0" borderId="0" xfId="0" applyFont="1" applyFill="1" applyAlignment="1">
      <alignment wrapText="1"/>
    </xf>
    <xf numFmtId="0" fontId="0" fillId="0" borderId="0" xfId="0" applyFill="1"/>
    <xf numFmtId="11" fontId="4" fillId="0" borderId="0" xfId="0" applyNumberFormat="1" applyFont="1" applyFill="1"/>
    <xf numFmtId="11" fontId="0" fillId="0" borderId="0" xfId="0" applyNumberFormat="1" applyFill="1" applyAlignment="1">
      <alignment vertical="top"/>
    </xf>
    <xf numFmtId="11" fontId="0" fillId="0" borderId="0" xfId="0" applyNumberFormat="1" applyFont="1" applyAlignment="1">
      <alignment vertical="top"/>
    </xf>
    <xf numFmtId="0" fontId="3"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TJ McColl" id="{104E15FA-BCAC-EF4D-9E9D-9320E059468D}" userId="S::tmccoll@sfu.ca::e7376cbd-490a-42e9-a5a8-86fda9ac97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1-08T06:27:26.24" personId="{104E15FA-BCAC-EF4D-9E9D-9320E059468D}" id="{97A3AD4B-2BDE-9D47-9B35-7ECAA029B2F7}">
    <text>The formula for the unit conversions are provided in the methods</text>
  </threadedComment>
  <threadedComment ref="C4" dT="2021-06-09T19:30:41.37" personId="{104E15FA-BCAC-EF4D-9E9D-9320E059468D}" id="{D9F1F3A4-CAEA-F443-8DA1-5D2B77924B5F}">
    <text>K-value in my model (most up to date)</text>
  </threadedComment>
  <threadedComment ref="D4" dT="2021-06-09T20:06:23.20" personId="{104E15FA-BCAC-EF4D-9E9D-9320E059468D}" id="{F9DE3D4A-2E09-864F-8A4C-89A220763E41}">
    <text>mean value</text>
  </threadedComment>
  <threadedComment ref="F4" dT="2021-06-09T21:15:40.15" personId="{104E15FA-BCAC-EF4D-9E9D-9320E059468D}" id="{9F343F58-0A1B-F74E-93F2-81BF1336B99E}">
    <text>Simulated value at end of equilibrium period.
(Doesn’t necessarily make sense as I am calculating this number to run the initial model. However, the issue is that the concentrations for intracellular leucine and KIC are not given, so I need to use the model to inform the numbers)</text>
  </threadedComment>
  <threadedComment ref="K4" dT="2021-06-09T21:52:48.44" personId="{104E15FA-BCAC-EF4D-9E9D-9320E059468D}" id="{4EF47C01-BD99-DB45-84A3-B47A7CF0E84A}">
    <text>K-values from ‘5. 210402 extensive opt, tune2’ excel sheet.
These k-values were optimized using the 3-pool model values and fit the experimental data well
For comparison to show our k-values are still within range of the ‘initial’ Tessari values.</text>
  </threadedComment>
  <threadedComment ref="K4" dT="2022-01-08T06:15:33.23" personId="{104E15FA-BCAC-EF4D-9E9D-9320E059468D}" id="{537767EF-5A62-C34F-85F1-C84E4869B6E3}" parentId="{4EF47C01-BD99-DB45-84A3-B47A7CF0E84A}">
    <text>Update as of 210107 - 210713 excel file</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01-08T06:27:26.24" personId="{104E15FA-BCAC-EF4D-9E9D-9320E059468D}" id="{01C355AB-D6E5-1B42-B7B3-E67F8AD21505}">
    <text>The formula for the unit conversions are provided in the methods</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01-08T06:27:26.24" personId="{104E15FA-BCAC-EF4D-9E9D-9320E059468D}" id="{D418327C-4356-EE45-9ECE-9809E785B4A6}">
    <text>The formula for the unit conversions are provided in the methods</text>
  </threadedComment>
</ThreadedComments>
</file>

<file path=xl/threadedComments/threadedComment4.xml><?xml version="1.0" encoding="utf-8"?>
<ThreadedComments xmlns="http://schemas.microsoft.com/office/spreadsheetml/2018/threadedcomments" xmlns:x="http://schemas.openxmlformats.org/spreadsheetml/2006/main">
  <threadedComment ref="D8" dT="2022-01-19T00:07:13.34" personId="{104E15FA-BCAC-EF4D-9E9D-9320E059468D}" id="{2DACA5CC-0C0F-914F-9531-124A10B6C9E7}">
    <text>Data obtained from:
-Brooks: Exercise physiology: Human bioenergetics and its applications
-Hall: Guyton and Hall textbook of medical physiology</text>
  </threadedComment>
  <threadedComment ref="D9" dT="2022-01-19T00:07:40.14" personId="{104E15FA-BCAC-EF4D-9E9D-9320E059468D}" id="{ED3C89D4-314E-374B-B2A7-590948D7BFFB}">
    <text>Data obtained from:
-Brooks: Exercise physiology: Human bioenergetics and its applications</text>
  </threadedComment>
  <threadedComment ref="C14" dT="2022-01-19T00:12:53.06" personId="{104E15FA-BCAC-EF4D-9E9D-9320E059468D}" id="{CD547888-0026-7A42-B4F6-E29028FC42C5}">
    <text>SEM estimated from Fig 2a</text>
  </threadedComment>
  <threadedComment ref="C15" dT="2022-01-19T00:13:30.16" personId="{104E15FA-BCAC-EF4D-9E9D-9320E059468D}" id="{AD9FDB5B-D6C0-3F44-85ED-0D2B7E5B5D7D}">
    <text>SEM estimated from Fig 2a. 3 hour FSR is the mean of FSR at 1 hour, 2 hour, and 3 hour. Error propagation applied to calculate SEM</text>
  </threadedComment>
</ThreadedComments>
</file>

<file path=xl/threadedComments/threadedComment5.xml><?xml version="1.0" encoding="utf-8"?>
<ThreadedComments xmlns="http://schemas.microsoft.com/office/spreadsheetml/2018/threadedcomments" xmlns:x="http://schemas.openxmlformats.org/spreadsheetml/2006/main">
  <threadedComment ref="D8" dT="2022-01-19T00:07:13.34" personId="{104E15FA-BCAC-EF4D-9E9D-9320E059468D}" id="{F8E4AD43-CEDA-B14B-B3F7-705E4CDFC562}">
    <text>Data obtained from:
-Brooks: Exercise physiology: Human bioenergetics and its applications
-Hall: Guyton and Hall textbook of medical physiology</text>
  </threadedComment>
  <threadedComment ref="D9" dT="2022-01-19T00:07:40.14" personId="{104E15FA-BCAC-EF4D-9E9D-9320E059468D}" id="{55B62F90-85D4-924E-92CF-3DC290E25843}">
    <text>Data obtained from:
-Brooks: Exercise physiology: Human bioenergetics and its applications</text>
  </threadedComment>
  <threadedComment ref="C15" dT="2022-01-19T00:13:30.16" personId="{104E15FA-BCAC-EF4D-9E9D-9320E059468D}" id="{391132FF-173F-214E-9D8C-F760917FC93E}">
    <text>SEM estimated from Fig 2a. 3 hour FSR is the mean of FSR at 1 hour, 2 hour, and 3 hour. Error propagation applied to calculate SEM</text>
  </threadedComment>
  <threadedComment ref="C25" dT="2022-01-19T00:13:30.16" personId="{104E15FA-BCAC-EF4D-9E9D-9320E059468D}" id="{BEAE89F8-F871-634A-8F8D-37B44BFF0CE6}">
    <text>SEM estimated from Fig 2a. 3 hour FSR is the mean of FSR at 1 hour, 2 hour, and 3 hour. Error propagation applied to calculate SEM</text>
  </threadedComment>
</ThreadedComments>
</file>

<file path=xl/threadedComments/threadedComment6.xml><?xml version="1.0" encoding="utf-8"?>
<ThreadedComments xmlns="http://schemas.microsoft.com/office/spreadsheetml/2018/threadedcomments" xmlns:x="http://schemas.openxmlformats.org/spreadsheetml/2006/main">
  <threadedComment ref="D8" dT="2022-01-19T00:07:13.34" personId="{104E15FA-BCAC-EF4D-9E9D-9320E059468D}" id="{B997EADE-61B3-234A-9719-00276018BA5D}">
    <text>Data obtained from:
-Brooks: Exercise physiology: Human bioenergetics and its applications
-Hall: Guyton and Hall textbook of medical physiology</text>
  </threadedComment>
  <threadedComment ref="D9" dT="2022-01-19T00:07:40.14" personId="{104E15FA-BCAC-EF4D-9E9D-9320E059468D}" id="{43A09FF9-89C2-8245-AF03-35EC3F18AA9B}">
    <text>Data obtained from:
-Brooks: Exercise physiology: Human bioenergetics and its applications</text>
  </threadedComment>
</ThreadedComments>
</file>

<file path=xl/threadedComments/threadedComment7.xml><?xml version="1.0" encoding="utf-8"?>
<ThreadedComments xmlns="http://schemas.microsoft.com/office/spreadsheetml/2018/threadedcomments" xmlns:x="http://schemas.openxmlformats.org/spreadsheetml/2006/main">
  <threadedComment ref="D8" dT="2022-01-19T00:07:13.34" personId="{104E15FA-BCAC-EF4D-9E9D-9320E059468D}" id="{C57A3227-5856-9944-9012-BC632DBFA424}">
    <text>Data obtained from:
-Brooks: Exercise physiology: Human bioenergetics and its applications
-Hall: Guyton and Hall textbook of medical physiology</text>
  </threadedComment>
  <threadedComment ref="D9" dT="2022-01-19T00:07:40.14" personId="{104E15FA-BCAC-EF4D-9E9D-9320E059468D}" id="{3AE699B8-34A6-9943-A4C3-D476EE1E8DD0}">
    <text>Data obtained from:
-Brooks: Exercise physiology: Human bioenergetics and its applications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213D3-CB7F-2D4F-8444-88CF6EAB9AA8}">
  <dimension ref="A1:N27"/>
  <sheetViews>
    <sheetView zoomScale="125" zoomScaleNormal="150" workbookViewId="0">
      <selection activeCell="M13" sqref="M13"/>
    </sheetView>
  </sheetViews>
  <sheetFormatPr baseColWidth="10" defaultRowHeight="16" x14ac:dyDescent="0.2"/>
  <cols>
    <col min="1" max="1" width="29.1640625" customWidth="1"/>
    <col min="2" max="4" width="14.83203125" customWidth="1"/>
    <col min="5" max="5" width="2.83203125" customWidth="1"/>
    <col min="6" max="6" width="14" bestFit="1" customWidth="1"/>
    <col min="7" max="7" width="17.5" bestFit="1" customWidth="1"/>
    <col min="8" max="8" width="2.83203125" customWidth="1"/>
    <col min="9" max="9" width="13" customWidth="1"/>
    <col min="10" max="10" width="2.83203125" customWidth="1"/>
    <col min="12" max="12" width="2.5" customWidth="1"/>
    <col min="14" max="14" width="16.83203125" bestFit="1" customWidth="1"/>
  </cols>
  <sheetData>
    <row r="1" spans="1:14" x14ac:dyDescent="0.2">
      <c r="A1" s="1" t="s">
        <v>0</v>
      </c>
    </row>
    <row r="2" spans="1:14" x14ac:dyDescent="0.2">
      <c r="A2" t="s">
        <v>46</v>
      </c>
    </row>
    <row r="4" spans="1:14" ht="51" x14ac:dyDescent="0.2">
      <c r="A4" s="8" t="s">
        <v>1</v>
      </c>
      <c r="B4" s="8" t="s">
        <v>2</v>
      </c>
      <c r="C4" s="8" t="s">
        <v>3</v>
      </c>
      <c r="D4" s="8" t="s">
        <v>4</v>
      </c>
      <c r="E4" s="1"/>
      <c r="F4" s="8" t="s">
        <v>5</v>
      </c>
      <c r="G4" s="8" t="s">
        <v>6</v>
      </c>
      <c r="H4" s="11"/>
      <c r="I4" s="8" t="s">
        <v>7</v>
      </c>
      <c r="J4" s="11"/>
      <c r="K4" s="48" t="s">
        <v>157</v>
      </c>
    </row>
    <row r="5" spans="1:14" ht="7" customHeight="1" x14ac:dyDescent="0.2">
      <c r="I5" s="9"/>
      <c r="K5" s="49"/>
    </row>
    <row r="6" spans="1:14" s="2" customFormat="1" ht="16" customHeight="1" x14ac:dyDescent="0.2">
      <c r="A6" s="4" t="s">
        <v>8</v>
      </c>
      <c r="B6" s="2" t="s">
        <v>9</v>
      </c>
      <c r="C6" s="2" t="s">
        <v>10</v>
      </c>
      <c r="D6" s="2">
        <v>1.6110000000000001E-7</v>
      </c>
      <c r="F6" s="3">
        <v>1E-3</v>
      </c>
      <c r="G6" s="2" t="s">
        <v>11</v>
      </c>
      <c r="I6" s="52">
        <f>D6*$B$18*$B$19/$B$20/F6</f>
        <v>1.7237700000000001E-3</v>
      </c>
      <c r="J6" s="3"/>
      <c r="K6" s="50">
        <v>3.2463860000000004E-2</v>
      </c>
      <c r="N6" s="41"/>
    </row>
    <row r="7" spans="1:14" s="2" customFormat="1" ht="16" customHeight="1" x14ac:dyDescent="0.2">
      <c r="A7" s="4" t="s">
        <v>12</v>
      </c>
      <c r="B7" s="2" t="s">
        <v>13</v>
      </c>
      <c r="C7" s="2" t="s">
        <v>14</v>
      </c>
      <c r="D7" s="2">
        <v>1.5890000000000003E-7</v>
      </c>
      <c r="F7" s="3">
        <v>9.9014999999999997E-4</v>
      </c>
      <c r="G7" s="2" t="s">
        <v>15</v>
      </c>
      <c r="I7" s="52">
        <f t="shared" ref="I7:I12" si="0">D7*$B$18*$B$19/$B$20/F7</f>
        <v>1.7171438670908453E-3</v>
      </c>
      <c r="J7" s="3"/>
      <c r="K7" s="50">
        <v>9.5738500000000005E-4</v>
      </c>
      <c r="N7" s="41"/>
    </row>
    <row r="8" spans="1:14" s="2" customFormat="1" ht="16" customHeight="1" x14ac:dyDescent="0.2">
      <c r="A8" s="4" t="s">
        <v>16</v>
      </c>
      <c r="B8" s="2" t="s">
        <v>17</v>
      </c>
      <c r="C8" s="2" t="s">
        <v>18</v>
      </c>
      <c r="D8" s="2">
        <v>1.4930000000000002E-7</v>
      </c>
      <c r="F8" s="3">
        <v>3.5150000000000001</v>
      </c>
      <c r="G8" s="2" t="s">
        <v>19</v>
      </c>
      <c r="I8" s="52">
        <f t="shared" si="0"/>
        <v>4.5448364153627324E-7</v>
      </c>
      <c r="J8" s="3"/>
      <c r="K8" s="51">
        <v>1.70994E-6</v>
      </c>
      <c r="N8" s="41"/>
    </row>
    <row r="9" spans="1:14" s="2" customFormat="1" ht="16" customHeight="1" x14ac:dyDescent="0.2">
      <c r="A9" s="4" t="s">
        <v>20</v>
      </c>
      <c r="B9" s="2" t="s">
        <v>21</v>
      </c>
      <c r="C9" s="2" t="s">
        <v>22</v>
      </c>
      <c r="D9" s="2">
        <v>1.296E-7</v>
      </c>
      <c r="F9" s="3">
        <v>9.9014999999999997E-4</v>
      </c>
      <c r="G9" s="2" t="s">
        <v>15</v>
      </c>
      <c r="I9" s="52">
        <f t="shared" si="0"/>
        <v>1.4005150734737162E-3</v>
      </c>
      <c r="J9" s="3"/>
      <c r="K9" s="51">
        <v>684390</v>
      </c>
      <c r="M9" s="2" t="s">
        <v>158</v>
      </c>
      <c r="N9" s="41"/>
    </row>
    <row r="10" spans="1:14" s="2" customFormat="1" ht="16" customHeight="1" x14ac:dyDescent="0.2">
      <c r="A10" s="4" t="s">
        <v>23</v>
      </c>
      <c r="B10" s="2" t="s">
        <v>24</v>
      </c>
      <c r="C10" s="2" t="s">
        <v>25</v>
      </c>
      <c r="D10" s="2">
        <v>9.53E-8</v>
      </c>
      <c r="F10" s="3">
        <v>9.9014999999999997E-4</v>
      </c>
      <c r="G10" s="2" t="s">
        <v>15</v>
      </c>
      <c r="I10" s="52">
        <f t="shared" si="0"/>
        <v>1.0298540625157805E-3</v>
      </c>
      <c r="J10" s="3"/>
      <c r="K10" s="50">
        <v>0.33678000000000002</v>
      </c>
      <c r="N10" s="41"/>
    </row>
    <row r="11" spans="1:14" s="2" customFormat="1" ht="16" customHeight="1" x14ac:dyDescent="0.2">
      <c r="A11" s="4" t="s">
        <v>26</v>
      </c>
      <c r="B11" s="2" t="s">
        <v>27</v>
      </c>
      <c r="C11" s="2" t="s">
        <v>28</v>
      </c>
      <c r="D11" s="2">
        <v>7.3500000000000003E-8</v>
      </c>
      <c r="F11" s="3">
        <v>1.5224999999999999E-4</v>
      </c>
      <c r="G11" s="2" t="s">
        <v>29</v>
      </c>
      <c r="I11" s="52">
        <f t="shared" si="0"/>
        <v>5.165517241379312E-3</v>
      </c>
      <c r="J11" s="3"/>
      <c r="K11" s="50">
        <v>3.6606E-2</v>
      </c>
      <c r="N11" s="41"/>
    </row>
    <row r="12" spans="1:14" s="2" customFormat="1" ht="16" customHeight="1" x14ac:dyDescent="0.2">
      <c r="A12" s="2" t="s">
        <v>30</v>
      </c>
      <c r="B12" s="2" t="s">
        <v>31</v>
      </c>
      <c r="C12" s="2" t="s">
        <v>32</v>
      </c>
      <c r="D12" s="2">
        <v>1.9600000000000003E-8</v>
      </c>
      <c r="F12" s="3">
        <v>1.5224999999999999E-4</v>
      </c>
      <c r="G12" s="2" t="s">
        <v>29</v>
      </c>
      <c r="I12" s="52">
        <f t="shared" si="0"/>
        <v>1.3774712643678166E-3</v>
      </c>
      <c r="J12" s="3"/>
      <c r="K12" s="50">
        <v>0.15634400000000001</v>
      </c>
      <c r="M12" s="2" t="s">
        <v>159</v>
      </c>
      <c r="N12" s="41"/>
    </row>
    <row r="13" spans="1:14" s="2" customFormat="1" ht="16" customHeight="1" x14ac:dyDescent="0.2">
      <c r="A13" s="2" t="s">
        <v>33</v>
      </c>
      <c r="B13" s="2" t="s">
        <v>34</v>
      </c>
      <c r="C13" s="2" t="s">
        <v>35</v>
      </c>
      <c r="D13" s="5" t="s">
        <v>36</v>
      </c>
      <c r="F13" s="3">
        <v>1.3725E-4</v>
      </c>
      <c r="G13" s="2" t="s">
        <v>37</v>
      </c>
      <c r="I13" s="52" t="s">
        <v>36</v>
      </c>
      <c r="K13" s="51">
        <v>2.1479600000000001E-2</v>
      </c>
    </row>
    <row r="14" spans="1:14" s="2" customFormat="1" ht="16" customHeight="1" x14ac:dyDescent="0.2">
      <c r="A14" s="2" t="s">
        <v>38</v>
      </c>
      <c r="B14" s="2" t="s">
        <v>34</v>
      </c>
      <c r="C14" s="2" t="s">
        <v>39</v>
      </c>
      <c r="D14" s="5" t="s">
        <v>36</v>
      </c>
      <c r="F14" s="3">
        <v>1.5224999999999999E-4</v>
      </c>
      <c r="G14" s="2" t="s">
        <v>29</v>
      </c>
      <c r="I14" s="52" t="s">
        <v>36</v>
      </c>
      <c r="K14" s="51">
        <v>8.7127999999999997E-3</v>
      </c>
    </row>
    <row r="15" spans="1:14" x14ac:dyDescent="0.2">
      <c r="N15" s="42"/>
    </row>
    <row r="18" spans="1:9" ht="34" x14ac:dyDescent="0.2">
      <c r="A18" s="4" t="s">
        <v>40</v>
      </c>
      <c r="B18" s="6">
        <v>1.07</v>
      </c>
      <c r="C18" s="6" t="s">
        <v>41</v>
      </c>
    </row>
    <row r="19" spans="1:9" x14ac:dyDescent="0.2">
      <c r="A19" t="s">
        <v>42</v>
      </c>
      <c r="B19">
        <v>1000</v>
      </c>
      <c r="C19" t="s">
        <v>43</v>
      </c>
      <c r="I19" s="7"/>
    </row>
    <row r="20" spans="1:9" x14ac:dyDescent="0.2">
      <c r="A20" t="s">
        <v>44</v>
      </c>
      <c r="B20">
        <v>100</v>
      </c>
      <c r="C20" t="s">
        <v>45</v>
      </c>
      <c r="I20" s="7"/>
    </row>
    <row r="21" spans="1:9" x14ac:dyDescent="0.2">
      <c r="I21" s="7"/>
    </row>
    <row r="22" spans="1:9" x14ac:dyDescent="0.2">
      <c r="I22" s="7"/>
    </row>
    <row r="23" spans="1:9" x14ac:dyDescent="0.2">
      <c r="I23" s="7"/>
    </row>
    <row r="24" spans="1:9" x14ac:dyDescent="0.2">
      <c r="I24" s="7"/>
    </row>
    <row r="25" spans="1:9" x14ac:dyDescent="0.2">
      <c r="I25" s="7"/>
    </row>
    <row r="26" spans="1:9" x14ac:dyDescent="0.2">
      <c r="I26" s="7"/>
    </row>
    <row r="27" spans="1:9" x14ac:dyDescent="0.2">
      <c r="I27"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4987-63B3-F84F-9AAC-F8FBC95B6C04}">
  <dimension ref="A1:Q69"/>
  <sheetViews>
    <sheetView zoomScale="119" zoomScaleNormal="100" workbookViewId="0">
      <selection activeCell="O7" sqref="O7:Q7"/>
    </sheetView>
  </sheetViews>
  <sheetFormatPr baseColWidth="10" defaultRowHeight="16" x14ac:dyDescent="0.2"/>
  <cols>
    <col min="3" max="3" width="17.6640625" bestFit="1" customWidth="1"/>
    <col min="4" max="4" width="16.5" customWidth="1"/>
    <col min="5" max="5" width="2.83203125" customWidth="1"/>
    <col min="6" max="6" width="12.6640625" bestFit="1" customWidth="1"/>
    <col min="10" max="10" width="15.6640625" customWidth="1"/>
  </cols>
  <sheetData>
    <row r="1" spans="1:17" x14ac:dyDescent="0.2">
      <c r="A1" s="1" t="s">
        <v>47</v>
      </c>
    </row>
    <row r="2" spans="1:17" ht="48" customHeight="1" x14ac:dyDescent="0.2">
      <c r="A2" s="45" t="s">
        <v>89</v>
      </c>
      <c r="B2" s="45"/>
      <c r="C2" s="45"/>
      <c r="D2" s="45"/>
      <c r="E2" s="45"/>
      <c r="F2" s="45"/>
      <c r="G2" s="45"/>
      <c r="H2" s="45"/>
      <c r="I2" s="45"/>
      <c r="J2" s="45"/>
      <c r="K2" s="45"/>
      <c r="L2" s="45"/>
      <c r="M2" s="45"/>
    </row>
    <row r="3" spans="1:17" ht="16" customHeight="1" x14ac:dyDescent="0.2"/>
    <row r="4" spans="1:17" x14ac:dyDescent="0.2">
      <c r="B4" s="44" t="s">
        <v>87</v>
      </c>
      <c r="C4" s="44"/>
      <c r="D4" s="44"/>
      <c r="F4" s="44" t="s">
        <v>86</v>
      </c>
      <c r="G4" s="44"/>
    </row>
    <row r="5" spans="1:17" s="20" customFormat="1" ht="32" customHeight="1" x14ac:dyDescent="0.2">
      <c r="A5" s="17" t="s">
        <v>48</v>
      </c>
      <c r="B5" s="18" t="s">
        <v>50</v>
      </c>
      <c r="C5" s="19" t="s">
        <v>52</v>
      </c>
      <c r="D5" s="19" t="s">
        <v>51</v>
      </c>
      <c r="F5" s="19" t="s">
        <v>53</v>
      </c>
      <c r="G5" s="19" t="s">
        <v>54</v>
      </c>
    </row>
    <row r="6" spans="1:17" s="2" customFormat="1" ht="7" customHeight="1" x14ac:dyDescent="0.2">
      <c r="A6" s="14"/>
      <c r="B6" s="4"/>
      <c r="C6" s="15"/>
      <c r="D6" s="13"/>
    </row>
    <row r="7" spans="1:17" x14ac:dyDescent="0.2">
      <c r="A7" t="s">
        <v>49</v>
      </c>
      <c r="B7" s="10">
        <v>0</v>
      </c>
      <c r="C7" s="16">
        <v>0.229226361031517</v>
      </c>
      <c r="D7" s="16" t="s">
        <v>59</v>
      </c>
      <c r="F7" s="40">
        <f t="shared" ref="F7:F19" si="0">C7*(0.000001)*$K$8*1000/100</f>
        <v>2.2899713467048549E-5</v>
      </c>
      <c r="G7" s="40" t="s">
        <v>59</v>
      </c>
      <c r="J7" t="s">
        <v>55</v>
      </c>
      <c r="L7" s="12"/>
      <c r="O7" s="53"/>
      <c r="P7" s="49"/>
      <c r="Q7" s="49"/>
    </row>
    <row r="8" spans="1:17" x14ac:dyDescent="0.2">
      <c r="B8" s="10">
        <v>15</v>
      </c>
      <c r="C8" s="16">
        <v>1.0681948424068699</v>
      </c>
      <c r="D8" s="16">
        <v>0.31805157593123012</v>
      </c>
      <c r="F8" s="40">
        <f t="shared" si="0"/>
        <v>1.067126647564463E-4</v>
      </c>
      <c r="G8" s="40">
        <f t="shared" ref="G8:G17" si="1">SQRT((D8/C8)^2+($K$9/$K$8)^2)*F8</f>
        <v>3.2103640894531815E-5</v>
      </c>
      <c r="H8" s="24"/>
      <c r="J8" t="s">
        <v>57</v>
      </c>
      <c r="K8">
        <v>9.99</v>
      </c>
      <c r="L8" t="s">
        <v>41</v>
      </c>
    </row>
    <row r="9" spans="1:17" x14ac:dyDescent="0.2">
      <c r="B9" s="10">
        <v>30</v>
      </c>
      <c r="C9" s="16">
        <v>1.2349570200572999</v>
      </c>
      <c r="D9" s="16">
        <v>0.11862464183381016</v>
      </c>
      <c r="F9" s="40">
        <f t="shared" si="0"/>
        <v>1.2337220630372425E-4</v>
      </c>
      <c r="G9" s="40">
        <f t="shared" si="1"/>
        <v>1.2986000480684151E-5</v>
      </c>
      <c r="H9" s="24"/>
      <c r="J9" t="s">
        <v>58</v>
      </c>
      <c r="K9">
        <v>0.43</v>
      </c>
      <c r="L9" t="s">
        <v>41</v>
      </c>
    </row>
    <row r="10" spans="1:17" x14ac:dyDescent="0.2">
      <c r="B10" s="10">
        <v>45</v>
      </c>
      <c r="C10" s="16">
        <v>1.27965616045845</v>
      </c>
      <c r="D10" s="16">
        <v>0.21318051575931007</v>
      </c>
      <c r="F10" s="40">
        <f t="shared" si="0"/>
        <v>1.2783765042979916E-4</v>
      </c>
      <c r="G10" s="40">
        <f t="shared" si="1"/>
        <v>2.1996104235863811E-5</v>
      </c>
      <c r="H10" s="24"/>
      <c r="J10" t="s">
        <v>56</v>
      </c>
    </row>
    <row r="11" spans="1:17" x14ac:dyDescent="0.2">
      <c r="B11" s="10">
        <v>60</v>
      </c>
      <c r="C11" s="16">
        <v>0.92722063037249303</v>
      </c>
      <c r="D11" s="16">
        <v>0.16848137535815688</v>
      </c>
      <c r="F11" s="40">
        <f t="shared" si="0"/>
        <v>9.2629340974212051E-5</v>
      </c>
      <c r="G11" s="40">
        <f t="shared" si="1"/>
        <v>1.7297076638246107E-5</v>
      </c>
      <c r="H11" s="24"/>
    </row>
    <row r="12" spans="1:17" x14ac:dyDescent="0.2">
      <c r="B12" s="10">
        <v>75</v>
      </c>
      <c r="C12" s="16">
        <v>0.88424068767908304</v>
      </c>
      <c r="D12" s="16">
        <v>0.25272206303724698</v>
      </c>
      <c r="F12" s="40">
        <f t="shared" si="0"/>
        <v>8.8335644699140387E-5</v>
      </c>
      <c r="G12" s="40">
        <f t="shared" si="1"/>
        <v>2.5531640605098275E-5</v>
      </c>
      <c r="H12" s="24"/>
    </row>
    <row r="13" spans="1:17" x14ac:dyDescent="0.2">
      <c r="B13" s="10">
        <v>90</v>
      </c>
      <c r="C13" s="16">
        <v>0.74154727793696296</v>
      </c>
      <c r="D13" s="16">
        <v>0.17363896848137506</v>
      </c>
      <c r="F13" s="40">
        <f t="shared" si="0"/>
        <v>7.4080573065902602E-5</v>
      </c>
      <c r="G13" s="40">
        <f t="shared" si="1"/>
        <v>1.7637168572838005E-5</v>
      </c>
      <c r="H13" s="24"/>
    </row>
    <row r="14" spans="1:17" x14ac:dyDescent="0.2">
      <c r="B14" s="10">
        <v>105</v>
      </c>
      <c r="C14" s="16">
        <v>0.66762177650429799</v>
      </c>
      <c r="D14" s="16">
        <v>0.20114613180515706</v>
      </c>
      <c r="F14" s="40">
        <f t="shared" si="0"/>
        <v>6.6695415472779374E-5</v>
      </c>
      <c r="G14" s="40">
        <f t="shared" si="1"/>
        <v>2.0298527383995925E-5</v>
      </c>
      <c r="H14" s="24"/>
    </row>
    <row r="15" spans="1:17" x14ac:dyDescent="0.2">
      <c r="B15" s="10">
        <v>120</v>
      </c>
      <c r="C15" s="16">
        <v>0.39426934097421201</v>
      </c>
      <c r="D15" s="16">
        <v>9.9713467048709981E-2</v>
      </c>
      <c r="F15" s="40">
        <f t="shared" si="0"/>
        <v>3.9387507163323783E-5</v>
      </c>
      <c r="G15" s="40">
        <f t="shared" si="1"/>
        <v>1.0104614705071314E-5</v>
      </c>
      <c r="H15" s="24"/>
    </row>
    <row r="16" spans="1:17" x14ac:dyDescent="0.2">
      <c r="B16" s="10">
        <v>135</v>
      </c>
      <c r="C16" s="16">
        <v>0.41318051575931197</v>
      </c>
      <c r="D16" s="16">
        <v>3.094555873925503E-2</v>
      </c>
      <c r="F16" s="40">
        <f t="shared" si="0"/>
        <v>4.1276733524355273E-5</v>
      </c>
      <c r="G16" s="40">
        <f t="shared" si="1"/>
        <v>3.5656291820352124E-6</v>
      </c>
      <c r="H16" s="24"/>
    </row>
    <row r="17" spans="1:9" x14ac:dyDescent="0.2">
      <c r="B17" s="10">
        <v>150</v>
      </c>
      <c r="C17" s="16">
        <v>0.33753581661891102</v>
      </c>
      <c r="D17" s="16">
        <v>4.985673352435499E-2</v>
      </c>
      <c r="F17" s="40">
        <f t="shared" si="0"/>
        <v>3.3719828080229211E-5</v>
      </c>
      <c r="G17" s="40">
        <f t="shared" si="1"/>
        <v>5.1878534444465405E-6</v>
      </c>
      <c r="H17" s="24"/>
    </row>
    <row r="18" spans="1:9" x14ac:dyDescent="0.2">
      <c r="B18" s="10">
        <v>165</v>
      </c>
      <c r="C18" s="16">
        <v>0.26017191977077198</v>
      </c>
      <c r="D18" s="16" t="s">
        <v>59</v>
      </c>
      <c r="F18" s="40">
        <f t="shared" si="0"/>
        <v>2.5991174785100122E-5</v>
      </c>
      <c r="G18" s="40" t="s">
        <v>59</v>
      </c>
    </row>
    <row r="19" spans="1:9" x14ac:dyDescent="0.2">
      <c r="B19" s="10">
        <v>180</v>
      </c>
      <c r="C19" s="16">
        <v>0.291117478510029</v>
      </c>
      <c r="D19" s="16" t="s">
        <v>59</v>
      </c>
      <c r="F19" s="40">
        <f t="shared" si="0"/>
        <v>2.9082636103151899E-5</v>
      </c>
      <c r="G19" s="40" t="s">
        <v>59</v>
      </c>
    </row>
    <row r="21" spans="1:9" x14ac:dyDescent="0.2">
      <c r="B21" s="44" t="s">
        <v>87</v>
      </c>
      <c r="C21" s="44"/>
      <c r="D21" s="44"/>
      <c r="F21" s="44" t="s">
        <v>84</v>
      </c>
      <c r="G21" s="44"/>
    </row>
    <row r="22" spans="1:9" ht="51" x14ac:dyDescent="0.2">
      <c r="A22" s="17" t="s">
        <v>48</v>
      </c>
      <c r="B22" s="18" t="s">
        <v>50</v>
      </c>
      <c r="C22" s="19" t="s">
        <v>52</v>
      </c>
      <c r="D22" s="19" t="s">
        <v>51</v>
      </c>
      <c r="E22" s="20"/>
      <c r="F22" s="19" t="s">
        <v>53</v>
      </c>
      <c r="G22" s="19" t="s">
        <v>54</v>
      </c>
    </row>
    <row r="23" spans="1:9" x14ac:dyDescent="0.2">
      <c r="A23" t="s">
        <v>85</v>
      </c>
      <c r="B23">
        <v>0</v>
      </c>
      <c r="C23" s="16">
        <v>0.56259669228681897</v>
      </c>
      <c r="D23" s="16">
        <v>8.1297288915672006E-2</v>
      </c>
      <c r="F23" s="40">
        <f>(C23-C7)*(0.000001)*$K$8*1000/100</f>
        <v>3.3303696092404661E-5</v>
      </c>
      <c r="G23" s="40" t="s">
        <v>59</v>
      </c>
    </row>
    <row r="24" spans="1:9" x14ac:dyDescent="0.2">
      <c r="B24">
        <v>15</v>
      </c>
      <c r="C24" s="16">
        <v>1.5433586715581</v>
      </c>
      <c r="D24" s="16">
        <v>0.44173441734417995</v>
      </c>
      <c r="F24" s="40">
        <f t="shared" ref="F24:F35" si="2">(C24-C8)*(0.000001)*$K$8*1000/100</f>
        <v>4.7468866532207886E-5</v>
      </c>
      <c r="G24" s="40">
        <f t="shared" ref="G24:G33" si="3">SQRT((D8/C8)^2+(D24/C24)^2+($K$9/$K$8)^2)*F24</f>
        <v>1.9711050175152104E-5</v>
      </c>
      <c r="I24" s="24"/>
    </row>
    <row r="25" spans="1:9" x14ac:dyDescent="0.2">
      <c r="B25">
        <v>30</v>
      </c>
      <c r="C25" s="16">
        <v>1.77614612296968</v>
      </c>
      <c r="D25" s="16">
        <v>0.16531165311652996</v>
      </c>
      <c r="F25" s="40">
        <f t="shared" si="2"/>
        <v>5.4064791380946766E-5</v>
      </c>
      <c r="G25" s="40">
        <f t="shared" si="3"/>
        <v>7.5964444718498357E-6</v>
      </c>
      <c r="I25" s="24"/>
    </row>
    <row r="26" spans="1:9" x14ac:dyDescent="0.2">
      <c r="B26">
        <v>45</v>
      </c>
      <c r="C26" s="16">
        <v>1.8327888610485501</v>
      </c>
      <c r="D26" s="16">
        <v>0.29268292682926988</v>
      </c>
      <c r="F26" s="40">
        <f t="shared" si="2"/>
        <v>5.5257956788951002E-5</v>
      </c>
      <c r="G26" s="40">
        <f t="shared" si="3"/>
        <v>1.2971780692551633E-5</v>
      </c>
      <c r="I26" s="24"/>
    </row>
    <row r="27" spans="1:9" x14ac:dyDescent="0.2">
      <c r="B27">
        <v>60</v>
      </c>
      <c r="C27" s="16">
        <v>1.1495871525685299</v>
      </c>
      <c r="D27" s="16">
        <v>0.28455284552846005</v>
      </c>
      <c r="F27" s="40">
        <f t="shared" si="2"/>
        <v>2.2214415567384091E-5</v>
      </c>
      <c r="G27" s="40">
        <f t="shared" si="3"/>
        <v>6.8878618891105165E-6</v>
      </c>
      <c r="I27" s="24"/>
    </row>
    <row r="28" spans="1:9" x14ac:dyDescent="0.2">
      <c r="B28">
        <v>75</v>
      </c>
      <c r="C28" s="16">
        <v>1.1872597009455099</v>
      </c>
      <c r="D28" s="16">
        <v>0.33061978214060006</v>
      </c>
      <c r="F28" s="40">
        <f t="shared" si="2"/>
        <v>3.0271599425316047E-5</v>
      </c>
      <c r="G28" s="40">
        <f t="shared" si="3"/>
        <v>1.2149644641471824E-5</v>
      </c>
      <c r="I28" s="24"/>
    </row>
    <row r="29" spans="1:9" x14ac:dyDescent="0.2">
      <c r="B29">
        <v>90</v>
      </c>
      <c r="C29" s="16">
        <v>1.0108330602161599</v>
      </c>
      <c r="D29" s="16">
        <v>0.22222222222223009</v>
      </c>
      <c r="F29" s="40">
        <f t="shared" si="2"/>
        <v>2.6901649649691781E-5</v>
      </c>
      <c r="G29" s="40">
        <f t="shared" si="3"/>
        <v>8.7176467966510178E-6</v>
      </c>
      <c r="I29" s="24"/>
    </row>
    <row r="30" spans="1:9" x14ac:dyDescent="0.2">
      <c r="B30">
        <v>105</v>
      </c>
      <c r="C30" s="16">
        <v>0.91571428067986704</v>
      </c>
      <c r="D30" s="16">
        <v>0.26015907753355294</v>
      </c>
      <c r="F30" s="40">
        <f t="shared" si="2"/>
        <v>2.4784441167139348E-5</v>
      </c>
      <c r="G30" s="40">
        <f t="shared" si="3"/>
        <v>1.0318861195138319E-5</v>
      </c>
      <c r="I30" s="24"/>
    </row>
    <row r="31" spans="1:9" x14ac:dyDescent="0.2">
      <c r="B31">
        <v>120</v>
      </c>
      <c r="C31" s="16">
        <v>0.55229929412428103</v>
      </c>
      <c r="D31" s="16">
        <v>0.13279132791328196</v>
      </c>
      <c r="F31" s="40">
        <f t="shared" si="2"/>
        <v>1.5787192319691893E-5</v>
      </c>
      <c r="G31" s="40">
        <f t="shared" si="3"/>
        <v>5.5507861627500916E-6</v>
      </c>
      <c r="I31" s="24"/>
    </row>
    <row r="32" spans="1:9" x14ac:dyDescent="0.2">
      <c r="B32">
        <v>135</v>
      </c>
      <c r="C32" s="16">
        <v>0.61435856231124297</v>
      </c>
      <c r="D32" s="16">
        <v>6.2323575121317032E-2</v>
      </c>
      <c r="F32" s="40">
        <f t="shared" si="2"/>
        <v>2.0097686850537909E-5</v>
      </c>
      <c r="G32" s="40">
        <f t="shared" si="3"/>
        <v>2.677837804488145E-6</v>
      </c>
      <c r="I32" s="24"/>
    </row>
    <row r="33" spans="1:9" x14ac:dyDescent="0.2">
      <c r="B33">
        <v>149.99999999999901</v>
      </c>
      <c r="C33" s="16">
        <v>0.46774574377733502</v>
      </c>
      <c r="D33" s="16">
        <v>7.3167207614859953E-2</v>
      </c>
      <c r="F33" s="40">
        <f t="shared" si="2"/>
        <v>1.3007971723126554E-5</v>
      </c>
      <c r="G33" s="40">
        <f t="shared" si="3"/>
        <v>2.8540327312628851E-6</v>
      </c>
      <c r="I33" s="24"/>
    </row>
    <row r="34" spans="1:9" x14ac:dyDescent="0.2">
      <c r="B34">
        <v>165</v>
      </c>
      <c r="C34" s="16">
        <v>0.37804349434912099</v>
      </c>
      <c r="D34" s="16">
        <v>7.8587261815397991E-2</v>
      </c>
      <c r="F34" s="40">
        <f t="shared" si="2"/>
        <v>1.1775370300377065E-5</v>
      </c>
      <c r="G34" s="40" t="s">
        <v>59</v>
      </c>
    </row>
    <row r="35" spans="1:9" x14ac:dyDescent="0.2">
      <c r="B35">
        <v>180</v>
      </c>
      <c r="C35" s="16">
        <v>0.45636292513770499</v>
      </c>
      <c r="D35" s="10" t="s">
        <v>59</v>
      </c>
      <c r="F35" s="40">
        <f t="shared" si="2"/>
        <v>1.6508020118104829E-5</v>
      </c>
      <c r="G35" s="40" t="s">
        <v>59</v>
      </c>
    </row>
    <row r="36" spans="1:9" ht="17" thickBot="1" x14ac:dyDescent="0.25">
      <c r="A36" s="36"/>
      <c r="B36" s="36"/>
      <c r="C36" s="37"/>
      <c r="D36" s="38"/>
      <c r="E36" s="36"/>
      <c r="F36" s="39"/>
      <c r="G36" s="38"/>
    </row>
    <row r="38" spans="1:9" x14ac:dyDescent="0.2">
      <c r="B38" s="44" t="s">
        <v>88</v>
      </c>
      <c r="C38" s="44"/>
      <c r="D38" s="44"/>
      <c r="F38" s="44" t="s">
        <v>86</v>
      </c>
      <c r="G38" s="44"/>
    </row>
    <row r="39" spans="1:9" ht="51" x14ac:dyDescent="0.2">
      <c r="A39" s="17" t="s">
        <v>48</v>
      </c>
      <c r="B39" s="18" t="s">
        <v>50</v>
      </c>
      <c r="C39" s="19" t="s">
        <v>52</v>
      </c>
      <c r="D39" s="19" t="s">
        <v>51</v>
      </c>
      <c r="E39" s="20"/>
      <c r="F39" s="19" t="s">
        <v>53</v>
      </c>
      <c r="G39" s="19" t="s">
        <v>54</v>
      </c>
    </row>
    <row r="40" spans="1:9" x14ac:dyDescent="0.2">
      <c r="A40" s="14"/>
      <c r="B40" s="4"/>
      <c r="C40" s="15"/>
      <c r="D40" s="13"/>
      <c r="E40" s="2"/>
      <c r="F40" s="2"/>
      <c r="G40" s="2"/>
    </row>
    <row r="41" spans="1:9" x14ac:dyDescent="0.2">
      <c r="A41" t="s">
        <v>49</v>
      </c>
      <c r="B41" s="10">
        <v>0</v>
      </c>
      <c r="C41" s="16">
        <v>0.25908027426485702</v>
      </c>
      <c r="D41" s="16" t="s">
        <v>59</v>
      </c>
      <c r="F41" s="22">
        <f t="shared" ref="F41:F53" si="4">C41*(0.000001)*$K$8*1000/100</f>
        <v>2.5882119399059213E-5</v>
      </c>
      <c r="G41" s="10" t="s">
        <v>59</v>
      </c>
    </row>
    <row r="42" spans="1:9" x14ac:dyDescent="0.2">
      <c r="B42" s="10">
        <v>15</v>
      </c>
      <c r="C42" s="16">
        <v>0.58667837850563598</v>
      </c>
      <c r="D42" s="16">
        <v>5.7536519667933939E-2</v>
      </c>
      <c r="F42" s="22">
        <f t="shared" si="4"/>
        <v>5.8609170012713035E-5</v>
      </c>
      <c r="G42" s="22">
        <f t="shared" ref="G42:G50" si="5">SQRT((D42/C42)^2+($K$9/$K$8)^2)*F42</f>
        <v>6.2771359901470558E-6</v>
      </c>
    </row>
    <row r="43" spans="1:9" x14ac:dyDescent="0.2">
      <c r="B43" s="10">
        <v>30</v>
      </c>
      <c r="C43" s="16">
        <v>0.98924307640351306</v>
      </c>
      <c r="D43" s="16">
        <v>0.11681195516812004</v>
      </c>
      <c r="F43" s="22">
        <f t="shared" si="4"/>
        <v>9.8825383332710941E-5</v>
      </c>
      <c r="G43" s="22">
        <f t="shared" si="5"/>
        <v>1.2420624499766456E-5</v>
      </c>
    </row>
    <row r="44" spans="1:9" x14ac:dyDescent="0.2">
      <c r="B44" s="10">
        <v>45</v>
      </c>
      <c r="C44" s="16">
        <v>0.76067452399005597</v>
      </c>
      <c r="D44" s="16">
        <v>5.9277708592776923E-2</v>
      </c>
      <c r="F44" s="22">
        <f t="shared" si="4"/>
        <v>7.5991384946606598E-5</v>
      </c>
      <c r="G44" s="22">
        <f t="shared" si="5"/>
        <v>6.7651323223062828E-6</v>
      </c>
    </row>
    <row r="45" spans="1:9" x14ac:dyDescent="0.2">
      <c r="B45" s="10">
        <v>60</v>
      </c>
      <c r="C45" s="16">
        <v>0.67158520606396099</v>
      </c>
      <c r="D45" s="16">
        <v>0.12727272727272698</v>
      </c>
      <c r="F45" s="22">
        <f t="shared" si="4"/>
        <v>6.7091362085789708E-5</v>
      </c>
      <c r="G45" s="22">
        <f t="shared" si="5"/>
        <v>1.3038372198836219E-5</v>
      </c>
    </row>
    <row r="46" spans="1:9" x14ac:dyDescent="0.2">
      <c r="B46" s="10">
        <v>75</v>
      </c>
      <c r="C46" s="16">
        <v>0.59295438714988302</v>
      </c>
      <c r="D46" s="16">
        <v>9.5892684051496035E-2</v>
      </c>
      <c r="F46" s="22">
        <f t="shared" si="4"/>
        <v>5.9236143276273312E-5</v>
      </c>
      <c r="G46" s="22">
        <f t="shared" si="5"/>
        <v>9.9131852681602795E-6</v>
      </c>
    </row>
    <row r="47" spans="1:9" x14ac:dyDescent="0.2">
      <c r="B47" s="10">
        <v>90</v>
      </c>
      <c r="C47" s="16">
        <v>0.61370090322957704</v>
      </c>
      <c r="D47" s="16">
        <v>0.102861985936052</v>
      </c>
      <c r="F47" s="22">
        <f t="shared" si="4"/>
        <v>6.1308720232634739E-5</v>
      </c>
      <c r="G47" s="22">
        <f t="shared" si="5"/>
        <v>1.0609346918473608E-5</v>
      </c>
    </row>
    <row r="48" spans="1:9" x14ac:dyDescent="0.2">
      <c r="B48" s="10">
        <v>105</v>
      </c>
      <c r="C48" s="16">
        <v>0.37293038978666998</v>
      </c>
      <c r="D48" s="16">
        <v>7.4971139842279988E-2</v>
      </c>
      <c r="F48" s="22">
        <f t="shared" si="4"/>
        <v>3.7255745939688329E-5</v>
      </c>
      <c r="G48" s="22">
        <f t="shared" si="5"/>
        <v>7.6593665528797433E-6</v>
      </c>
    </row>
    <row r="49" spans="1:7" x14ac:dyDescent="0.2">
      <c r="B49" s="10">
        <v>120</v>
      </c>
      <c r="C49" s="16">
        <v>0.42157229814531799</v>
      </c>
      <c r="D49" s="16" t="s">
        <v>59</v>
      </c>
      <c r="F49" s="22">
        <f t="shared" si="4"/>
        <v>4.2115072584717275E-5</v>
      </c>
      <c r="G49" s="22" t="s">
        <v>59</v>
      </c>
    </row>
    <row r="50" spans="1:7" x14ac:dyDescent="0.2">
      <c r="B50" s="10">
        <v>135</v>
      </c>
      <c r="C50" s="16">
        <v>0.33596990425409201</v>
      </c>
      <c r="D50" s="16">
        <v>0.14313664046656799</v>
      </c>
      <c r="F50" s="22">
        <f t="shared" si="4"/>
        <v>3.3563393434983787E-5</v>
      </c>
      <c r="G50" s="22">
        <f t="shared" si="5"/>
        <v>1.4372143002118037E-5</v>
      </c>
    </row>
    <row r="51" spans="1:7" x14ac:dyDescent="0.2">
      <c r="B51" s="10">
        <v>150</v>
      </c>
      <c r="C51" s="16">
        <v>0.28523220452637599</v>
      </c>
      <c r="D51" s="16" t="s">
        <v>59</v>
      </c>
      <c r="F51" s="22">
        <f t="shared" si="4"/>
        <v>2.8494697232184963E-5</v>
      </c>
      <c r="G51" s="22" t="s">
        <v>59</v>
      </c>
    </row>
    <row r="52" spans="1:7" x14ac:dyDescent="0.2">
      <c r="B52" s="10">
        <v>165</v>
      </c>
      <c r="C52" s="16">
        <v>0.39838448062269699</v>
      </c>
      <c r="D52" s="16" t="s">
        <v>59</v>
      </c>
      <c r="F52" s="22">
        <f t="shared" si="4"/>
        <v>3.9798609614207422E-5</v>
      </c>
      <c r="G52" s="22" t="s">
        <v>59</v>
      </c>
    </row>
    <row r="53" spans="1:7" x14ac:dyDescent="0.2">
      <c r="B53" s="10">
        <v>180</v>
      </c>
      <c r="C53" s="16">
        <v>0.37728563519136898</v>
      </c>
      <c r="D53" s="16" t="s">
        <v>59</v>
      </c>
      <c r="F53" s="22">
        <f t="shared" si="4"/>
        <v>3.7690834955617761E-5</v>
      </c>
      <c r="G53" s="22" t="s">
        <v>59</v>
      </c>
    </row>
    <row r="55" spans="1:7" x14ac:dyDescent="0.2">
      <c r="B55" s="44" t="s">
        <v>88</v>
      </c>
      <c r="C55" s="44"/>
      <c r="D55" s="44"/>
      <c r="F55" s="44" t="s">
        <v>84</v>
      </c>
      <c r="G55" s="44"/>
    </row>
    <row r="56" spans="1:7" ht="51" x14ac:dyDescent="0.2">
      <c r="A56" s="17" t="s">
        <v>48</v>
      </c>
      <c r="B56" s="18" t="s">
        <v>50</v>
      </c>
      <c r="C56" s="19" t="s">
        <v>52</v>
      </c>
      <c r="D56" s="19" t="s">
        <v>51</v>
      </c>
      <c r="E56" s="20"/>
      <c r="F56" s="19" t="s">
        <v>53</v>
      </c>
      <c r="G56" s="19" t="s">
        <v>54</v>
      </c>
    </row>
    <row r="57" spans="1:7" x14ac:dyDescent="0.2">
      <c r="A57" t="s">
        <v>85</v>
      </c>
      <c r="B57" s="10">
        <v>0</v>
      </c>
      <c r="C57" s="16">
        <v>0.44934640522875702</v>
      </c>
      <c r="D57" s="16">
        <v>5.7189542483659039E-2</v>
      </c>
      <c r="F57" s="22">
        <f>(C57-C41)*(0.000001)*$K$8*1000/100</f>
        <v>1.9007586483293607E-5</v>
      </c>
      <c r="G57" s="22" t="s">
        <v>59</v>
      </c>
    </row>
    <row r="58" spans="1:7" x14ac:dyDescent="0.2">
      <c r="B58" s="10">
        <v>15</v>
      </c>
      <c r="C58" s="16">
        <v>0.87145969498910802</v>
      </c>
      <c r="D58" s="16">
        <v>0.10348583877995698</v>
      </c>
      <c r="F58" s="22">
        <f t="shared" ref="F58:F69" si="6">(C58-C42)*(0.000001)*$K$8*1000/100</f>
        <v>2.8449653516698861E-5</v>
      </c>
      <c r="G58" s="22">
        <f t="shared" ref="G58:G66" si="7">SQRT((D42/C42)^2+(D58/C58)^2+($K$9/$K$8)^2)*F58</f>
        <v>4.5494826119261602E-6</v>
      </c>
    </row>
    <row r="59" spans="1:7" x14ac:dyDescent="0.2">
      <c r="B59" s="10">
        <v>30</v>
      </c>
      <c r="C59" s="16">
        <v>1.4515250544662299</v>
      </c>
      <c r="D59" s="16">
        <v>0.20424836601307983</v>
      </c>
      <c r="F59" s="22">
        <f t="shared" si="6"/>
        <v>4.6181969608465421E-5</v>
      </c>
      <c r="G59" s="22">
        <f t="shared" si="7"/>
        <v>8.7131354697470003E-6</v>
      </c>
    </row>
    <row r="60" spans="1:7" x14ac:dyDescent="0.2">
      <c r="B60" s="10">
        <v>45</v>
      </c>
      <c r="C60" s="16">
        <v>1.0947712418300599</v>
      </c>
      <c r="D60" s="16">
        <v>0.10893246187363292</v>
      </c>
      <c r="F60" s="22">
        <f t="shared" si="6"/>
        <v>3.3376262112216392E-5</v>
      </c>
      <c r="G60" s="22">
        <f t="shared" si="7"/>
        <v>4.4562239787356822E-6</v>
      </c>
    </row>
    <row r="61" spans="1:7" x14ac:dyDescent="0.2">
      <c r="B61" s="10">
        <v>60</v>
      </c>
      <c r="C61" s="16">
        <v>0.98583877995642699</v>
      </c>
      <c r="D61" s="16">
        <v>5.4466230936820015E-2</v>
      </c>
      <c r="F61" s="22">
        <f t="shared" si="6"/>
        <v>3.1393932031857348E-5</v>
      </c>
      <c r="G61" s="22">
        <f t="shared" si="7"/>
        <v>6.3427786686243918E-6</v>
      </c>
    </row>
    <row r="62" spans="1:7" x14ac:dyDescent="0.2">
      <c r="B62" s="10">
        <v>75</v>
      </c>
      <c r="C62" s="16">
        <v>0.82788671023965099</v>
      </c>
      <c r="D62" s="16">
        <v>0.13071895424836699</v>
      </c>
      <c r="F62" s="22">
        <f t="shared" si="6"/>
        <v>2.3469739076667822E-5</v>
      </c>
      <c r="G62" s="22">
        <f t="shared" si="7"/>
        <v>5.399920541810284E-6</v>
      </c>
    </row>
    <row r="63" spans="1:7" x14ac:dyDescent="0.2">
      <c r="B63" s="10">
        <v>90</v>
      </c>
      <c r="C63" s="16">
        <v>0.86601307189542498</v>
      </c>
      <c r="D63" s="16">
        <v>0.15250544662309296</v>
      </c>
      <c r="F63" s="22">
        <f t="shared" si="6"/>
        <v>2.5205985649718209E-5</v>
      </c>
      <c r="G63" s="22">
        <f t="shared" si="7"/>
        <v>6.2232254658295319E-6</v>
      </c>
    </row>
    <row r="64" spans="1:7" x14ac:dyDescent="0.2">
      <c r="B64" s="10">
        <v>105</v>
      </c>
      <c r="C64" s="16">
        <v>0.53376906318082895</v>
      </c>
      <c r="D64" s="16">
        <v>5.4466230936817961E-2</v>
      </c>
      <c r="F64" s="22">
        <f t="shared" si="6"/>
        <v>1.6067783472076478E-5</v>
      </c>
      <c r="G64" s="22">
        <f t="shared" si="7"/>
        <v>3.6878664455753349E-6</v>
      </c>
    </row>
    <row r="65" spans="2:7" x14ac:dyDescent="0.2">
      <c r="B65" s="10">
        <v>120</v>
      </c>
      <c r="C65" s="16">
        <v>0.61274509803921795</v>
      </c>
      <c r="D65" s="16" t="s">
        <v>59</v>
      </c>
      <c r="F65" s="22">
        <f t="shared" si="6"/>
        <v>1.9098162709400602E-5</v>
      </c>
      <c r="G65" s="22" t="s">
        <v>59</v>
      </c>
    </row>
    <row r="66" spans="2:7" x14ac:dyDescent="0.2">
      <c r="B66" s="10">
        <v>135</v>
      </c>
      <c r="C66" s="16">
        <v>0.53921568627451</v>
      </c>
      <c r="D66" s="16">
        <v>4.6296296296295003E-2</v>
      </c>
      <c r="F66" s="22">
        <f t="shared" si="6"/>
        <v>2.0304253623839755E-5</v>
      </c>
      <c r="G66" s="22">
        <f t="shared" si="7"/>
        <v>8.8675102979524265E-6</v>
      </c>
    </row>
    <row r="67" spans="2:7" x14ac:dyDescent="0.2">
      <c r="B67" s="10">
        <v>149.99999999999901</v>
      </c>
      <c r="C67" s="16">
        <v>0.49836601307189698</v>
      </c>
      <c r="D67" s="16">
        <v>0.49836601307189698</v>
      </c>
      <c r="F67" s="22">
        <f t="shared" si="6"/>
        <v>2.129206747369755E-5</v>
      </c>
      <c r="G67" s="22" t="s">
        <v>59</v>
      </c>
    </row>
    <row r="68" spans="2:7" x14ac:dyDescent="0.2">
      <c r="B68" s="10">
        <v>165</v>
      </c>
      <c r="C68" s="16">
        <v>0.62363834422658004</v>
      </c>
      <c r="D68" s="16">
        <v>0.16067538126361702</v>
      </c>
      <c r="F68" s="22">
        <f t="shared" si="6"/>
        <v>2.2502860974027918E-5</v>
      </c>
      <c r="G68" s="22" t="s">
        <v>59</v>
      </c>
    </row>
    <row r="69" spans="2:7" x14ac:dyDescent="0.2">
      <c r="B69" s="10">
        <v>180</v>
      </c>
      <c r="C69" s="16">
        <v>0.58823529411764697</v>
      </c>
      <c r="D69" s="16" t="s">
        <v>59</v>
      </c>
      <c r="F69" s="22">
        <f t="shared" si="6"/>
        <v>2.1073870926735169E-5</v>
      </c>
      <c r="G69" s="22" t="s">
        <v>59</v>
      </c>
    </row>
  </sheetData>
  <mergeCells count="9">
    <mergeCell ref="B38:D38"/>
    <mergeCell ref="F38:G38"/>
    <mergeCell ref="B55:D55"/>
    <mergeCell ref="F55:G55"/>
    <mergeCell ref="A2:M2"/>
    <mergeCell ref="B4:D4"/>
    <mergeCell ref="F4:G4"/>
    <mergeCell ref="B21:D21"/>
    <mergeCell ref="F21:G2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564DF-6024-4040-AA47-15E9324B24CC}">
  <dimension ref="A1:P11"/>
  <sheetViews>
    <sheetView zoomScale="130" zoomScaleNormal="130" workbookViewId="0">
      <selection activeCell="N7" sqref="N7:P7"/>
    </sheetView>
  </sheetViews>
  <sheetFormatPr baseColWidth="10" defaultRowHeight="16" x14ac:dyDescent="0.2"/>
  <cols>
    <col min="2" max="2" width="17.6640625" bestFit="1" customWidth="1"/>
    <col min="3" max="3" width="16.5" customWidth="1"/>
    <col min="4" max="4" width="2.83203125" customWidth="1"/>
    <col min="5" max="5" width="12.6640625" bestFit="1" customWidth="1"/>
    <col min="9" max="9" width="15.6640625" customWidth="1"/>
  </cols>
  <sheetData>
    <row r="1" spans="1:16" x14ac:dyDescent="0.2">
      <c r="A1" s="1" t="s">
        <v>151</v>
      </c>
    </row>
    <row r="2" spans="1:16" ht="33" customHeight="1" x14ac:dyDescent="0.2">
      <c r="A2" s="45" t="s">
        <v>156</v>
      </c>
      <c r="B2" s="45"/>
      <c r="C2" s="45"/>
      <c r="D2" s="45"/>
      <c r="E2" s="45"/>
      <c r="F2" s="45"/>
      <c r="G2" s="45"/>
      <c r="H2" s="45"/>
      <c r="I2" s="45"/>
      <c r="J2" s="45"/>
      <c r="K2" s="45"/>
      <c r="L2" s="45"/>
    </row>
    <row r="3" spans="1:16" ht="16" customHeight="1" x14ac:dyDescent="0.2"/>
    <row r="4" spans="1:16" x14ac:dyDescent="0.2">
      <c r="B4" s="44"/>
      <c r="C4" s="44"/>
      <c r="E4" s="44" t="s">
        <v>86</v>
      </c>
      <c r="F4" s="44"/>
    </row>
    <row r="5" spans="1:16" s="20" customFormat="1" ht="32" customHeight="1" x14ac:dyDescent="0.2">
      <c r="A5" s="17" t="s">
        <v>48</v>
      </c>
      <c r="B5" s="19" t="s">
        <v>98</v>
      </c>
      <c r="C5" s="19" t="s">
        <v>152</v>
      </c>
      <c r="E5" s="19" t="s">
        <v>53</v>
      </c>
      <c r="F5" s="19" t="s">
        <v>54</v>
      </c>
    </row>
    <row r="6" spans="1:16" s="2" customFormat="1" ht="7" customHeight="1" x14ac:dyDescent="0.2">
      <c r="A6" s="14"/>
      <c r="B6" s="15"/>
      <c r="C6" s="13"/>
    </row>
    <row r="7" spans="1:16" x14ac:dyDescent="0.2">
      <c r="A7" t="s">
        <v>49</v>
      </c>
      <c r="B7" s="43">
        <v>208</v>
      </c>
      <c r="C7" s="43">
        <v>35</v>
      </c>
      <c r="E7" s="40">
        <f>B7*(0.000000001)*$J$7*1000/100</f>
        <v>2.0779199999999999E-5</v>
      </c>
      <c r="F7" s="40">
        <f>SQRT((C7/B7)^2+($J$8/$J$7)^2)*E7</f>
        <v>3.6090807153622933E-6</v>
      </c>
      <c r="I7" t="s">
        <v>57</v>
      </c>
      <c r="J7">
        <v>9.99</v>
      </c>
      <c r="K7" t="s">
        <v>41</v>
      </c>
      <c r="N7" s="53"/>
      <c r="O7" s="49"/>
      <c r="P7" s="49"/>
    </row>
    <row r="8" spans="1:16" x14ac:dyDescent="0.2">
      <c r="A8" t="s">
        <v>153</v>
      </c>
      <c r="B8" s="43">
        <v>200</v>
      </c>
      <c r="C8" s="43">
        <v>20</v>
      </c>
      <c r="E8" s="40">
        <f>B8*(0.000000001)*$J$7*1000/100</f>
        <v>1.9980000000000002E-5</v>
      </c>
      <c r="F8" s="40">
        <f>SQRT((C8/B8)^2+($J$8/$J$7)^2)*E8</f>
        <v>2.1752250458285927E-6</v>
      </c>
      <c r="G8" s="24"/>
      <c r="I8" t="s">
        <v>58</v>
      </c>
      <c r="J8">
        <v>0.43</v>
      </c>
      <c r="K8" t="s">
        <v>41</v>
      </c>
    </row>
    <row r="9" spans="1:16" x14ac:dyDescent="0.2">
      <c r="A9" t="s">
        <v>154</v>
      </c>
      <c r="B9" s="43">
        <v>232</v>
      </c>
      <c r="C9" s="43">
        <v>41</v>
      </c>
      <c r="E9" s="40">
        <f>B9*(0.000000001)*$J$7*1000/100</f>
        <v>2.3176800000000005E-5</v>
      </c>
      <c r="F9" s="40">
        <f>SQRT((C9/B9)^2+($J$8/$J$7)^2)*E9</f>
        <v>4.2156378603955064E-6</v>
      </c>
      <c r="G9" s="24"/>
    </row>
    <row r="10" spans="1:16" x14ac:dyDescent="0.2">
      <c r="A10" t="s">
        <v>155</v>
      </c>
      <c r="B10" s="43">
        <v>177</v>
      </c>
      <c r="C10" s="43">
        <v>17</v>
      </c>
      <c r="E10" s="40">
        <f>B10*(0.000000001)*$J$7*1000/100</f>
        <v>1.7682299999999998E-5</v>
      </c>
      <c r="F10" s="40">
        <f>SQRT((C10/B10)^2+($J$8/$J$7)^2)*E10</f>
        <v>1.8610470440050674E-6</v>
      </c>
      <c r="G10" s="24"/>
    </row>
    <row r="11" spans="1:16" x14ac:dyDescent="0.2">
      <c r="B11" s="16"/>
      <c r="C11" s="16"/>
      <c r="E11" s="40"/>
      <c r="F11" s="40"/>
      <c r="G11" s="24"/>
    </row>
  </sheetData>
  <mergeCells count="3">
    <mergeCell ref="A2:L2"/>
    <mergeCell ref="B4:C4"/>
    <mergeCell ref="E4:F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695F-560A-CD4B-9F03-660C36C5B3E9}">
  <dimension ref="A1:M32"/>
  <sheetViews>
    <sheetView topLeftCell="A6" zoomScale="135" workbookViewId="0">
      <selection activeCell="C32" sqref="C32"/>
    </sheetView>
  </sheetViews>
  <sheetFormatPr baseColWidth="10" defaultRowHeight="16" x14ac:dyDescent="0.2"/>
  <cols>
    <col min="1" max="1" width="21.6640625" customWidth="1"/>
  </cols>
  <sheetData>
    <row r="1" spans="1:13" x14ac:dyDescent="0.2">
      <c r="A1" s="1" t="s">
        <v>77</v>
      </c>
    </row>
    <row r="2" spans="1:13" ht="49" customHeight="1" x14ac:dyDescent="0.2">
      <c r="A2" s="45" t="s">
        <v>90</v>
      </c>
      <c r="B2" s="45"/>
      <c r="C2" s="45"/>
      <c r="D2" s="45"/>
      <c r="E2" s="45"/>
      <c r="F2" s="45"/>
      <c r="G2" s="45"/>
      <c r="H2" s="45"/>
      <c r="I2" s="45"/>
      <c r="J2" s="45"/>
      <c r="K2" s="45"/>
      <c r="L2" s="45"/>
      <c r="M2" s="45"/>
    </row>
    <row r="4" spans="1:13" x14ac:dyDescent="0.2">
      <c r="A4" s="11" t="s">
        <v>60</v>
      </c>
    </row>
    <row r="5" spans="1:13" x14ac:dyDescent="0.2">
      <c r="A5" s="11"/>
      <c r="B5" s="9" t="s">
        <v>80</v>
      </c>
      <c r="C5" s="9" t="s">
        <v>81</v>
      </c>
    </row>
    <row r="6" spans="1:13" x14ac:dyDescent="0.2">
      <c r="A6" t="s">
        <v>61</v>
      </c>
      <c r="B6" s="29" t="s">
        <v>62</v>
      </c>
    </row>
    <row r="7" spans="1:13" x14ac:dyDescent="0.2">
      <c r="A7" t="s">
        <v>63</v>
      </c>
      <c r="B7">
        <v>72.099999999999994</v>
      </c>
      <c r="C7" s="24">
        <f>15.1/SQRT(83)</f>
        <v>1.6574403258443242</v>
      </c>
      <c r="D7" t="s">
        <v>64</v>
      </c>
    </row>
    <row r="8" spans="1:13" x14ac:dyDescent="0.2">
      <c r="A8" t="s">
        <v>65</v>
      </c>
      <c r="B8">
        <v>40</v>
      </c>
      <c r="D8" t="s">
        <v>66</v>
      </c>
    </row>
    <row r="9" spans="1:13" x14ac:dyDescent="0.2">
      <c r="A9" t="s">
        <v>67</v>
      </c>
      <c r="B9">
        <v>20</v>
      </c>
      <c r="D9" t="s">
        <v>68</v>
      </c>
    </row>
    <row r="10" spans="1:13" x14ac:dyDescent="0.2">
      <c r="A10" t="s">
        <v>69</v>
      </c>
      <c r="B10">
        <v>8</v>
      </c>
      <c r="D10" t="s">
        <v>70</v>
      </c>
    </row>
    <row r="12" spans="1:13" x14ac:dyDescent="0.2">
      <c r="A12" s="11" t="s">
        <v>91</v>
      </c>
    </row>
    <row r="13" spans="1:13" x14ac:dyDescent="0.2">
      <c r="A13" s="11"/>
      <c r="B13" s="9" t="s">
        <v>80</v>
      </c>
      <c r="C13" s="9" t="s">
        <v>81</v>
      </c>
    </row>
    <row r="14" spans="1:13" x14ac:dyDescent="0.2">
      <c r="A14" t="s">
        <v>71</v>
      </c>
      <c r="B14">
        <v>0.05</v>
      </c>
      <c r="C14" s="23">
        <v>8.5316863976655985E-3</v>
      </c>
      <c r="D14" t="s">
        <v>72</v>
      </c>
    </row>
    <row r="15" spans="1:13" x14ac:dyDescent="0.2">
      <c r="A15" t="s">
        <v>73</v>
      </c>
      <c r="B15">
        <v>7.5999999999999998E-2</v>
      </c>
      <c r="C15" s="23">
        <v>8.1652234646653211E-3</v>
      </c>
      <c r="D15" t="s">
        <v>72</v>
      </c>
    </row>
    <row r="16" spans="1:13" x14ac:dyDescent="0.2">
      <c r="A16" t="s">
        <v>74</v>
      </c>
      <c r="B16">
        <v>3</v>
      </c>
      <c r="D16" t="s">
        <v>75</v>
      </c>
    </row>
    <row r="17" spans="1:10" ht="17" thickBot="1" x14ac:dyDescent="0.25"/>
    <row r="18" spans="1:10" ht="34" customHeight="1" x14ac:dyDescent="0.2">
      <c r="A18" s="32" t="s">
        <v>78</v>
      </c>
      <c r="B18" s="34">
        <f>$B$7*$B$8/100*$B$9/100*$B$10/100</f>
        <v>0.46143999999999996</v>
      </c>
      <c r="C18" s="34">
        <f>SQRT((C7/B7)^2)*B18</f>
        <v>1.0607618085403675E-2</v>
      </c>
      <c r="D18" s="26" t="s">
        <v>64</v>
      </c>
      <c r="J18" s="29"/>
    </row>
    <row r="19" spans="1:10" ht="51" x14ac:dyDescent="0.2">
      <c r="A19" s="28" t="s">
        <v>79</v>
      </c>
      <c r="B19" s="7">
        <f>(B15-B14)/100*B16*B18</f>
        <v>3.5992319999999991E-4</v>
      </c>
      <c r="C19" s="7">
        <f>SQRT((C18/B18)^2+(C14/B14)^2+(C15/B15)^2)*B19</f>
        <v>7.3044958894080065E-5</v>
      </c>
      <c r="D19" s="27" t="s">
        <v>64</v>
      </c>
    </row>
    <row r="20" spans="1:10" ht="17" thickBot="1" x14ac:dyDescent="0.25">
      <c r="A20" s="30"/>
      <c r="B20" s="31">
        <f>B19*1000</f>
        <v>0.35992319999999989</v>
      </c>
      <c r="C20" s="31">
        <f>C19*1000</f>
        <v>7.3044958894080067E-2</v>
      </c>
      <c r="D20" s="33" t="s">
        <v>76</v>
      </c>
    </row>
    <row r="22" spans="1:10" x14ac:dyDescent="0.2">
      <c r="A22" s="11" t="s">
        <v>92</v>
      </c>
    </row>
    <row r="23" spans="1:10" x14ac:dyDescent="0.2">
      <c r="A23" s="11"/>
      <c r="B23" s="9" t="s">
        <v>80</v>
      </c>
      <c r="C23" s="9" t="s">
        <v>81</v>
      </c>
    </row>
    <row r="24" spans="1:10" x14ac:dyDescent="0.2">
      <c r="A24" t="s">
        <v>71</v>
      </c>
      <c r="B24">
        <v>5.2999999999999999E-2</v>
      </c>
      <c r="C24" s="23">
        <v>6.9508199999999999E-3</v>
      </c>
      <c r="D24" t="s">
        <v>72</v>
      </c>
    </row>
    <row r="25" spans="1:10" x14ac:dyDescent="0.2">
      <c r="A25" t="s">
        <v>73</v>
      </c>
      <c r="B25">
        <v>6.0999999999999999E-2</v>
      </c>
      <c r="C25" s="23">
        <v>7.8109169999999997E-3</v>
      </c>
      <c r="D25" t="s">
        <v>72</v>
      </c>
    </row>
    <row r="26" spans="1:10" x14ac:dyDescent="0.2">
      <c r="A26" t="s">
        <v>74</v>
      </c>
      <c r="B26">
        <v>3</v>
      </c>
      <c r="D26" t="s">
        <v>75</v>
      </c>
    </row>
    <row r="27" spans="1:10" ht="17" thickBot="1" x14ac:dyDescent="0.25"/>
    <row r="28" spans="1:10" ht="34" x14ac:dyDescent="0.2">
      <c r="A28" s="32" t="s">
        <v>78</v>
      </c>
      <c r="B28" s="34">
        <f>$B$7*$B$8/100*$B$9/100*$B$10/100</f>
        <v>0.46143999999999996</v>
      </c>
      <c r="C28" s="34">
        <f>SQRT((C7/B7)^2)*B28</f>
        <v>1.0607618085403675E-2</v>
      </c>
      <c r="D28" s="26" t="s">
        <v>64</v>
      </c>
    </row>
    <row r="29" spans="1:10" ht="51" x14ac:dyDescent="0.2">
      <c r="A29" s="28" t="s">
        <v>79</v>
      </c>
      <c r="B29" s="7">
        <f>(B25-B24)/100*B26*B28</f>
        <v>1.1074560000000001E-4</v>
      </c>
      <c r="C29" s="7">
        <f>SQRT((C28/B28)^2+(C24/B24)^2+(C25/B25)^2)*B29</f>
        <v>2.0457795491906973E-5</v>
      </c>
      <c r="D29" s="27" t="s">
        <v>64</v>
      </c>
    </row>
    <row r="30" spans="1:10" ht="17" thickBot="1" x14ac:dyDescent="0.25">
      <c r="A30" s="30"/>
      <c r="B30" s="31">
        <f>B29*1000</f>
        <v>0.11074560000000001</v>
      </c>
      <c r="C30" s="31">
        <f>C29*1000</f>
        <v>2.0457795491906974E-2</v>
      </c>
      <c r="D30" s="33" t="s">
        <v>76</v>
      </c>
    </row>
    <row r="32" spans="1:10" x14ac:dyDescent="0.2">
      <c r="C32" s="25"/>
    </row>
  </sheetData>
  <mergeCells count="1">
    <mergeCell ref="A2:M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D1E46-AAAE-8543-904C-DAEBDBCC203D}">
  <dimension ref="A1:M32"/>
  <sheetViews>
    <sheetView topLeftCell="A3" zoomScale="125" workbookViewId="0">
      <selection activeCell="C32" sqref="C32"/>
    </sheetView>
  </sheetViews>
  <sheetFormatPr baseColWidth="10" defaultRowHeight="16" x14ac:dyDescent="0.2"/>
  <cols>
    <col min="1" max="1" width="21.6640625" customWidth="1"/>
  </cols>
  <sheetData>
    <row r="1" spans="1:13" x14ac:dyDescent="0.2">
      <c r="A1" s="1" t="s">
        <v>93</v>
      </c>
    </row>
    <row r="2" spans="1:13" ht="49" customHeight="1" x14ac:dyDescent="0.2">
      <c r="A2" s="45" t="s">
        <v>94</v>
      </c>
      <c r="B2" s="45"/>
      <c r="C2" s="45"/>
      <c r="D2" s="45"/>
      <c r="E2" s="45"/>
      <c r="F2" s="45"/>
      <c r="G2" s="45"/>
      <c r="H2" s="45"/>
      <c r="I2" s="45"/>
      <c r="J2" s="45"/>
      <c r="K2" s="45"/>
      <c r="L2" s="45"/>
      <c r="M2" s="45"/>
    </row>
    <row r="4" spans="1:13" x14ac:dyDescent="0.2">
      <c r="A4" s="11" t="s">
        <v>60</v>
      </c>
    </row>
    <row r="5" spans="1:13" x14ac:dyDescent="0.2">
      <c r="A5" s="11"/>
      <c r="B5" s="9" t="s">
        <v>80</v>
      </c>
      <c r="C5" s="9" t="s">
        <v>81</v>
      </c>
    </row>
    <row r="6" spans="1:13" x14ac:dyDescent="0.2">
      <c r="A6" t="s">
        <v>61</v>
      </c>
      <c r="B6" s="29" t="s">
        <v>62</v>
      </c>
    </row>
    <row r="7" spans="1:13" x14ac:dyDescent="0.2">
      <c r="A7" t="s">
        <v>63</v>
      </c>
      <c r="B7">
        <v>72.099999999999994</v>
      </c>
      <c r="C7" s="24">
        <f>15.1/SQRT(83)</f>
        <v>1.6574403258443242</v>
      </c>
      <c r="D7" t="s">
        <v>64</v>
      </c>
    </row>
    <row r="8" spans="1:13" x14ac:dyDescent="0.2">
      <c r="A8" t="s">
        <v>65</v>
      </c>
      <c r="B8">
        <v>40</v>
      </c>
      <c r="D8" t="s">
        <v>66</v>
      </c>
    </row>
    <row r="9" spans="1:13" x14ac:dyDescent="0.2">
      <c r="A9" t="s">
        <v>67</v>
      </c>
      <c r="B9">
        <v>20</v>
      </c>
      <c r="D9" t="s">
        <v>68</v>
      </c>
    </row>
    <row r="10" spans="1:13" x14ac:dyDescent="0.2">
      <c r="A10" t="s">
        <v>69</v>
      </c>
      <c r="B10">
        <v>8</v>
      </c>
      <c r="D10" t="s">
        <v>70</v>
      </c>
    </row>
    <row r="12" spans="1:13" x14ac:dyDescent="0.2">
      <c r="A12" s="11" t="s">
        <v>150</v>
      </c>
    </row>
    <row r="13" spans="1:13" x14ac:dyDescent="0.2">
      <c r="A13" s="11"/>
      <c r="B13" s="9" t="s">
        <v>80</v>
      </c>
      <c r="C13" s="9" t="s">
        <v>81</v>
      </c>
    </row>
    <row r="14" spans="1:13" x14ac:dyDescent="0.2">
      <c r="A14" t="s">
        <v>71</v>
      </c>
      <c r="B14">
        <v>5.3999999999999999E-2</v>
      </c>
      <c r="C14">
        <v>5.0000000000000001E-3</v>
      </c>
      <c r="D14" t="s">
        <v>72</v>
      </c>
    </row>
    <row r="15" spans="1:13" x14ac:dyDescent="0.2">
      <c r="A15" t="s">
        <v>82</v>
      </c>
      <c r="B15">
        <v>2.5000000000000001E-2</v>
      </c>
      <c r="C15" s="23">
        <v>6.0000000000000001E-3</v>
      </c>
      <c r="D15" t="s">
        <v>72</v>
      </c>
    </row>
    <row r="16" spans="1:13" x14ac:dyDescent="0.2">
      <c r="A16" s="35" t="s">
        <v>74</v>
      </c>
      <c r="B16">
        <v>4</v>
      </c>
      <c r="D16" t="s">
        <v>75</v>
      </c>
    </row>
    <row r="17" spans="1:10" ht="17" thickBot="1" x14ac:dyDescent="0.25"/>
    <row r="18" spans="1:10" ht="34" customHeight="1" x14ac:dyDescent="0.2">
      <c r="A18" s="32" t="s">
        <v>78</v>
      </c>
      <c r="B18" s="34">
        <f>$B$7*$B$8/100*$B$9/100*$B$10/100</f>
        <v>0.46143999999999996</v>
      </c>
      <c r="C18" s="34">
        <f>SQRT((C7/B7)^2)*B18</f>
        <v>1.0607618085403675E-2</v>
      </c>
      <c r="D18" s="26" t="s">
        <v>64</v>
      </c>
      <c r="J18" s="29"/>
    </row>
    <row r="19" spans="1:10" ht="51" x14ac:dyDescent="0.2">
      <c r="A19" s="28" t="s">
        <v>79</v>
      </c>
      <c r="B19" s="7">
        <f>(B15)/100*B16*B18</f>
        <v>4.6143999999999997E-4</v>
      </c>
      <c r="C19" s="7">
        <f>SQRT((C18/B18)^2+(C15/B15)^2)*B19</f>
        <v>1.1125245831353922E-4</v>
      </c>
      <c r="D19" s="27" t="s">
        <v>64</v>
      </c>
    </row>
    <row r="20" spans="1:10" ht="17" thickBot="1" x14ac:dyDescent="0.25">
      <c r="A20" s="30"/>
      <c r="B20" s="31">
        <f>B19*1000</f>
        <v>0.46143999999999996</v>
      </c>
      <c r="C20" s="31">
        <f>C19*1000</f>
        <v>0.11125245831353922</v>
      </c>
      <c r="D20" s="33" t="s">
        <v>76</v>
      </c>
    </row>
    <row r="22" spans="1:10" x14ac:dyDescent="0.2">
      <c r="A22" s="11" t="s">
        <v>95</v>
      </c>
    </row>
    <row r="23" spans="1:10" x14ac:dyDescent="0.2">
      <c r="A23" s="11"/>
      <c r="B23" s="9" t="s">
        <v>80</v>
      </c>
      <c r="C23" s="9" t="s">
        <v>81</v>
      </c>
    </row>
    <row r="24" spans="1:10" x14ac:dyDescent="0.2">
      <c r="A24" t="s">
        <v>71</v>
      </c>
      <c r="B24">
        <v>6.6000000000000003E-2</v>
      </c>
      <c r="C24">
        <v>5.0000000000000001E-3</v>
      </c>
      <c r="D24" t="s">
        <v>72</v>
      </c>
    </row>
    <row r="25" spans="1:10" x14ac:dyDescent="0.2">
      <c r="A25" t="s">
        <v>82</v>
      </c>
      <c r="B25">
        <v>2.8000000000000001E-2</v>
      </c>
      <c r="C25" s="23">
        <v>1.2E-2</v>
      </c>
      <c r="D25" t="s">
        <v>72</v>
      </c>
    </row>
    <row r="26" spans="1:10" x14ac:dyDescent="0.2">
      <c r="A26" s="35" t="s">
        <v>74</v>
      </c>
      <c r="B26">
        <v>4</v>
      </c>
      <c r="D26" t="s">
        <v>75</v>
      </c>
    </row>
    <row r="27" spans="1:10" ht="17" thickBot="1" x14ac:dyDescent="0.25"/>
    <row r="28" spans="1:10" ht="34" x14ac:dyDescent="0.2">
      <c r="A28" s="32" t="s">
        <v>78</v>
      </c>
      <c r="B28" s="34">
        <f>$B$7*$B$8/100*$B$9/100*$B$10/100</f>
        <v>0.46143999999999996</v>
      </c>
      <c r="C28" s="34">
        <f>SQRT((C7/B7)^2)*B28</f>
        <v>1.0607618085403675E-2</v>
      </c>
      <c r="D28" s="26" t="s">
        <v>64</v>
      </c>
    </row>
    <row r="29" spans="1:10" ht="51" x14ac:dyDescent="0.2">
      <c r="A29" s="28" t="s">
        <v>79</v>
      </c>
      <c r="B29" s="7">
        <f>(B25)/100*B26*B28</f>
        <v>5.1681280000000001E-4</v>
      </c>
      <c r="C29" s="7">
        <f>SQRT((C28/B28)^2+(C25/B25)^2)*B29</f>
        <v>2.2180960016220574E-4</v>
      </c>
      <c r="D29" s="27" t="s">
        <v>64</v>
      </c>
    </row>
    <row r="30" spans="1:10" ht="17" thickBot="1" x14ac:dyDescent="0.25">
      <c r="A30" s="30"/>
      <c r="B30" s="31">
        <f>B29*1000</f>
        <v>0.51681279999999996</v>
      </c>
      <c r="C30" s="31">
        <f>C29*1000</f>
        <v>0.22180960016220574</v>
      </c>
      <c r="D30" s="33" t="s">
        <v>76</v>
      </c>
    </row>
    <row r="32" spans="1:10" x14ac:dyDescent="0.2">
      <c r="C32" s="49"/>
    </row>
  </sheetData>
  <mergeCells count="1">
    <mergeCell ref="A2:M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14C69-B409-6A44-8E91-6D838C5D1D63}">
  <dimension ref="A1:Q22"/>
  <sheetViews>
    <sheetView zoomScale="138" workbookViewId="0">
      <selection activeCell="O7" sqref="O7:Q7"/>
    </sheetView>
  </sheetViews>
  <sheetFormatPr baseColWidth="10" defaultRowHeight="16" x14ac:dyDescent="0.2"/>
  <cols>
    <col min="1" max="1" width="21.6640625" customWidth="1"/>
    <col min="5" max="5" width="2.83203125" customWidth="1"/>
    <col min="10" max="10" width="16.33203125" customWidth="1"/>
  </cols>
  <sheetData>
    <row r="1" spans="1:17" x14ac:dyDescent="0.2">
      <c r="A1" s="1" t="s">
        <v>104</v>
      </c>
    </row>
    <row r="2" spans="1:17" ht="34" customHeight="1" x14ac:dyDescent="0.2">
      <c r="A2" s="45" t="s">
        <v>103</v>
      </c>
      <c r="B2" s="45"/>
      <c r="C2" s="45"/>
      <c r="D2" s="45"/>
      <c r="E2" s="45"/>
      <c r="F2" s="45"/>
      <c r="G2" s="45"/>
      <c r="H2" s="45"/>
      <c r="I2" s="45"/>
      <c r="J2" s="45"/>
      <c r="K2" s="45"/>
      <c r="L2" s="45"/>
      <c r="M2" s="45"/>
    </row>
    <row r="4" spans="1:17" x14ac:dyDescent="0.2">
      <c r="B4" s="44" t="s">
        <v>96</v>
      </c>
      <c r="C4" s="44"/>
      <c r="D4" s="44"/>
      <c r="F4" s="44" t="s">
        <v>97</v>
      </c>
      <c r="G4" s="44"/>
    </row>
    <row r="5" spans="1:17" ht="51" x14ac:dyDescent="0.2">
      <c r="A5" s="17" t="s">
        <v>48</v>
      </c>
      <c r="B5" s="18" t="s">
        <v>50</v>
      </c>
      <c r="C5" s="19" t="s">
        <v>52</v>
      </c>
      <c r="D5" s="19" t="s">
        <v>51</v>
      </c>
      <c r="E5" s="20"/>
      <c r="F5" s="19" t="s">
        <v>53</v>
      </c>
      <c r="G5" s="19" t="s">
        <v>54</v>
      </c>
      <c r="H5" s="20"/>
      <c r="I5" s="20"/>
      <c r="J5" s="20"/>
      <c r="K5" s="20"/>
      <c r="L5" s="20"/>
      <c r="M5" s="20"/>
      <c r="N5" s="20"/>
      <c r="O5" s="20"/>
      <c r="P5" s="20"/>
      <c r="Q5" s="20"/>
    </row>
    <row r="6" spans="1:17" ht="7" customHeight="1" x14ac:dyDescent="0.2">
      <c r="A6" s="14"/>
      <c r="B6" s="4"/>
      <c r="C6" s="15"/>
      <c r="D6" s="13"/>
      <c r="E6" s="2"/>
      <c r="F6" s="2"/>
      <c r="G6" s="2"/>
      <c r="H6" s="2"/>
      <c r="I6" s="2"/>
      <c r="J6" s="2"/>
      <c r="K6" s="2"/>
      <c r="L6" s="2"/>
      <c r="M6" s="2"/>
      <c r="N6" s="2"/>
      <c r="O6" s="2"/>
      <c r="P6" s="2"/>
      <c r="Q6" s="2"/>
    </row>
    <row r="7" spans="1:17" x14ac:dyDescent="0.2">
      <c r="A7" t="s">
        <v>83</v>
      </c>
      <c r="B7" s="10">
        <v>0</v>
      </c>
      <c r="C7" s="16">
        <v>0.28000000000000003</v>
      </c>
      <c r="D7" s="16">
        <v>0.04</v>
      </c>
      <c r="F7" s="40">
        <f t="shared" ref="F7:F8" si="0">C7*(0.000001)*$K$8*1000/100</f>
        <v>2.7972000000000003E-5</v>
      </c>
      <c r="G7" s="7">
        <f>SQRT((D7/C7)^2+(K9/K8)^2)*F7</f>
        <v>4.173443662013422E-6</v>
      </c>
      <c r="J7" t="s">
        <v>55</v>
      </c>
      <c r="L7" s="12"/>
      <c r="O7" s="53"/>
      <c r="P7" s="49"/>
      <c r="Q7" s="49"/>
    </row>
    <row r="8" spans="1:17" x14ac:dyDescent="0.2">
      <c r="B8" s="10">
        <v>60</v>
      </c>
      <c r="C8" s="16">
        <v>0.67</v>
      </c>
      <c r="D8" s="16">
        <v>0.13</v>
      </c>
      <c r="F8" s="40">
        <f t="shared" si="0"/>
        <v>6.6933000000000004E-5</v>
      </c>
      <c r="G8" s="7">
        <f>SQRT((D8/C8)^2+(K9/K8)^2)*F8</f>
        <v>1.3302718895022927E-5</v>
      </c>
      <c r="H8" s="24"/>
      <c r="J8" t="s">
        <v>57</v>
      </c>
      <c r="K8">
        <v>9.99</v>
      </c>
      <c r="L8" t="s">
        <v>41</v>
      </c>
    </row>
    <row r="9" spans="1:17" x14ac:dyDescent="0.2">
      <c r="B9" s="10"/>
      <c r="C9" s="16"/>
      <c r="D9" s="16"/>
      <c r="F9" s="22"/>
      <c r="G9" s="21"/>
      <c r="H9" s="24"/>
      <c r="J9" t="s">
        <v>58</v>
      </c>
      <c r="K9">
        <v>0.43</v>
      </c>
      <c r="L9" t="s">
        <v>41</v>
      </c>
    </row>
    <row r="10" spans="1:17" x14ac:dyDescent="0.2">
      <c r="B10" s="44" t="s">
        <v>96</v>
      </c>
      <c r="C10" s="44"/>
      <c r="D10" s="44"/>
      <c r="F10" s="44" t="s">
        <v>86</v>
      </c>
      <c r="G10" s="44"/>
      <c r="H10" s="24"/>
      <c r="J10" t="s">
        <v>99</v>
      </c>
    </row>
    <row r="11" spans="1:17" ht="51" x14ac:dyDescent="0.2">
      <c r="A11" s="17" t="s">
        <v>48</v>
      </c>
      <c r="B11" s="18" t="s">
        <v>50</v>
      </c>
      <c r="C11" s="19" t="s">
        <v>98</v>
      </c>
      <c r="D11" s="19" t="s">
        <v>51</v>
      </c>
      <c r="E11" s="20"/>
      <c r="F11" s="19" t="s">
        <v>53</v>
      </c>
      <c r="G11" s="19" t="s">
        <v>54</v>
      </c>
      <c r="H11" s="24"/>
    </row>
    <row r="12" spans="1:17" ht="7" customHeight="1" x14ac:dyDescent="0.2">
      <c r="A12" s="14"/>
      <c r="B12" s="4"/>
      <c r="C12" s="15"/>
      <c r="D12" s="13"/>
      <c r="E12" s="2"/>
      <c r="F12" s="2"/>
      <c r="G12" s="2"/>
      <c r="H12" s="24"/>
    </row>
    <row r="13" spans="1:17" x14ac:dyDescent="0.2">
      <c r="A13" t="s">
        <v>49</v>
      </c>
      <c r="B13">
        <v>0</v>
      </c>
      <c r="C13">
        <v>293.255403544167</v>
      </c>
      <c r="D13">
        <v>53.746984906221996</v>
      </c>
      <c r="F13" s="40">
        <f>C13*(0.000000001)*$K$8*1000/100</f>
        <v>2.9296214814062285E-5</v>
      </c>
      <c r="G13" s="7">
        <f>SQRT((D13/C13)^2+($K$9/$K$8)^2)*F13</f>
        <v>5.5154106405623522E-6</v>
      </c>
      <c r="H13" s="24"/>
    </row>
    <row r="14" spans="1:17" x14ac:dyDescent="0.2">
      <c r="B14">
        <v>60</v>
      </c>
      <c r="C14">
        <v>1286.4576516642301</v>
      </c>
      <c r="D14">
        <v>155.87343811645997</v>
      </c>
      <c r="F14" s="40">
        <f>C14*(0.000000001)*$K$8*1000/100</f>
        <v>1.2851711940125663E-4</v>
      </c>
      <c r="G14" s="7">
        <f t="shared" ref="G14:G16" si="1">SQRT((D14/C14)^2+($K$9/$K$8)^2)*F14</f>
        <v>1.6525134057455226E-5</v>
      </c>
      <c r="H14" s="24"/>
    </row>
    <row r="15" spans="1:17" x14ac:dyDescent="0.2">
      <c r="B15">
        <v>120</v>
      </c>
      <c r="C15">
        <v>713.71339067819201</v>
      </c>
      <c r="D15">
        <v>198.881609876987</v>
      </c>
      <c r="F15" s="40">
        <f t="shared" ref="F15:F16" si="2">C15*(0.000000001)*$K$8*1000/100</f>
        <v>7.1299967728751391E-5</v>
      </c>
      <c r="G15" s="7">
        <f t="shared" si="1"/>
        <v>2.0103900793706673E-5</v>
      </c>
      <c r="H15" s="24"/>
    </row>
    <row r="16" spans="1:17" x14ac:dyDescent="0.2">
      <c r="B16">
        <v>180</v>
      </c>
      <c r="C16">
        <v>434.82176395684201</v>
      </c>
      <c r="D16">
        <v>100.33476104865099</v>
      </c>
      <c r="F16" s="40">
        <f t="shared" si="2"/>
        <v>4.3438694219288521E-5</v>
      </c>
      <c r="G16" s="7">
        <f t="shared" si="1"/>
        <v>1.0196337862731834E-5</v>
      </c>
      <c r="H16" s="24"/>
    </row>
    <row r="17" spans="1:8" x14ac:dyDescent="0.2">
      <c r="B17" s="10"/>
      <c r="C17" s="16"/>
      <c r="D17" s="16"/>
      <c r="F17" s="22"/>
      <c r="G17" s="21"/>
      <c r="H17" s="24"/>
    </row>
    <row r="18" spans="1:8" x14ac:dyDescent="0.2">
      <c r="B18" s="10"/>
      <c r="C18" s="16"/>
      <c r="D18" s="16"/>
      <c r="F18" s="22"/>
    </row>
    <row r="19" spans="1:8" x14ac:dyDescent="0.2">
      <c r="B19" s="10"/>
      <c r="C19" s="16"/>
      <c r="D19" s="16"/>
      <c r="F19" s="22"/>
    </row>
    <row r="21" spans="1:8" x14ac:dyDescent="0.2">
      <c r="B21" s="44"/>
      <c r="C21" s="44"/>
      <c r="D21" s="44"/>
      <c r="F21" s="44"/>
      <c r="G21" s="44"/>
    </row>
    <row r="22" spans="1:8" x14ac:dyDescent="0.2">
      <c r="A22" s="17"/>
      <c r="B22" s="18"/>
      <c r="C22" s="19"/>
      <c r="D22" s="19"/>
      <c r="E22" s="20"/>
      <c r="F22" s="19"/>
      <c r="G22" s="19"/>
    </row>
  </sheetData>
  <mergeCells count="7">
    <mergeCell ref="A2:M2"/>
    <mergeCell ref="B4:D4"/>
    <mergeCell ref="F4:G4"/>
    <mergeCell ref="B21:D21"/>
    <mergeCell ref="F21:G21"/>
    <mergeCell ref="B10:D10"/>
    <mergeCell ref="F10:G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2909F-C882-DA43-A1A4-9416FE34FFE4}">
  <dimension ref="A1:M22"/>
  <sheetViews>
    <sheetView zoomScale="142" workbookViewId="0">
      <selection activeCell="B20" sqref="B20"/>
    </sheetView>
  </sheetViews>
  <sheetFormatPr baseColWidth="10" defaultRowHeight="16" x14ac:dyDescent="0.2"/>
  <cols>
    <col min="1" max="1" width="21.6640625" customWidth="1"/>
  </cols>
  <sheetData>
    <row r="1" spans="1:13" x14ac:dyDescent="0.2">
      <c r="A1" s="1" t="s">
        <v>102</v>
      </c>
    </row>
    <row r="2" spans="1:13" ht="49" customHeight="1" x14ac:dyDescent="0.2">
      <c r="A2" s="45" t="s">
        <v>100</v>
      </c>
      <c r="B2" s="45"/>
      <c r="C2" s="45"/>
      <c r="D2" s="45"/>
      <c r="E2" s="45"/>
      <c r="F2" s="45"/>
      <c r="G2" s="45"/>
      <c r="H2" s="45"/>
      <c r="I2" s="45"/>
      <c r="J2" s="45"/>
      <c r="K2" s="45"/>
      <c r="L2" s="45"/>
      <c r="M2" s="45"/>
    </row>
    <row r="4" spans="1:13" x14ac:dyDescent="0.2">
      <c r="A4" s="11" t="s">
        <v>60</v>
      </c>
    </row>
    <row r="5" spans="1:13" x14ac:dyDescent="0.2">
      <c r="A5" s="11"/>
      <c r="B5" s="9" t="s">
        <v>80</v>
      </c>
      <c r="C5" s="9" t="s">
        <v>81</v>
      </c>
    </row>
    <row r="6" spans="1:13" x14ac:dyDescent="0.2">
      <c r="A6" t="s">
        <v>61</v>
      </c>
      <c r="B6" s="29" t="s">
        <v>62</v>
      </c>
    </row>
    <row r="7" spans="1:13" x14ac:dyDescent="0.2">
      <c r="A7" t="s">
        <v>63</v>
      </c>
      <c r="B7">
        <v>72.099999999999994</v>
      </c>
      <c r="C7" s="24">
        <f>15.1/SQRT(83)</f>
        <v>1.6574403258443242</v>
      </c>
      <c r="D7" t="s">
        <v>64</v>
      </c>
    </row>
    <row r="8" spans="1:13" x14ac:dyDescent="0.2">
      <c r="A8" t="s">
        <v>65</v>
      </c>
      <c r="B8">
        <v>40</v>
      </c>
      <c r="D8" t="s">
        <v>105</v>
      </c>
    </row>
    <row r="9" spans="1:13" x14ac:dyDescent="0.2">
      <c r="A9" t="s">
        <v>67</v>
      </c>
      <c r="B9">
        <v>20</v>
      </c>
      <c r="D9" t="s">
        <v>68</v>
      </c>
    </row>
    <row r="10" spans="1:13" x14ac:dyDescent="0.2">
      <c r="A10" t="s">
        <v>69</v>
      </c>
      <c r="B10">
        <v>8</v>
      </c>
      <c r="D10" t="s">
        <v>70</v>
      </c>
    </row>
    <row r="12" spans="1:13" x14ac:dyDescent="0.2">
      <c r="A12" s="11" t="s">
        <v>101</v>
      </c>
    </row>
    <row r="13" spans="1:13" x14ac:dyDescent="0.2">
      <c r="A13" s="11"/>
      <c r="B13" s="9" t="s">
        <v>80</v>
      </c>
      <c r="C13" s="9" t="s">
        <v>81</v>
      </c>
    </row>
    <row r="14" spans="1:13" x14ac:dyDescent="0.2">
      <c r="A14" t="s">
        <v>71</v>
      </c>
      <c r="B14">
        <v>4.2000000000000003E-2</v>
      </c>
      <c r="C14" s="23">
        <v>7.0000000000000001E-3</v>
      </c>
      <c r="D14" t="s">
        <v>72</v>
      </c>
    </row>
    <row r="15" spans="1:13" x14ac:dyDescent="0.2">
      <c r="A15" t="s">
        <v>73</v>
      </c>
      <c r="B15">
        <v>8.7999999999999995E-2</v>
      </c>
      <c r="C15" s="23">
        <v>5.0000000000000001E-3</v>
      </c>
      <c r="D15" t="s">
        <v>72</v>
      </c>
    </row>
    <row r="16" spans="1:13" x14ac:dyDescent="0.2">
      <c r="A16" t="s">
        <v>74</v>
      </c>
      <c r="B16">
        <v>2.5</v>
      </c>
      <c r="D16" t="s">
        <v>75</v>
      </c>
    </row>
    <row r="17" spans="1:10" ht="17" thickBot="1" x14ac:dyDescent="0.25"/>
    <row r="18" spans="1:10" ht="34" customHeight="1" x14ac:dyDescent="0.2">
      <c r="A18" s="32" t="s">
        <v>78</v>
      </c>
      <c r="B18" s="34">
        <f>$B$7*$B$8/100*$B$9/100*$B$10/100</f>
        <v>0.46143999999999996</v>
      </c>
      <c r="C18" s="34">
        <f>SQRT((C7/B7)^2)*B18</f>
        <v>1.0607618085403675E-2</v>
      </c>
      <c r="D18" s="26" t="s">
        <v>64</v>
      </c>
      <c r="J18" s="29"/>
    </row>
    <row r="19" spans="1:10" ht="51" x14ac:dyDescent="0.2">
      <c r="A19" s="28" t="s">
        <v>79</v>
      </c>
      <c r="B19" s="7">
        <f>(B15-B14)/100*B16*B18</f>
        <v>5.3065599999999979E-4</v>
      </c>
      <c r="C19" s="7">
        <f>SQRT((C18/B18)^2+(C14/B14)^2+(C15/B15)^2)*B19</f>
        <v>9.4233711436679686E-5</v>
      </c>
      <c r="D19" s="27" t="s">
        <v>64</v>
      </c>
    </row>
    <row r="20" spans="1:10" ht="17" thickBot="1" x14ac:dyDescent="0.25">
      <c r="A20" s="30"/>
      <c r="B20" s="31">
        <f>B19*1000</f>
        <v>0.53065599999999979</v>
      </c>
      <c r="C20" s="31">
        <f>C19*1000</f>
        <v>9.423371143667969E-2</v>
      </c>
      <c r="D20" s="33" t="s">
        <v>76</v>
      </c>
    </row>
    <row r="22" spans="1:10" x14ac:dyDescent="0.2">
      <c r="A22" s="11"/>
    </row>
  </sheetData>
  <mergeCells count="1">
    <mergeCell ref="A2:M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E0E68-B5BF-904A-AD2C-20A45DCD2649}">
  <dimension ref="A1:M32"/>
  <sheetViews>
    <sheetView topLeftCell="A12" workbookViewId="0">
      <selection activeCell="C32" sqref="C32"/>
    </sheetView>
  </sheetViews>
  <sheetFormatPr baseColWidth="10" defaultRowHeight="16" x14ac:dyDescent="0.2"/>
  <cols>
    <col min="1" max="1" width="21.6640625" customWidth="1"/>
  </cols>
  <sheetData>
    <row r="1" spans="1:13" x14ac:dyDescent="0.2">
      <c r="A1" s="1" t="s">
        <v>146</v>
      </c>
    </row>
    <row r="2" spans="1:13" ht="49" customHeight="1" x14ac:dyDescent="0.2">
      <c r="A2" s="45" t="s">
        <v>90</v>
      </c>
      <c r="B2" s="45"/>
      <c r="C2" s="45"/>
      <c r="D2" s="45"/>
      <c r="E2" s="45"/>
      <c r="F2" s="45"/>
      <c r="G2" s="45"/>
      <c r="H2" s="45"/>
      <c r="I2" s="45"/>
      <c r="J2" s="45"/>
      <c r="K2" s="45"/>
      <c r="L2" s="45"/>
      <c r="M2" s="45"/>
    </row>
    <row r="4" spans="1:13" x14ac:dyDescent="0.2">
      <c r="A4" s="11" t="s">
        <v>60</v>
      </c>
    </row>
    <row r="5" spans="1:13" x14ac:dyDescent="0.2">
      <c r="A5" s="11"/>
      <c r="B5" s="9" t="s">
        <v>80</v>
      </c>
      <c r="C5" s="9" t="s">
        <v>81</v>
      </c>
    </row>
    <row r="6" spans="1:13" x14ac:dyDescent="0.2">
      <c r="A6" t="s">
        <v>61</v>
      </c>
      <c r="B6" s="12" t="s">
        <v>149</v>
      </c>
    </row>
    <row r="7" spans="1:13" x14ac:dyDescent="0.2">
      <c r="A7" t="s">
        <v>63</v>
      </c>
      <c r="B7">
        <v>70</v>
      </c>
      <c r="C7" s="24">
        <v>5</v>
      </c>
      <c r="D7" t="s">
        <v>64</v>
      </c>
    </row>
    <row r="8" spans="1:13" x14ac:dyDescent="0.2">
      <c r="A8" t="s">
        <v>65</v>
      </c>
      <c r="B8">
        <v>40</v>
      </c>
      <c r="D8" t="s">
        <v>66</v>
      </c>
    </row>
    <row r="9" spans="1:13" x14ac:dyDescent="0.2">
      <c r="A9" t="s">
        <v>67</v>
      </c>
      <c r="B9">
        <v>20</v>
      </c>
      <c r="D9" t="s">
        <v>68</v>
      </c>
    </row>
    <row r="10" spans="1:13" x14ac:dyDescent="0.2">
      <c r="A10" t="s">
        <v>69</v>
      </c>
      <c r="B10">
        <v>8</v>
      </c>
      <c r="D10" t="s">
        <v>70</v>
      </c>
    </row>
    <row r="12" spans="1:13" x14ac:dyDescent="0.2">
      <c r="A12" s="11" t="s">
        <v>147</v>
      </c>
    </row>
    <row r="13" spans="1:13" x14ac:dyDescent="0.2">
      <c r="A13" s="11"/>
      <c r="B13" s="9" t="s">
        <v>80</v>
      </c>
      <c r="C13" s="9" t="s">
        <v>81</v>
      </c>
    </row>
    <row r="14" spans="1:13" x14ac:dyDescent="0.2">
      <c r="A14" t="s">
        <v>71</v>
      </c>
      <c r="B14" s="24">
        <v>5.7822141197878901E-2</v>
      </c>
      <c r="C14" s="24">
        <v>7.390442164060998E-3</v>
      </c>
      <c r="D14" t="s">
        <v>72</v>
      </c>
    </row>
    <row r="15" spans="1:13" x14ac:dyDescent="0.2">
      <c r="A15" t="s">
        <v>73</v>
      </c>
      <c r="B15" s="24">
        <v>9.34329621692601E-2</v>
      </c>
      <c r="C15" s="24">
        <v>1.5185220982045902E-2</v>
      </c>
      <c r="D15" t="s">
        <v>72</v>
      </c>
    </row>
    <row r="16" spans="1:13" x14ac:dyDescent="0.2">
      <c r="A16" t="s">
        <v>74</v>
      </c>
      <c r="B16">
        <v>2</v>
      </c>
      <c r="D16" t="s">
        <v>75</v>
      </c>
    </row>
    <row r="17" spans="1:10" ht="17" thickBot="1" x14ac:dyDescent="0.25"/>
    <row r="18" spans="1:10" ht="34" customHeight="1" x14ac:dyDescent="0.2">
      <c r="A18" s="32" t="s">
        <v>78</v>
      </c>
      <c r="B18" s="34">
        <f>$B$7*$B$8/100*$B$9/100*$B$10/100</f>
        <v>0.44799999999999995</v>
      </c>
      <c r="C18" s="34">
        <f>SQRT((C7/B7)^2)*B18</f>
        <v>3.1999999999999994E-2</v>
      </c>
      <c r="D18" s="26" t="s">
        <v>64</v>
      </c>
      <c r="J18" s="29"/>
    </row>
    <row r="19" spans="1:10" ht="51" x14ac:dyDescent="0.2">
      <c r="A19" s="28" t="s">
        <v>79</v>
      </c>
      <c r="B19" s="7">
        <f>(B15-B14)/100*B16*B18</f>
        <v>3.1907295590357553E-4</v>
      </c>
      <c r="C19" s="7">
        <f>SQRT((C18/B18)^2+(C14/B14)^2+(C15/B15)^2)*B19</f>
        <v>6.979809099136185E-5</v>
      </c>
      <c r="D19" s="27" t="s">
        <v>64</v>
      </c>
    </row>
    <row r="20" spans="1:10" ht="17" thickBot="1" x14ac:dyDescent="0.25">
      <c r="A20" s="30"/>
      <c r="B20" s="31">
        <f>B19*1000</f>
        <v>0.31907295590357554</v>
      </c>
      <c r="C20" s="31">
        <f>C19*1000</f>
        <v>6.9798090991361847E-2</v>
      </c>
      <c r="D20" s="33" t="s">
        <v>76</v>
      </c>
    </row>
    <row r="22" spans="1:10" x14ac:dyDescent="0.2">
      <c r="A22" s="11" t="s">
        <v>148</v>
      </c>
    </row>
    <row r="23" spans="1:10" x14ac:dyDescent="0.2">
      <c r="A23" s="11"/>
      <c r="B23" s="9" t="s">
        <v>80</v>
      </c>
      <c r="C23" s="9" t="s">
        <v>81</v>
      </c>
    </row>
    <row r="24" spans="1:10" x14ac:dyDescent="0.2">
      <c r="A24" t="s">
        <v>71</v>
      </c>
      <c r="B24" s="24">
        <v>4.92802794228904E-2</v>
      </c>
      <c r="C24" s="24">
        <v>6.718547427569603E-3</v>
      </c>
      <c r="D24" t="s">
        <v>72</v>
      </c>
    </row>
    <row r="25" spans="1:10" x14ac:dyDescent="0.2">
      <c r="A25" t="s">
        <v>73</v>
      </c>
      <c r="B25" s="24">
        <v>4.9952574096724801E-2</v>
      </c>
      <c r="C25" s="24">
        <v>1.0615536899219097E-2</v>
      </c>
      <c r="D25" t="s">
        <v>72</v>
      </c>
    </row>
    <row r="26" spans="1:10" x14ac:dyDescent="0.2">
      <c r="A26" t="s">
        <v>74</v>
      </c>
      <c r="B26">
        <v>2</v>
      </c>
      <c r="D26" t="s">
        <v>75</v>
      </c>
    </row>
    <row r="27" spans="1:10" ht="17" thickBot="1" x14ac:dyDescent="0.25"/>
    <row r="28" spans="1:10" ht="34" x14ac:dyDescent="0.2">
      <c r="A28" s="32" t="s">
        <v>78</v>
      </c>
      <c r="B28" s="34">
        <f>$B$7*$B$8/100*$B$9/100*$B$10/100</f>
        <v>0.44799999999999995</v>
      </c>
      <c r="C28" s="34">
        <f>SQRT((C7/B7)^2)*B28</f>
        <v>3.1999999999999994E-2</v>
      </c>
      <c r="D28" s="26" t="s">
        <v>64</v>
      </c>
    </row>
    <row r="29" spans="1:10" ht="51" x14ac:dyDescent="0.2">
      <c r="A29" s="28" t="s">
        <v>79</v>
      </c>
      <c r="B29" s="7">
        <f>(B25-B24)/100*B26*B28</f>
        <v>6.0237602775562402E-6</v>
      </c>
      <c r="C29" s="7">
        <f>SQRT((C28/B28)^2+(C24/B24)^2+(C25/B25)^2)*B29</f>
        <v>1.5805951555540894E-6</v>
      </c>
      <c r="D29" s="27" t="s">
        <v>64</v>
      </c>
    </row>
    <row r="30" spans="1:10" ht="17" thickBot="1" x14ac:dyDescent="0.25">
      <c r="A30" s="30"/>
      <c r="B30" s="31">
        <f>B29*1000</f>
        <v>6.0237602775562405E-3</v>
      </c>
      <c r="C30" s="31">
        <f>C29*1000</f>
        <v>1.5805951555540893E-3</v>
      </c>
      <c r="D30" s="33" t="s">
        <v>76</v>
      </c>
    </row>
    <row r="32" spans="1:10" x14ac:dyDescent="0.2">
      <c r="C32" s="49"/>
    </row>
  </sheetData>
  <mergeCells count="1">
    <mergeCell ref="A2:M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F16D3-6511-DE47-A495-3A2E2CA5183D}">
  <dimension ref="A1:M25"/>
  <sheetViews>
    <sheetView tabSelected="1" zoomScale="116" workbookViewId="0">
      <selection activeCell="K23" sqref="K23"/>
    </sheetView>
  </sheetViews>
  <sheetFormatPr baseColWidth="10" defaultRowHeight="16" x14ac:dyDescent="0.2"/>
  <cols>
    <col min="1" max="1" width="9.83203125" bestFit="1" customWidth="1"/>
    <col min="2" max="3" width="8.1640625" customWidth="1"/>
    <col min="4" max="4" width="6.83203125" customWidth="1"/>
    <col min="5" max="5" width="9.83203125" bestFit="1" customWidth="1"/>
    <col min="6" max="6" width="10.6640625" customWidth="1"/>
    <col min="7" max="7" width="8.1640625" customWidth="1"/>
    <col min="9" max="9" width="17.5" bestFit="1" customWidth="1"/>
  </cols>
  <sheetData>
    <row r="1" spans="1:13" x14ac:dyDescent="0.2">
      <c r="A1" s="46" t="s">
        <v>137</v>
      </c>
      <c r="B1" s="46"/>
      <c r="C1" s="46"/>
      <c r="D1" s="46"/>
      <c r="E1" s="46"/>
      <c r="F1" s="46"/>
      <c r="G1" s="46"/>
      <c r="H1" s="46"/>
      <c r="I1" s="46"/>
      <c r="J1" s="46"/>
      <c r="K1" s="46"/>
      <c r="L1" s="46"/>
      <c r="M1" s="46"/>
    </row>
    <row r="2" spans="1:13" x14ac:dyDescent="0.2">
      <c r="A2" s="45" t="s">
        <v>106</v>
      </c>
      <c r="B2" s="45"/>
      <c r="C2" s="45"/>
      <c r="D2" s="45"/>
      <c r="E2" s="45"/>
      <c r="F2" s="45"/>
      <c r="G2" s="45"/>
      <c r="H2" s="45"/>
      <c r="I2" s="45"/>
      <c r="J2" s="45"/>
      <c r="K2" s="45"/>
      <c r="L2" s="45"/>
      <c r="M2" s="45"/>
    </row>
    <row r="4" spans="1:13" x14ac:dyDescent="0.2">
      <c r="A4" s="47" t="s">
        <v>136</v>
      </c>
      <c r="B4" s="47"/>
      <c r="C4" s="47"/>
      <c r="E4" s="47" t="s">
        <v>145</v>
      </c>
      <c r="F4" s="47"/>
      <c r="G4" s="47"/>
    </row>
    <row r="5" spans="1:13" x14ac:dyDescent="0.2">
      <c r="A5" s="11" t="s">
        <v>48</v>
      </c>
      <c r="B5" s="11" t="s">
        <v>107</v>
      </c>
      <c r="C5" s="11" t="s">
        <v>108</v>
      </c>
      <c r="E5" s="11" t="s">
        <v>48</v>
      </c>
      <c r="F5" s="11" t="s">
        <v>107</v>
      </c>
      <c r="G5" s="11" t="s">
        <v>108</v>
      </c>
      <c r="I5" t="s">
        <v>138</v>
      </c>
      <c r="J5" s="7">
        <f>180156</f>
        <v>180156</v>
      </c>
      <c r="K5" t="s">
        <v>142</v>
      </c>
    </row>
    <row r="6" spans="1:13" x14ac:dyDescent="0.2">
      <c r="A6" t="s">
        <v>109</v>
      </c>
      <c r="B6">
        <v>3</v>
      </c>
      <c r="C6" t="s">
        <v>41</v>
      </c>
      <c r="E6" s="12">
        <v>48</v>
      </c>
      <c r="F6" s="7">
        <v>3</v>
      </c>
      <c r="G6" t="s">
        <v>41</v>
      </c>
      <c r="I6" t="s">
        <v>139</v>
      </c>
      <c r="J6" s="7">
        <v>6.6699999999999996E-12</v>
      </c>
      <c r="K6" t="s">
        <v>140</v>
      </c>
    </row>
    <row r="7" spans="1:13" x14ac:dyDescent="0.2">
      <c r="A7" t="s">
        <v>110</v>
      </c>
      <c r="B7">
        <v>11</v>
      </c>
      <c r="C7" t="s">
        <v>41</v>
      </c>
      <c r="E7" s="12">
        <v>49</v>
      </c>
      <c r="F7" s="7">
        <v>11</v>
      </c>
      <c r="G7" t="s">
        <v>41</v>
      </c>
    </row>
    <row r="8" spans="1:13" x14ac:dyDescent="0.2">
      <c r="A8" t="s">
        <v>111</v>
      </c>
      <c r="B8">
        <v>10</v>
      </c>
      <c r="C8" t="s">
        <v>41</v>
      </c>
      <c r="E8" s="12">
        <v>50</v>
      </c>
      <c r="F8" s="7">
        <v>10</v>
      </c>
      <c r="G8" t="s">
        <v>41</v>
      </c>
    </row>
    <row r="9" spans="1:13" x14ac:dyDescent="0.2">
      <c r="A9" t="s">
        <v>112</v>
      </c>
      <c r="B9">
        <v>0.2</v>
      </c>
      <c r="C9" t="s">
        <v>129</v>
      </c>
      <c r="E9" s="12">
        <v>51</v>
      </c>
      <c r="F9" s="7">
        <v>0.2</v>
      </c>
      <c r="G9" t="s">
        <v>129</v>
      </c>
    </row>
    <row r="10" spans="1:13" x14ac:dyDescent="0.2">
      <c r="A10" t="s">
        <v>113</v>
      </c>
      <c r="B10">
        <v>6</v>
      </c>
      <c r="C10" t="s">
        <v>130</v>
      </c>
      <c r="E10" s="12">
        <v>52</v>
      </c>
      <c r="F10" s="7">
        <v>6</v>
      </c>
      <c r="G10" t="s">
        <v>130</v>
      </c>
    </row>
    <row r="11" spans="1:13" x14ac:dyDescent="0.2">
      <c r="A11" t="s">
        <v>114</v>
      </c>
      <c r="B11">
        <v>100</v>
      </c>
      <c r="C11" t="s">
        <v>130</v>
      </c>
      <c r="E11" s="12">
        <v>53</v>
      </c>
      <c r="F11" s="7">
        <v>100</v>
      </c>
      <c r="G11" t="s">
        <v>130</v>
      </c>
    </row>
    <row r="12" spans="1:13" x14ac:dyDescent="0.2">
      <c r="A12" t="s">
        <v>115</v>
      </c>
      <c r="B12">
        <v>36</v>
      </c>
      <c r="C12" t="s">
        <v>130</v>
      </c>
      <c r="E12" s="12">
        <v>54</v>
      </c>
      <c r="F12" s="7">
        <v>36</v>
      </c>
      <c r="G12" t="s">
        <v>130</v>
      </c>
    </row>
    <row r="13" spans="1:13" x14ac:dyDescent="0.2">
      <c r="A13" t="s">
        <v>116</v>
      </c>
      <c r="B13">
        <v>210</v>
      </c>
      <c r="C13" t="s">
        <v>131</v>
      </c>
      <c r="E13" s="12">
        <v>55</v>
      </c>
      <c r="F13" s="7">
        <f>B13*$J$6</f>
        <v>1.4006999999999999E-9</v>
      </c>
      <c r="G13" t="s">
        <v>141</v>
      </c>
    </row>
    <row r="14" spans="1:13" x14ac:dyDescent="0.2">
      <c r="A14" t="s">
        <v>117</v>
      </c>
      <c r="B14">
        <v>300</v>
      </c>
      <c r="C14" t="s">
        <v>132</v>
      </c>
      <c r="E14" s="12">
        <v>56</v>
      </c>
      <c r="F14" s="7">
        <f t="shared" ref="F14:F20" si="0">B14/$J$5</f>
        <v>1.6652234729900752E-3</v>
      </c>
      <c r="G14" t="s">
        <v>143</v>
      </c>
    </row>
    <row r="15" spans="1:13" x14ac:dyDescent="0.2">
      <c r="A15" t="s">
        <v>118</v>
      </c>
      <c r="B15">
        <v>2000</v>
      </c>
      <c r="C15" t="s">
        <v>132</v>
      </c>
      <c r="E15" s="12">
        <v>57</v>
      </c>
      <c r="F15" s="7">
        <f t="shared" si="0"/>
        <v>1.1101489819933835E-2</v>
      </c>
      <c r="G15" t="s">
        <v>143</v>
      </c>
    </row>
    <row r="16" spans="1:13" x14ac:dyDescent="0.2">
      <c r="A16" t="s">
        <v>119</v>
      </c>
      <c r="B16">
        <v>72</v>
      </c>
      <c r="C16" t="s">
        <v>133</v>
      </c>
      <c r="E16" s="12">
        <v>58</v>
      </c>
      <c r="F16" s="7">
        <f t="shared" si="0"/>
        <v>3.9965363351761806E-4</v>
      </c>
      <c r="G16" t="s">
        <v>141</v>
      </c>
    </row>
    <row r="17" spans="1:7" x14ac:dyDescent="0.2">
      <c r="A17" t="s">
        <v>120</v>
      </c>
      <c r="B17">
        <v>144</v>
      </c>
      <c r="C17" t="s">
        <v>132</v>
      </c>
      <c r="E17" s="12">
        <v>59</v>
      </c>
      <c r="F17" s="7">
        <f t="shared" si="0"/>
        <v>7.9930726703523612E-4</v>
      </c>
      <c r="G17" t="s">
        <v>143</v>
      </c>
    </row>
    <row r="18" spans="1:7" x14ac:dyDescent="0.2">
      <c r="A18" t="s">
        <v>121</v>
      </c>
      <c r="B18">
        <v>1000</v>
      </c>
      <c r="C18" t="s">
        <v>132</v>
      </c>
      <c r="E18" s="12">
        <v>60</v>
      </c>
      <c r="F18" s="7">
        <f t="shared" si="0"/>
        <v>5.5507449099669176E-3</v>
      </c>
      <c r="G18" t="s">
        <v>143</v>
      </c>
    </row>
    <row r="19" spans="1:7" x14ac:dyDescent="0.2">
      <c r="A19" t="s">
        <v>122</v>
      </c>
      <c r="B19">
        <v>40</v>
      </c>
      <c r="C19" t="s">
        <v>133</v>
      </c>
      <c r="E19" s="12">
        <v>61</v>
      </c>
      <c r="F19" s="7">
        <f t="shared" si="0"/>
        <v>2.2202979639867671E-4</v>
      </c>
      <c r="G19" t="s">
        <v>141</v>
      </c>
    </row>
    <row r="20" spans="1:7" x14ac:dyDescent="0.2">
      <c r="A20" t="s">
        <v>123</v>
      </c>
      <c r="B20">
        <v>940</v>
      </c>
      <c r="C20" t="s">
        <v>133</v>
      </c>
      <c r="E20" s="12">
        <v>62</v>
      </c>
      <c r="F20" s="7">
        <f t="shared" si="0"/>
        <v>5.2177002153689029E-3</v>
      </c>
      <c r="G20" t="s">
        <v>141</v>
      </c>
    </row>
    <row r="21" spans="1:7" x14ac:dyDescent="0.2">
      <c r="A21" t="s">
        <v>124</v>
      </c>
      <c r="B21">
        <v>1.77</v>
      </c>
      <c r="E21" s="12">
        <v>63</v>
      </c>
      <c r="F21" s="7">
        <v>1.77</v>
      </c>
    </row>
    <row r="22" spans="1:7" x14ac:dyDescent="0.2">
      <c r="A22" t="s">
        <v>125</v>
      </c>
      <c r="B22">
        <v>80</v>
      </c>
      <c r="C22" t="s">
        <v>134</v>
      </c>
      <c r="E22" s="12">
        <v>64</v>
      </c>
      <c r="F22" s="7">
        <f>B22*$J$6</f>
        <v>5.336E-10</v>
      </c>
      <c r="G22" t="s">
        <v>143</v>
      </c>
    </row>
    <row r="23" spans="1:7" x14ac:dyDescent="0.2">
      <c r="A23" t="s">
        <v>126</v>
      </c>
      <c r="B23">
        <v>180</v>
      </c>
      <c r="C23" t="s">
        <v>133</v>
      </c>
      <c r="E23" s="12">
        <v>65</v>
      </c>
      <c r="F23" s="7">
        <f>B23/$J$5</f>
        <v>9.991340837940451E-4</v>
      </c>
      <c r="G23" t="s">
        <v>141</v>
      </c>
    </row>
    <row r="24" spans="1:7" x14ac:dyDescent="0.2">
      <c r="A24" t="s">
        <v>127</v>
      </c>
      <c r="B24">
        <v>0.28999999999999998</v>
      </c>
      <c r="C24" t="s">
        <v>135</v>
      </c>
      <c r="E24" s="12">
        <v>66</v>
      </c>
      <c r="F24" s="7">
        <f>B24/J6</f>
        <v>43478260869.565216</v>
      </c>
      <c r="G24" t="s">
        <v>144</v>
      </c>
    </row>
    <row r="25" spans="1:7" x14ac:dyDescent="0.2">
      <c r="A25" t="s">
        <v>128</v>
      </c>
      <c r="B25">
        <v>26</v>
      </c>
      <c r="C25" t="s">
        <v>134</v>
      </c>
      <c r="E25" s="12">
        <v>67</v>
      </c>
      <c r="F25" s="7">
        <f>B25*J6</f>
        <v>1.7341999999999998E-10</v>
      </c>
      <c r="G25" t="s">
        <v>143</v>
      </c>
    </row>
  </sheetData>
  <mergeCells count="4">
    <mergeCell ref="A2:M2"/>
    <mergeCell ref="A1:M1"/>
    <mergeCell ref="A4:C4"/>
    <mergeCell ref="E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Tessari (1995)-transport rates</vt:lpstr>
      <vt:lpstr>Glynn (2010) - 3-pool values</vt:lpstr>
      <vt:lpstr>Biolo (1995) - 3-pool values</vt:lpstr>
      <vt:lpstr>Glynn (2010) - FSR</vt:lpstr>
      <vt:lpstr>Mitchell (2015) - FSR</vt:lpstr>
      <vt:lpstr>Drummond (2010) - 3-pool values</vt:lpstr>
      <vt:lpstr>Wilkinson (2013) - FSR</vt:lpstr>
      <vt:lpstr>Dickinson (2011) - FSR</vt:lpstr>
      <vt:lpstr>Tolic (2000) - insulin module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2022-01-08T05:45:46Z</dcterms:created>
  <dcterms:modified xsi:type="dcterms:W3CDTF">2023-03-09T02:19:17Z</dcterms:modified>
</cp:coreProperties>
</file>