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hidePivotFieldList="1" defaultThemeVersion="202300"/>
  <mc:AlternateContent xmlns:mc="http://schemas.openxmlformats.org/markup-compatibility/2006">
    <mc:Choice Requires="x15">
      <x15ac:absPath xmlns:x15ac="http://schemas.microsoft.com/office/spreadsheetml/2010/11/ac" url="/Users/iamnotinmoodtoday/Desktop/Github Thesis/artifact/"/>
    </mc:Choice>
  </mc:AlternateContent>
  <xr:revisionPtr revIDLastSave="0" documentId="8_{085C4FD5-D4EE-7B41-9607-C993B5110619}" xr6:coauthVersionLast="47" xr6:coauthVersionMax="47" xr10:uidLastSave="{00000000-0000-0000-0000-000000000000}"/>
  <bookViews>
    <workbookView xWindow="0" yWindow="760" windowWidth="29400" windowHeight="17280" tabRatio="500" activeTab="6" xr2:uid="{00000000-000D-0000-FFFF-FFFF00000000}"/>
  </bookViews>
  <sheets>
    <sheet name="Cover" sheetId="4" r:id="rId1"/>
    <sheet name="1.0 Case Context" sheetId="15" r:id="rId2"/>
    <sheet name="1.1 AHP Hierarchy" sheetId="50" r:id="rId3"/>
    <sheet name="1.2 Weights" sheetId="12" r:id="rId4"/>
    <sheet name="1.3 IP Pairwise" sheetId="61" r:id="rId5"/>
    <sheet name="1.4 EA Smell Scoring" sheetId="14" r:id="rId6"/>
    <sheet name="1.5 Results EA Smell Dashboard" sheetId="54" r:id="rId7"/>
    <sheet name="1.6 IP Calculations" sheetId="62" r:id="rId8"/>
    <sheet name="1.7 AHP Calculations" sheetId="18" r:id="rId9"/>
    <sheet name="AHP Saaty Reference" sheetId="45" r:id="rId10"/>
    <sheet name="EA Smell Catalogue" sheetId="11" r:id="rId11"/>
  </sheets>
  <definedNames>
    <definedName name="SelectedSmells">'EA Smell Catalogue'!$C$58:$C$67</definedName>
    <definedName name="SmellCatalogue">'EA Smell Catalogue'!$B$12:$E$18</definedName>
    <definedName name="Z_A1A3B705_A997_C843_8A73_5252E7FC1F87_.wvu.Cols" localSheetId="3" hidden="1">'1.2 Weights'!#REF!</definedName>
    <definedName name="Z_A1A3B705_A997_C843_8A73_5252E7FC1F87_.wvu.Cols" localSheetId="4" hidden="1">'1.3 IP Pairwise'!#REF!</definedName>
    <definedName name="Z_A1A3B705_A997_C843_8A73_5252E7FC1F87_.wvu.Cols" localSheetId="5" hidden="1">'1.4 EA Smell Scoring'!$L:$N,'1.4 EA Smell Scoring'!$Q:$S,'1.4 EA Smell Scoring'!$V:$X,'1.4 EA Smell Scoring'!$AA:$AC,'1.4 EA Smell Scoring'!$AF:$AH</definedName>
  </definedNames>
  <calcPr calcId="191028" iterateDelta="1E-4"/>
  <customWorkbookViews>
    <customWorkbookView name="Recording" guid="{A1A3B705-A997-C843-8A73-5252E7FC1F87}" maximized="1" yWindow="37" windowWidth="1470" windowHeight="919" tabRatio="500" activeSheetId="4"/>
  </customWorkbookViews>
  <pivotCaches>
    <pivotCache cacheId="25" r:id="rId12"/>
    <pivotCache cacheId="35"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6" i="54" l="1"/>
  <c r="H35" i="54"/>
  <c r="H38" i="54"/>
  <c r="H39" i="54"/>
  <c r="H40" i="54"/>
  <c r="B8" i="11" l="1"/>
  <c r="B7" i="11"/>
  <c r="B6" i="11"/>
  <c r="B5" i="11"/>
  <c r="B4" i="11"/>
  <c r="AG9" i="14"/>
  <c r="L10" i="14"/>
  <c r="L11" i="14"/>
  <c r="L12" i="14"/>
  <c r="L13" i="14"/>
  <c r="L9" i="14"/>
  <c r="AF10" i="14"/>
  <c r="AG10" i="14"/>
  <c r="AH10" i="14"/>
  <c r="AF11" i="14"/>
  <c r="AG11" i="14"/>
  <c r="AH11" i="14"/>
  <c r="AF12" i="14"/>
  <c r="AG12" i="14"/>
  <c r="AH12" i="14"/>
  <c r="AF13" i="14"/>
  <c r="AG13" i="14"/>
  <c r="AH13" i="14"/>
  <c r="AH9" i="14"/>
  <c r="AF9" i="14"/>
  <c r="AC10" i="14"/>
  <c r="AC11" i="14"/>
  <c r="AC12" i="14"/>
  <c r="AC13" i="14"/>
  <c r="AC9" i="14"/>
  <c r="AB10" i="14"/>
  <c r="AB11" i="14"/>
  <c r="AB12" i="14"/>
  <c r="AB13" i="14"/>
  <c r="AB9" i="14"/>
  <c r="AA10" i="14"/>
  <c r="AA11" i="14"/>
  <c r="AA12" i="14"/>
  <c r="AA13" i="14"/>
  <c r="AA9" i="14"/>
  <c r="X10" i="14"/>
  <c r="X11" i="14"/>
  <c r="X12" i="14"/>
  <c r="X13" i="14"/>
  <c r="X9" i="14"/>
  <c r="W10" i="14"/>
  <c r="W11" i="14"/>
  <c r="W12" i="14"/>
  <c r="W13" i="14"/>
  <c r="W9" i="14"/>
  <c r="V10" i="14"/>
  <c r="V11" i="14"/>
  <c r="V12" i="14"/>
  <c r="V13" i="14"/>
  <c r="V9" i="14"/>
  <c r="S10" i="14"/>
  <c r="S11" i="14"/>
  <c r="S12" i="14"/>
  <c r="S13" i="14"/>
  <c r="S9" i="14"/>
  <c r="R10" i="14"/>
  <c r="R11" i="14"/>
  <c r="R12" i="14"/>
  <c r="R13" i="14"/>
  <c r="R9" i="14"/>
  <c r="Q10" i="14"/>
  <c r="Q11" i="14"/>
  <c r="Q12" i="14"/>
  <c r="Q13" i="14"/>
  <c r="Q9" i="14"/>
  <c r="N10" i="14"/>
  <c r="N11" i="14"/>
  <c r="N12" i="14"/>
  <c r="N13" i="14"/>
  <c r="N9" i="14"/>
  <c r="M10" i="14"/>
  <c r="M11" i="14"/>
  <c r="M12" i="14"/>
  <c r="M13" i="14"/>
  <c r="M9" i="14"/>
  <c r="B70" i="18" l="1" a="1"/>
  <c r="C72" i="18" s="1"/>
  <c r="C58" i="11" a="1"/>
  <c r="C58" i="11" s="1"/>
  <c r="E10" i="11"/>
  <c r="AR48" i="62"/>
  <c r="AR51" i="62" s="1"/>
  <c r="G131" i="61"/>
  <c r="AU6" i="62" s="1"/>
  <c r="AR9" i="62" s="1"/>
  <c r="G132" i="61"/>
  <c r="AV6" i="62" s="1"/>
  <c r="AR10" i="62" s="1"/>
  <c r="G133" i="61"/>
  <c r="AT7" i="62" s="1"/>
  <c r="AS8" i="62" s="1"/>
  <c r="G134" i="61"/>
  <c r="AU7" i="62" s="1"/>
  <c r="AS9" i="62" s="1"/>
  <c r="G137" i="61"/>
  <c r="AV8" i="62" s="1"/>
  <c r="AT10" i="62" s="1"/>
  <c r="G138" i="61"/>
  <c r="AV9" i="62" s="1"/>
  <c r="G129" i="61"/>
  <c r="AS6" i="62" s="1"/>
  <c r="AR7" i="62" s="1"/>
  <c r="G102" i="61"/>
  <c r="AK6" i="62" s="1"/>
  <c r="G105" i="61"/>
  <c r="AK7" i="62" s="1"/>
  <c r="AI9" i="62" s="1"/>
  <c r="G106" i="61"/>
  <c r="AL7" i="62" s="1"/>
  <c r="AI10" i="62" s="1"/>
  <c r="G107" i="61"/>
  <c r="AK8" i="62" s="1"/>
  <c r="AJ9" i="62" s="1"/>
  <c r="G108" i="61"/>
  <c r="AL8" i="62" s="1"/>
  <c r="AJ10" i="62" s="1"/>
  <c r="G109" i="61"/>
  <c r="AL9" i="62" s="1"/>
  <c r="AK10" i="62" s="1"/>
  <c r="G100" i="61"/>
  <c r="AI6" i="62" s="1"/>
  <c r="AH7" i="62" s="1"/>
  <c r="G75" i="61"/>
  <c r="Y7" i="62" s="1"/>
  <c r="G76" i="61"/>
  <c r="Z7" i="62" s="1"/>
  <c r="G77" i="61"/>
  <c r="AA7" i="62" s="1"/>
  <c r="G78" i="61"/>
  <c r="Z8" i="62" s="1"/>
  <c r="G79" i="61"/>
  <c r="AA8" i="62" s="1"/>
  <c r="G80" i="61"/>
  <c r="AA9" i="62" s="1"/>
  <c r="W48" i="62"/>
  <c r="W51" i="62" s="1"/>
  <c r="M48" i="62"/>
  <c r="M51" i="62" s="1"/>
  <c r="C48" i="62"/>
  <c r="C51" i="62" s="1"/>
  <c r="G43" i="61"/>
  <c r="O6" i="62" s="1"/>
  <c r="G44" i="61"/>
  <c r="P6" i="62" s="1"/>
  <c r="G45" i="61"/>
  <c r="Q6" i="62" s="1"/>
  <c r="G46" i="61"/>
  <c r="O7" i="62" s="1"/>
  <c r="G47" i="61"/>
  <c r="P7" i="62" s="1"/>
  <c r="G48" i="61"/>
  <c r="Q7" i="62" s="1"/>
  <c r="G15" i="61"/>
  <c r="F6" i="62" s="1"/>
  <c r="C9" i="62" s="1"/>
  <c r="G16" i="61"/>
  <c r="G6" i="62" s="1"/>
  <c r="C10" i="62" s="1"/>
  <c r="G17" i="61"/>
  <c r="E7" i="62" s="1"/>
  <c r="D8" i="62" s="1"/>
  <c r="G18" i="61"/>
  <c r="F7" i="62" s="1"/>
  <c r="G19" i="61"/>
  <c r="G7" i="62" s="1"/>
  <c r="D10" i="62" s="1"/>
  <c r="G20" i="61"/>
  <c r="F8" i="62" s="1"/>
  <c r="E9" i="62" s="1"/>
  <c r="H17" i="12"/>
  <c r="E38" i="18" s="1"/>
  <c r="H16" i="12"/>
  <c r="E37" i="18" s="1"/>
  <c r="H15" i="12"/>
  <c r="D37" i="18" s="1"/>
  <c r="H12" i="12"/>
  <c r="D25" i="18" s="1"/>
  <c r="H9" i="12"/>
  <c r="D13" i="18" s="1"/>
  <c r="I24" i="45"/>
  <c r="G103" i="61" s="1"/>
  <c r="AL6" i="62" s="1"/>
  <c r="I23" i="45"/>
  <c r="I22" i="45"/>
  <c r="I21" i="45"/>
  <c r="I20" i="45"/>
  <c r="G136" i="61" s="1"/>
  <c r="AU8" i="62" s="1"/>
  <c r="AT9" i="62" s="1"/>
  <c r="I19" i="45"/>
  <c r="G72" i="61" s="1"/>
  <c r="Y6" i="62" s="1"/>
  <c r="W8" i="62" s="1"/>
  <c r="I18" i="45"/>
  <c r="G71" i="61" s="1"/>
  <c r="X6" i="62" s="1"/>
  <c r="E130" i="61"/>
  <c r="E131" i="61"/>
  <c r="E132" i="61"/>
  <c r="E133" i="61"/>
  <c r="E134" i="61"/>
  <c r="E135" i="61"/>
  <c r="E136" i="61"/>
  <c r="E137" i="61"/>
  <c r="E138" i="61"/>
  <c r="E129" i="61"/>
  <c r="C130" i="61"/>
  <c r="C131" i="61"/>
  <c r="C132" i="61"/>
  <c r="C133" i="61"/>
  <c r="C134" i="61"/>
  <c r="C135" i="61"/>
  <c r="C136" i="61"/>
  <c r="C137" i="61"/>
  <c r="C138" i="61"/>
  <c r="C129" i="61"/>
  <c r="E72" i="61"/>
  <c r="E73" i="61"/>
  <c r="E74" i="61"/>
  <c r="E75" i="61"/>
  <c r="E76" i="61"/>
  <c r="E77" i="61"/>
  <c r="E78" i="61"/>
  <c r="E79" i="61"/>
  <c r="E80" i="61"/>
  <c r="E71" i="61"/>
  <c r="C72" i="61"/>
  <c r="C73" i="61"/>
  <c r="C74" i="61"/>
  <c r="C75" i="61"/>
  <c r="C76" i="61"/>
  <c r="C77" i="61"/>
  <c r="C78" i="61"/>
  <c r="C79" i="61"/>
  <c r="C80" i="61"/>
  <c r="C71" i="61"/>
  <c r="E101" i="61"/>
  <c r="E102" i="61"/>
  <c r="E103" i="61"/>
  <c r="E104" i="61"/>
  <c r="E105" i="61"/>
  <c r="E106" i="61"/>
  <c r="E107" i="61"/>
  <c r="E108" i="61"/>
  <c r="E109" i="61"/>
  <c r="E100" i="61"/>
  <c r="C108" i="61"/>
  <c r="C109" i="61"/>
  <c r="C101" i="61"/>
  <c r="C102" i="61"/>
  <c r="C103" i="61"/>
  <c r="C104" i="61"/>
  <c r="C105" i="61"/>
  <c r="C106" i="61"/>
  <c r="C107" i="61"/>
  <c r="C100" i="61"/>
  <c r="E43" i="61"/>
  <c r="E44" i="61"/>
  <c r="E45" i="61"/>
  <c r="E46" i="61"/>
  <c r="E47" i="61"/>
  <c r="E48" i="61"/>
  <c r="E49" i="61"/>
  <c r="E50" i="61"/>
  <c r="E51" i="61"/>
  <c r="E42" i="61"/>
  <c r="C43" i="61"/>
  <c r="C44" i="61"/>
  <c r="C45" i="61"/>
  <c r="C46" i="61"/>
  <c r="C47" i="61"/>
  <c r="C48" i="61"/>
  <c r="C49" i="61"/>
  <c r="C50" i="61"/>
  <c r="C51" i="61"/>
  <c r="C42" i="61"/>
  <c r="E14" i="61"/>
  <c r="E15" i="61"/>
  <c r="E16" i="61"/>
  <c r="E17" i="61"/>
  <c r="E18" i="61"/>
  <c r="E19" i="61"/>
  <c r="E20" i="61"/>
  <c r="E21" i="61"/>
  <c r="E22" i="61"/>
  <c r="E13" i="61"/>
  <c r="C14" i="61"/>
  <c r="C15" i="61"/>
  <c r="C16" i="61"/>
  <c r="C17" i="61"/>
  <c r="C18" i="61"/>
  <c r="C19" i="61"/>
  <c r="C20" i="61"/>
  <c r="C21" i="61"/>
  <c r="C22" i="61"/>
  <c r="C13" i="61"/>
  <c r="G135" i="61" l="1"/>
  <c r="AV7" i="62" s="1"/>
  <c r="AS10" i="62" s="1"/>
  <c r="AS11" i="62" s="1"/>
  <c r="G14" i="61"/>
  <c r="E6" i="62" s="1"/>
  <c r="C8" i="62" s="1"/>
  <c r="G74" i="61"/>
  <c r="AA6" i="62" s="1"/>
  <c r="W10" i="62" s="1"/>
  <c r="G104" i="61"/>
  <c r="AJ7" i="62" s="1"/>
  <c r="AI8" i="62" s="1"/>
  <c r="AI11" i="62" s="1"/>
  <c r="AI20" i="62" s="1"/>
  <c r="G13" i="61"/>
  <c r="D6" i="62" s="1"/>
  <c r="C7" i="62" s="1"/>
  <c r="G42" i="61"/>
  <c r="N6" i="62" s="1"/>
  <c r="M7" i="62" s="1"/>
  <c r="G73" i="61"/>
  <c r="Z6" i="62" s="1"/>
  <c r="W9" i="62" s="1"/>
  <c r="W11" i="62" s="1"/>
  <c r="G22" i="61"/>
  <c r="G9" i="62" s="1"/>
  <c r="F10" i="62" s="1"/>
  <c r="F11" i="62" s="1"/>
  <c r="G50" i="61"/>
  <c r="Q8" i="62" s="1"/>
  <c r="O10" i="62" s="1"/>
  <c r="G21" i="61"/>
  <c r="G8" i="62" s="1"/>
  <c r="E10" i="62" s="1"/>
  <c r="G49" i="61"/>
  <c r="P8" i="62" s="1"/>
  <c r="O9" i="62" s="1"/>
  <c r="G51" i="61"/>
  <c r="Q9" i="62" s="1"/>
  <c r="P10" i="62" s="1"/>
  <c r="G101" i="61"/>
  <c r="AJ6" i="62" s="1"/>
  <c r="AH8" i="62" s="1"/>
  <c r="G130" i="61"/>
  <c r="AT6" i="62" s="1"/>
  <c r="AR8" i="62" s="1"/>
  <c r="AR11" i="62" s="1"/>
  <c r="AR19" i="62" s="1"/>
  <c r="E79" i="18"/>
  <c r="D72" i="18"/>
  <c r="G71" i="18"/>
  <c r="C71" i="18"/>
  <c r="G74" i="18"/>
  <c r="E72" i="18"/>
  <c r="C76" i="18"/>
  <c r="E78" i="18"/>
  <c r="G75" i="18"/>
  <c r="G78" i="18"/>
  <c r="D78" i="18"/>
  <c r="E75" i="18"/>
  <c r="C78" i="18"/>
  <c r="E74" i="18"/>
  <c r="E71" i="18"/>
  <c r="G77" i="18"/>
  <c r="D74" i="18"/>
  <c r="E77" i="18"/>
  <c r="C74" i="18"/>
  <c r="G76" i="18"/>
  <c r="G73" i="18"/>
  <c r="E76" i="18"/>
  <c r="E73" i="18"/>
  <c r="G79" i="18"/>
  <c r="D76" i="18"/>
  <c r="G72" i="18"/>
  <c r="F78" i="18"/>
  <c r="F76" i="18"/>
  <c r="F74" i="18"/>
  <c r="F72" i="18"/>
  <c r="F79" i="18"/>
  <c r="F77" i="18"/>
  <c r="F75" i="18"/>
  <c r="F73" i="18"/>
  <c r="F71" i="18"/>
  <c r="D79" i="18"/>
  <c r="D77" i="18"/>
  <c r="D75" i="18"/>
  <c r="D73" i="18"/>
  <c r="D71" i="18"/>
  <c r="C79" i="18"/>
  <c r="C77" i="18"/>
  <c r="C75" i="18"/>
  <c r="C73" i="18"/>
  <c r="B70" i="18"/>
  <c r="AU10" i="62"/>
  <c r="AH10" i="62"/>
  <c r="AK11" i="62"/>
  <c r="AK18" i="62" s="1"/>
  <c r="AH9" i="62"/>
  <c r="AH26" i="62" s="1" a="1"/>
  <c r="AH26" i="62" s="1"/>
  <c r="AL11" i="62"/>
  <c r="Y9" i="62"/>
  <c r="Y10" i="62"/>
  <c r="X9" i="62"/>
  <c r="Z10" i="62"/>
  <c r="X10" i="62"/>
  <c r="X8" i="62"/>
  <c r="W7" i="62"/>
  <c r="M8" i="62"/>
  <c r="M9" i="62"/>
  <c r="N10" i="62"/>
  <c r="N8" i="62"/>
  <c r="N9" i="62"/>
  <c r="D9" i="62"/>
  <c r="E11" i="62" l="1"/>
  <c r="AV11" i="62"/>
  <c r="AA11" i="62"/>
  <c r="AA19" i="62" s="1"/>
  <c r="AJ11" i="62"/>
  <c r="AJ18" i="62" s="1"/>
  <c r="AT11" i="62"/>
  <c r="AT17" i="62" s="1"/>
  <c r="C26" i="62" a="1"/>
  <c r="C26" i="62" s="1"/>
  <c r="AR20" i="62"/>
  <c r="AR17" i="62"/>
  <c r="AR18" i="62"/>
  <c r="AU11" i="62"/>
  <c r="AU20" i="62" s="1"/>
  <c r="AR26" i="62" a="1"/>
  <c r="AR26" i="62" s="1"/>
  <c r="W26" i="62" a="1"/>
  <c r="W26" i="62" s="1"/>
  <c r="AR16" i="62"/>
  <c r="H78" i="18"/>
  <c r="H76" i="18"/>
  <c r="L77" i="18"/>
  <c r="L79" i="18"/>
  <c r="L76" i="18"/>
  <c r="L75" i="18"/>
  <c r="L78" i="18"/>
  <c r="K76" i="18"/>
  <c r="K78" i="18"/>
  <c r="K75" i="18"/>
  <c r="K77" i="18"/>
  <c r="K79" i="18"/>
  <c r="J77" i="18"/>
  <c r="J78" i="18"/>
  <c r="J76" i="18"/>
  <c r="J75" i="18"/>
  <c r="J79" i="18"/>
  <c r="I75" i="18"/>
  <c r="I79" i="18"/>
  <c r="I77" i="18"/>
  <c r="I78" i="18"/>
  <c r="H75" i="18"/>
  <c r="H77" i="18"/>
  <c r="I76" i="18"/>
  <c r="H79" i="18"/>
  <c r="C70" i="18"/>
  <c r="D70" i="18"/>
  <c r="F70" i="18"/>
  <c r="E70" i="18"/>
  <c r="G70" i="18"/>
  <c r="AI19" i="62"/>
  <c r="AI18" i="62"/>
  <c r="AT16" i="62"/>
  <c r="AT18" i="62"/>
  <c r="Y11" i="62"/>
  <c r="Y18" i="62" s="1"/>
  <c r="AS17" i="62"/>
  <c r="AS20" i="62"/>
  <c r="AS16" i="62"/>
  <c r="AS18" i="62"/>
  <c r="AS19" i="62"/>
  <c r="AT20" i="62"/>
  <c r="AV18" i="62"/>
  <c r="AV17" i="62"/>
  <c r="AV20" i="62"/>
  <c r="AV16" i="62"/>
  <c r="AV19" i="62"/>
  <c r="AL20" i="62"/>
  <c r="AL18" i="62"/>
  <c r="AL17" i="62"/>
  <c r="AL19" i="62"/>
  <c r="AH11" i="62"/>
  <c r="AH19" i="62" s="1"/>
  <c r="AK16" i="62"/>
  <c r="AK19" i="62"/>
  <c r="AK20" i="62"/>
  <c r="AA17" i="62"/>
  <c r="AJ17" i="62"/>
  <c r="AJ20" i="62"/>
  <c r="AL16" i="62"/>
  <c r="AI16" i="62"/>
  <c r="AI17" i="62"/>
  <c r="AJ16" i="62"/>
  <c r="AH48" i="62"/>
  <c r="AH51" i="62" s="1"/>
  <c r="AK17" i="62"/>
  <c r="AJ19" i="62"/>
  <c r="X11" i="62"/>
  <c r="X16" i="62" s="1"/>
  <c r="AA20" i="62"/>
  <c r="AA16" i="62"/>
  <c r="Z11" i="62"/>
  <c r="AA18" i="62"/>
  <c r="W17" i="62"/>
  <c r="W19" i="62"/>
  <c r="W18" i="62"/>
  <c r="W20" i="62"/>
  <c r="W16" i="62"/>
  <c r="G11" i="62"/>
  <c r="G20" i="62" s="1"/>
  <c r="N11" i="62"/>
  <c r="P11" i="62"/>
  <c r="F20" i="62"/>
  <c r="O11" i="62"/>
  <c r="Q11" i="62"/>
  <c r="M10" i="62"/>
  <c r="M26" i="62" s="1" a="1"/>
  <c r="M26" i="62" s="1"/>
  <c r="E18" i="62"/>
  <c r="E16" i="62"/>
  <c r="E17" i="62"/>
  <c r="F19" i="62"/>
  <c r="F17" i="62"/>
  <c r="F16" i="62"/>
  <c r="F18" i="62"/>
  <c r="E19" i="62"/>
  <c r="E20" i="62"/>
  <c r="C11" i="62"/>
  <c r="D11" i="62"/>
  <c r="C37" i="45"/>
  <c r="AT19" i="62" l="1"/>
  <c r="AU16" i="62"/>
  <c r="AU17" i="62"/>
  <c r="AU19" i="62"/>
  <c r="AR21" i="62"/>
  <c r="X20" i="62"/>
  <c r="AU18" i="62"/>
  <c r="AU21" i="62" s="1"/>
  <c r="W77" i="18"/>
  <c r="Y76" i="18"/>
  <c r="Y78" i="18"/>
  <c r="U77" i="18"/>
  <c r="U76" i="18"/>
  <c r="Y79" i="18"/>
  <c r="W79" i="18"/>
  <c r="V78" i="18"/>
  <c r="U78" i="18"/>
  <c r="X77" i="18"/>
  <c r="W75" i="18"/>
  <c r="W76" i="18"/>
  <c r="U75" i="18"/>
  <c r="X79" i="18"/>
  <c r="U79" i="18"/>
  <c r="V75" i="18"/>
  <c r="V77" i="18"/>
  <c r="V76" i="18"/>
  <c r="V79" i="18"/>
  <c r="Y75" i="18"/>
  <c r="Y77" i="18"/>
  <c r="X78" i="18"/>
  <c r="X75" i="18"/>
  <c r="X76" i="18"/>
  <c r="W78" i="18"/>
  <c r="X19" i="62"/>
  <c r="X18" i="62"/>
  <c r="Y19" i="62"/>
  <c r="G17" i="62"/>
  <c r="Y17" i="62"/>
  <c r="Y20" i="62"/>
  <c r="AV21" i="62"/>
  <c r="X17" i="62"/>
  <c r="AS21" i="62"/>
  <c r="AJ21" i="62"/>
  <c r="Y16" i="62"/>
  <c r="G16" i="62"/>
  <c r="AL21" i="62"/>
  <c r="AT21" i="62"/>
  <c r="AI21" i="62"/>
  <c r="AH16" i="62"/>
  <c r="AH18" i="62"/>
  <c r="AH17" i="62"/>
  <c r="AH20" i="62"/>
  <c r="AK21" i="62"/>
  <c r="G19" i="62"/>
  <c r="G18" i="62"/>
  <c r="Z19" i="62"/>
  <c r="Z16" i="62"/>
  <c r="Z18" i="62"/>
  <c r="Z17" i="62"/>
  <c r="Z20" i="62"/>
  <c r="AA21" i="62"/>
  <c r="W21" i="62"/>
  <c r="O18" i="62"/>
  <c r="O16" i="62"/>
  <c r="O17" i="62"/>
  <c r="P19" i="62"/>
  <c r="P16" i="62"/>
  <c r="P17" i="62"/>
  <c r="P20" i="62"/>
  <c r="P18" i="62"/>
  <c r="N17" i="62"/>
  <c r="N16" i="62"/>
  <c r="N19" i="62"/>
  <c r="O20" i="62"/>
  <c r="O19" i="62"/>
  <c r="M11" i="62"/>
  <c r="M20" i="62" s="1"/>
  <c r="Q20" i="62"/>
  <c r="Q17" i="62"/>
  <c r="Q18" i="62"/>
  <c r="Q16" i="62"/>
  <c r="Q19" i="62"/>
  <c r="N18" i="62"/>
  <c r="N20" i="62"/>
  <c r="C17" i="62"/>
  <c r="D17" i="62"/>
  <c r="D18" i="62"/>
  <c r="D20" i="62"/>
  <c r="D16" i="62"/>
  <c r="C18" i="62"/>
  <c r="C19" i="62"/>
  <c r="C20" i="62"/>
  <c r="C16" i="62"/>
  <c r="D19" i="62"/>
  <c r="O21" i="62" l="1"/>
  <c r="AU39" i="62"/>
  <c r="Y21" i="62"/>
  <c r="X21" i="62"/>
  <c r="AU38" i="62"/>
  <c r="AU37" i="62"/>
  <c r="AU36" i="62"/>
  <c r="AU35" i="62"/>
  <c r="AS29" i="62"/>
  <c r="C151" i="61" s="1"/>
  <c r="AS27" i="62"/>
  <c r="AS30" i="62"/>
  <c r="C152" i="61" s="1"/>
  <c r="AS28" i="62"/>
  <c r="AS26" i="62"/>
  <c r="C148" i="61" s="1"/>
  <c r="AR37" i="62"/>
  <c r="AR38" i="62"/>
  <c r="AR39" i="62"/>
  <c r="AR35" i="62"/>
  <c r="AR36" i="62"/>
  <c r="AV37" i="62"/>
  <c r="AV39" i="62"/>
  <c r="AV35" i="62"/>
  <c r="AV36" i="62"/>
  <c r="AV38" i="62"/>
  <c r="AS36" i="62"/>
  <c r="AS39" i="62"/>
  <c r="AS37" i="62"/>
  <c r="AS38" i="62"/>
  <c r="AS35" i="62"/>
  <c r="AT37" i="62"/>
  <c r="AT38" i="62"/>
  <c r="AT35" i="62"/>
  <c r="AT39" i="62"/>
  <c r="AT36" i="62"/>
  <c r="AL37" i="62"/>
  <c r="AL38" i="62"/>
  <c r="AL39" i="62"/>
  <c r="AL35" i="62"/>
  <c r="AL36" i="62"/>
  <c r="AH21" i="62"/>
  <c r="AI26" i="62"/>
  <c r="C119" i="61" s="1"/>
  <c r="AK35" i="62"/>
  <c r="AK38" i="62"/>
  <c r="AK39" i="62"/>
  <c r="AK36" i="62"/>
  <c r="AK37" i="62"/>
  <c r="AI36" i="62"/>
  <c r="AI35" i="62"/>
  <c r="AI38" i="62"/>
  <c r="AI37" i="62"/>
  <c r="AI39" i="62"/>
  <c r="AJ35" i="62"/>
  <c r="AJ37" i="62"/>
  <c r="AJ36" i="62"/>
  <c r="AJ38" i="62"/>
  <c r="AJ39" i="62"/>
  <c r="X37" i="62"/>
  <c r="Z35" i="62"/>
  <c r="X39" i="62"/>
  <c r="Z39" i="62"/>
  <c r="P21" i="62"/>
  <c r="AA38" i="62"/>
  <c r="AA35" i="62"/>
  <c r="Y37" i="62"/>
  <c r="Y36" i="62"/>
  <c r="Y39" i="62"/>
  <c r="Y38" i="62"/>
  <c r="Y35" i="62"/>
  <c r="X36" i="62"/>
  <c r="X35" i="62"/>
  <c r="Z21" i="62"/>
  <c r="Z37" i="62"/>
  <c r="Z38" i="62"/>
  <c r="X38" i="62"/>
  <c r="X26" i="62"/>
  <c r="C90" i="61" s="1"/>
  <c r="Q21" i="62"/>
  <c r="M16" i="62"/>
  <c r="M17" i="62"/>
  <c r="M19" i="62"/>
  <c r="M18" i="62"/>
  <c r="N21" i="62"/>
  <c r="D39" i="18"/>
  <c r="L72" i="18" l="1"/>
  <c r="Y72" i="18" s="1"/>
  <c r="C149" i="61"/>
  <c r="L70" i="18"/>
  <c r="Y70" i="18" s="1"/>
  <c r="C150" i="61"/>
  <c r="L74" i="18"/>
  <c r="Y74" i="18" s="1"/>
  <c r="L71" i="18"/>
  <c r="Y71" i="18" s="1"/>
  <c r="L73" i="18"/>
  <c r="Y73" i="18" s="1"/>
  <c r="AA39" i="62"/>
  <c r="Z36" i="62"/>
  <c r="AA36" i="62"/>
  <c r="AA37" i="62"/>
  <c r="X27" i="62"/>
  <c r="C91" i="61" s="1"/>
  <c r="X29" i="62"/>
  <c r="C93" i="61" s="1"/>
  <c r="N29" i="62"/>
  <c r="C64" i="61" s="1"/>
  <c r="N27" i="62"/>
  <c r="C62" i="61" s="1"/>
  <c r="N26" i="62"/>
  <c r="C61" i="61" s="1"/>
  <c r="D30" i="62"/>
  <c r="AI27" i="62"/>
  <c r="AI29" i="62"/>
  <c r="AI28" i="62"/>
  <c r="C121" i="61" s="1"/>
  <c r="D26" i="62"/>
  <c r="C32" i="61" s="1"/>
  <c r="D28" i="62"/>
  <c r="D27" i="62"/>
  <c r="C33" i="61" s="1"/>
  <c r="N30" i="62"/>
  <c r="AI30" i="62"/>
  <c r="D29" i="62"/>
  <c r="C35" i="61" s="1"/>
  <c r="N28" i="62"/>
  <c r="C63" i="61" s="1"/>
  <c r="X28" i="62"/>
  <c r="X30" i="62"/>
  <c r="C94" i="61" s="1"/>
  <c r="AW35" i="62"/>
  <c r="AR42" i="62" s="1"/>
  <c r="AW39" i="62"/>
  <c r="AR46" i="62" s="1"/>
  <c r="AW38" i="62"/>
  <c r="AR45" i="62" s="1"/>
  <c r="AW36" i="62"/>
  <c r="AR43" i="62" s="1"/>
  <c r="AW37" i="62"/>
  <c r="AR44" i="62" s="1"/>
  <c r="AH35" i="62"/>
  <c r="AM35" i="62" s="1"/>
  <c r="AH42" i="62" s="1"/>
  <c r="AH37" i="62"/>
  <c r="AM37" i="62" s="1"/>
  <c r="AH44" i="62" s="1"/>
  <c r="AH36" i="62"/>
  <c r="AM36" i="62" s="1"/>
  <c r="AH43" i="62" s="1"/>
  <c r="AH38" i="62"/>
  <c r="AM38" i="62" s="1"/>
  <c r="AH45" i="62" s="1"/>
  <c r="AH39" i="62"/>
  <c r="AM39" i="62" s="1"/>
  <c r="AH46" i="62" s="1"/>
  <c r="W39" i="62"/>
  <c r="W37" i="62"/>
  <c r="W36" i="62"/>
  <c r="W38" i="62"/>
  <c r="AB38" i="62" s="1"/>
  <c r="W45" i="62" s="1"/>
  <c r="W35" i="62"/>
  <c r="AB35" i="62" s="1"/>
  <c r="W42" i="62" s="1"/>
  <c r="O35" i="62"/>
  <c r="O37" i="62"/>
  <c r="O36" i="62"/>
  <c r="O38" i="62"/>
  <c r="O39" i="62"/>
  <c r="N36" i="62"/>
  <c r="N35" i="62"/>
  <c r="N39" i="62"/>
  <c r="N37" i="62"/>
  <c r="N38" i="62"/>
  <c r="P37" i="62"/>
  <c r="P38" i="62"/>
  <c r="P36" i="62"/>
  <c r="P35" i="62"/>
  <c r="P39" i="62"/>
  <c r="M35" i="62"/>
  <c r="M36" i="62"/>
  <c r="M38" i="62"/>
  <c r="M37" i="62"/>
  <c r="M39" i="62"/>
  <c r="M21" i="62"/>
  <c r="Q39" i="62"/>
  <c r="Q38" i="62"/>
  <c r="Q35" i="62"/>
  <c r="Q36" i="62"/>
  <c r="Q37" i="62"/>
  <c r="D15" i="18"/>
  <c r="D19" i="18" s="1"/>
  <c r="C14" i="18"/>
  <c r="C15" i="18" s="1"/>
  <c r="C18" i="18" s="1"/>
  <c r="H71" i="18" l="1"/>
  <c r="U71" i="18" s="1"/>
  <c r="C36" i="61"/>
  <c r="K71" i="18"/>
  <c r="X71" i="18" s="1"/>
  <c r="C122" i="61"/>
  <c r="J72" i="18"/>
  <c r="W72" i="18" s="1"/>
  <c r="C92" i="61"/>
  <c r="K72" i="18"/>
  <c r="X72" i="18" s="1"/>
  <c r="C120" i="61"/>
  <c r="K74" i="18"/>
  <c r="X74" i="18" s="1"/>
  <c r="C123" i="61"/>
  <c r="H72" i="18"/>
  <c r="U72" i="18" s="1"/>
  <c r="C34" i="61"/>
  <c r="I74" i="18"/>
  <c r="V74" i="18" s="1"/>
  <c r="C65" i="61"/>
  <c r="AB36" i="62"/>
  <c r="W43" i="62" s="1"/>
  <c r="AB39" i="62"/>
  <c r="W46" i="62" s="1"/>
  <c r="I72" i="18"/>
  <c r="V72" i="18" s="1"/>
  <c r="I71" i="18"/>
  <c r="V71" i="18" s="1"/>
  <c r="J73" i="18"/>
  <c r="W73" i="18" s="1"/>
  <c r="J70" i="18"/>
  <c r="W70" i="18" s="1"/>
  <c r="K73" i="18"/>
  <c r="X73" i="18" s="1"/>
  <c r="K70" i="18"/>
  <c r="X70" i="18" s="1"/>
  <c r="J71" i="18"/>
  <c r="W71" i="18" s="1"/>
  <c r="J74" i="18"/>
  <c r="W74" i="18" s="1"/>
  <c r="I73" i="18"/>
  <c r="V73" i="18" s="1"/>
  <c r="I70" i="18"/>
  <c r="V70" i="18" s="1"/>
  <c r="H73" i="18"/>
  <c r="U73" i="18" s="1"/>
  <c r="H74" i="18"/>
  <c r="U74" i="18" s="1"/>
  <c r="H70" i="18"/>
  <c r="U70" i="18" s="1"/>
  <c r="AB37" i="62"/>
  <c r="W44" i="62" s="1"/>
  <c r="AR49" i="62"/>
  <c r="AR50" i="62" s="1"/>
  <c r="AR52" i="62" s="1"/>
  <c r="AH49" i="62"/>
  <c r="AH50" i="62" s="1"/>
  <c r="AH52" i="62" s="1"/>
  <c r="C39" i="18"/>
  <c r="C26" i="18"/>
  <c r="C27" i="18" s="1"/>
  <c r="D18" i="18"/>
  <c r="E18" i="18" s="1"/>
  <c r="C19" i="18"/>
  <c r="E19" i="18" s="1"/>
  <c r="W49" i="62" l="1"/>
  <c r="W50" i="62" s="1"/>
  <c r="W52" i="62" s="1"/>
  <c r="W53" i="62" s="1"/>
  <c r="AR53" i="62"/>
  <c r="G140" i="61"/>
  <c r="AH53" i="62"/>
  <c r="G111" i="61"/>
  <c r="C38" i="18"/>
  <c r="E20" i="18"/>
  <c r="F19" i="18"/>
  <c r="F18" i="18"/>
  <c r="E40" i="18"/>
  <c r="D40" i="18"/>
  <c r="D27" i="18"/>
  <c r="D31" i="18" s="1"/>
  <c r="C31" i="18"/>
  <c r="C30" i="18"/>
  <c r="G82" i="61" l="1"/>
  <c r="G37" i="54"/>
  <c r="H37" i="54" s="1"/>
  <c r="F29" i="12"/>
  <c r="G34" i="54"/>
  <c r="H34" i="54" s="1"/>
  <c r="F26" i="12"/>
  <c r="C40" i="18"/>
  <c r="C45" i="18" s="1"/>
  <c r="F20" i="18"/>
  <c r="C61" i="18"/>
  <c r="C60" i="18"/>
  <c r="C64" i="18"/>
  <c r="C63" i="18"/>
  <c r="C62" i="18"/>
  <c r="E31" i="18"/>
  <c r="D30" i="18"/>
  <c r="E30" i="18" s="1"/>
  <c r="E45" i="18"/>
  <c r="E44" i="18"/>
  <c r="E43" i="18"/>
  <c r="D44" i="18"/>
  <c r="D45" i="18"/>
  <c r="D43" i="18"/>
  <c r="G28" i="12" l="1"/>
  <c r="G27" i="12"/>
  <c r="G31" i="12"/>
  <c r="G32" i="12"/>
  <c r="G30" i="12"/>
  <c r="C43" i="18"/>
  <c r="G26" i="12"/>
  <c r="G29" i="12"/>
  <c r="C44" i="18"/>
  <c r="F44" i="18" s="1"/>
  <c r="F43" i="18"/>
  <c r="F30" i="18"/>
  <c r="E32" i="18"/>
  <c r="F31" i="18"/>
  <c r="F45" i="18"/>
  <c r="F32" i="18" l="1"/>
  <c r="D61" i="18"/>
  <c r="F28" i="12" s="1"/>
  <c r="D60" i="18"/>
  <c r="F27" i="12" s="1"/>
  <c r="F46" i="18"/>
  <c r="G44" i="18"/>
  <c r="G43" i="18"/>
  <c r="G45" i="18"/>
  <c r="C48" i="18" l="1"/>
  <c r="C50" i="18" s="1"/>
  <c r="C52" i="18" s="1"/>
  <c r="E60" i="18"/>
  <c r="M74" i="18" s="1"/>
  <c r="G35" i="54"/>
  <c r="E61" i="18"/>
  <c r="N73" i="18" s="1"/>
  <c r="G36" i="54"/>
  <c r="D63" i="18"/>
  <c r="F31" i="12" s="1"/>
  <c r="D62" i="18"/>
  <c r="F30" i="12" s="1"/>
  <c r="D64" i="18"/>
  <c r="F32" i="12" s="1"/>
  <c r="G46" i="18"/>
  <c r="M73" i="18" l="1"/>
  <c r="M71" i="18"/>
  <c r="M72" i="18"/>
  <c r="M70" i="18"/>
  <c r="N72" i="18"/>
  <c r="N70" i="18"/>
  <c r="E64" i="18"/>
  <c r="Q70" i="18" s="1"/>
  <c r="G40" i="54"/>
  <c r="E62" i="18"/>
  <c r="O74" i="18" s="1"/>
  <c r="G38" i="54"/>
  <c r="E63" i="18"/>
  <c r="P72" i="18" s="1"/>
  <c r="G39" i="54"/>
  <c r="N78" i="18"/>
  <c r="N77" i="18"/>
  <c r="N76" i="18"/>
  <c r="N79" i="18"/>
  <c r="N75" i="18"/>
  <c r="N74" i="18"/>
  <c r="N71" i="18"/>
  <c r="M78" i="18"/>
  <c r="M76" i="18"/>
  <c r="M79" i="18"/>
  <c r="M75" i="18"/>
  <c r="M77" i="18"/>
  <c r="F21" i="12"/>
  <c r="C53" i="18"/>
  <c r="O70" i="18" l="1"/>
  <c r="O71" i="18"/>
  <c r="Q74" i="18"/>
  <c r="Q72" i="18"/>
  <c r="Q73" i="18"/>
  <c r="Q71" i="18"/>
  <c r="P71" i="18"/>
  <c r="F62" i="18"/>
  <c r="E65" i="18"/>
  <c r="P78" i="18"/>
  <c r="P76" i="18"/>
  <c r="P75" i="18"/>
  <c r="P77" i="18"/>
  <c r="P79" i="18"/>
  <c r="F64" i="18"/>
  <c r="F63" i="18"/>
  <c r="P70" i="18"/>
  <c r="O79" i="18"/>
  <c r="O75" i="18"/>
  <c r="O76" i="18"/>
  <c r="O78" i="18"/>
  <c r="O77" i="18"/>
  <c r="F61" i="18"/>
  <c r="O73" i="18"/>
  <c r="P73" i="18"/>
  <c r="F60" i="18"/>
  <c r="O72" i="18"/>
  <c r="P74" i="18"/>
  <c r="Q77" i="18"/>
  <c r="Q75" i="18"/>
  <c r="Q79" i="18"/>
  <c r="Q76" i="18"/>
  <c r="Q78" i="18"/>
  <c r="R70" i="18" l="1"/>
  <c r="R72" i="18"/>
  <c r="R74" i="18"/>
  <c r="R71" i="18"/>
  <c r="R75" i="18"/>
  <c r="R79" i="18"/>
  <c r="R78" i="18"/>
  <c r="R76" i="18"/>
  <c r="S76" i="18" s="1"/>
  <c r="R73" i="18"/>
  <c r="R77" i="18"/>
  <c r="S75" i="18"/>
  <c r="T70" i="18" l="1"/>
  <c r="S71" i="18"/>
  <c r="S70" i="18"/>
  <c r="T71" i="18"/>
  <c r="S73" i="18"/>
  <c r="T77" i="18"/>
  <c r="S77" i="18"/>
  <c r="T75" i="18"/>
  <c r="S72" i="18"/>
  <c r="T78" i="18"/>
  <c r="T73" i="18"/>
  <c r="S79" i="18"/>
  <c r="S78" i="18"/>
  <c r="S74" i="18"/>
  <c r="T74" i="18"/>
  <c r="T79" i="18"/>
  <c r="T76" i="18"/>
  <c r="T72" i="18"/>
  <c r="C21" i="62"/>
  <c r="D21" i="62"/>
  <c r="E21" i="62"/>
  <c r="F21" i="62"/>
  <c r="G21" i="62"/>
  <c r="G36" i="62" l="1"/>
  <c r="G39" i="62"/>
  <c r="G37" i="62"/>
  <c r="G35" i="62"/>
  <c r="G38" i="62"/>
  <c r="F35" i="62"/>
  <c r="F38" i="62"/>
  <c r="F39" i="62"/>
  <c r="F37" i="62"/>
  <c r="F36" i="62"/>
  <c r="E35" i="62"/>
  <c r="E36" i="62"/>
  <c r="E37" i="62"/>
  <c r="E38" i="62"/>
  <c r="E39" i="62"/>
  <c r="D36" i="62"/>
  <c r="D39" i="62"/>
  <c r="D37" i="62"/>
  <c r="D35" i="62"/>
  <c r="D38" i="62"/>
  <c r="C35" i="62"/>
  <c r="C37" i="62"/>
  <c r="C39" i="62"/>
  <c r="C38" i="62"/>
  <c r="C36" i="62"/>
  <c r="R36" i="62" l="1"/>
  <c r="M43" i="62" s="1"/>
  <c r="R38" i="62"/>
  <c r="M45" i="62" s="1"/>
  <c r="R39" i="62"/>
  <c r="M46" i="62" s="1"/>
  <c r="R35" i="62"/>
  <c r="M42" i="62" s="1"/>
  <c r="R37" i="62"/>
  <c r="M44" i="62" s="1"/>
  <c r="H36" i="62"/>
  <c r="H38" i="62"/>
  <c r="H39" i="62"/>
  <c r="H37" i="62"/>
  <c r="H35" i="62"/>
  <c r="M49" i="62" l="1"/>
  <c r="M50" i="62" s="1"/>
  <c r="M52" i="62" s="1"/>
  <c r="G53" i="61" s="1"/>
  <c r="C42" i="62"/>
  <c r="C44" i="62"/>
  <c r="C46" i="62"/>
  <c r="C45" i="62"/>
  <c r="C43" i="62"/>
  <c r="M53" i="62" l="1"/>
  <c r="C49" i="62"/>
  <c r="C50" i="62" s="1"/>
  <c r="C52" i="62" s="1"/>
  <c r="G24" i="61" s="1"/>
  <c r="C53" i="6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<sst xmlns="http://schemas.openxmlformats.org/spreadsheetml/2006/main" count="1470" uniqueCount="673">
  <si>
    <t>EA Smell Prioritization Tool</t>
  </si>
  <si>
    <t>AHP-Based Decision Support  |  Enterprise Architecture</t>
  </si>
  <si>
    <t xml:space="preserve">Project </t>
  </si>
  <si>
    <t>EA Smell Prioritisation Toolkit
(AHP-Based Decision Support)</t>
  </si>
  <si>
    <t>v1.0</t>
  </si>
  <si>
    <t>Owner:</t>
  </si>
  <si>
    <t>Tolkounai K.</t>
  </si>
  <si>
    <t>PURPOSE</t>
  </si>
  <si>
    <t>HOW TO USE</t>
  </si>
  <si>
    <t>Access</t>
  </si>
  <si>
    <t>Step 1</t>
  </si>
  <si>
    <t>1.0 Case Context</t>
  </si>
  <si>
    <t>Read-Only</t>
  </si>
  <si>
    <t>Step 2</t>
  </si>
  <si>
    <t>Step 3</t>
  </si>
  <si>
    <t>Step 4</t>
  </si>
  <si>
    <t>Step 5</t>
  </si>
  <si>
    <t>SHEET OVERVIEW</t>
  </si>
  <si>
    <t>Sheet</t>
  </si>
  <si>
    <t>Description</t>
  </si>
  <si>
    <t>EA Smell Catalogue</t>
  </si>
  <si>
    <t>AHP Reference Tables (Saaty Scale and Consistency Guidelines)</t>
  </si>
  <si>
    <t>Saaty, T. L. (1980). *The Analytic Hierarchy Process: Planning, Priority Setting, Resource Allocation*. New York: McGraw-Hill.</t>
  </si>
  <si>
    <t>AHP SCALE REFERENCE  (Saaty 1–9)</t>
  </si>
  <si>
    <t>Score</t>
  </si>
  <si>
    <t>Meaning</t>
  </si>
  <si>
    <t>Reciprocal</t>
  </si>
  <si>
    <t>Strong importance</t>
  </si>
  <si>
    <t>Extreme importance</t>
  </si>
  <si>
    <t>CONSISTENCY RATIO (CR) GUIDE</t>
  </si>
  <si>
    <t>CR &lt; 0.10</t>
  </si>
  <si>
    <t>ACCEPTABLE — judgments are sufficiently consistent</t>
  </si>
  <si>
    <t>Saaty’s CIr values for matrices are given by the following table</t>
  </si>
  <si>
    <t>Size of Matrix</t>
  </si>
  <si>
    <t>Random Consistency (CIr)</t>
  </si>
  <si>
    <t>Include</t>
  </si>
  <si>
    <t>Smell Name</t>
  </si>
  <si>
    <t>Scope</t>
  </si>
  <si>
    <t>Count</t>
  </si>
  <si>
    <t>No</t>
  </si>
  <si>
    <t>Bloated Service</t>
  </si>
  <si>
    <t>Modifiability</t>
  </si>
  <si>
    <t>Structure</t>
  </si>
  <si>
    <t>Modifiability — Structure</t>
  </si>
  <si>
    <t>Combinatorial Explosion</t>
  </si>
  <si>
    <t>Modifiability — Behavior</t>
  </si>
  <si>
    <t>Yes</t>
  </si>
  <si>
    <t>Cyclic Dependency</t>
  </si>
  <si>
    <t>Interoperability</t>
  </si>
  <si>
    <t>Data Service</t>
  </si>
  <si>
    <t>Comprehensibility</t>
  </si>
  <si>
    <t>Dead Component</t>
  </si>
  <si>
    <t>Strategic Alignment</t>
  </si>
  <si>
    <t>Dense Structure</t>
  </si>
  <si>
    <t>Duplication</t>
  </si>
  <si>
    <t>Hub-like Modularization</t>
  </si>
  <si>
    <t>Lazy Component</t>
  </si>
  <si>
    <t>Multifaceted Abstraction</t>
  </si>
  <si>
    <t>Scattered Parasitic Functionality</t>
  </si>
  <si>
    <t>Shared Persistency</t>
  </si>
  <si>
    <t>Shotgun Surgery</t>
  </si>
  <si>
    <t>The God Object</t>
  </si>
  <si>
    <t>Weakened Modularity</t>
  </si>
  <si>
    <t>Chatty Service</t>
  </si>
  <si>
    <t>Behavior</t>
  </si>
  <si>
    <t>Feature Envy</t>
  </si>
  <si>
    <t>Message Chain</t>
  </si>
  <si>
    <t>Connector Envy</t>
  </si>
  <si>
    <t>Inconsistent Versioning</t>
  </si>
  <si>
    <t>Jumble</t>
  </si>
  <si>
    <t>Nanoservices</t>
  </si>
  <si>
    <t>Sand Pile</t>
  </si>
  <si>
    <t>Stovepipe System</t>
  </si>
  <si>
    <t>Strict Layers Violation</t>
  </si>
  <si>
    <t>Wrong Cuts</t>
  </si>
  <si>
    <t>Ambiguous Viewpoint</t>
  </si>
  <si>
    <t>Architecture by Implication</t>
  </si>
  <si>
    <t>Deficient Encapsulation</t>
  </si>
  <si>
    <t>Deficient Names</t>
  </si>
  <si>
    <t>Documentation</t>
  </si>
  <si>
    <t>Incomplete Node or Collaboration</t>
  </si>
  <si>
    <t>Missing Abstraction</t>
  </si>
  <si>
    <t>Overgeneralization</t>
  </si>
  <si>
    <t>Big Bang</t>
  </si>
  <si>
    <t>Business Process Forever</t>
  </si>
  <si>
    <t>Data-Driven Migration</t>
  </si>
  <si>
    <t>Golden Hammer</t>
  </si>
  <si>
    <t>No Legacy</t>
  </si>
  <si>
    <t>Nothing New</t>
  </si>
  <si>
    <t>Temporary Solution</t>
  </si>
  <si>
    <t>The Shiny Nickel</t>
  </si>
  <si>
    <t>Vendor Lock-In</t>
  </si>
  <si>
    <t>Warm Bodies</t>
  </si>
  <si>
    <t>Notes</t>
  </si>
  <si>
    <t>Impact</t>
  </si>
  <si>
    <t>Case Context — Architecture Evidence</t>
  </si>
  <si>
    <t>ARCHIMATE MODEL</t>
  </si>
  <si>
    <t>SMELL EVIDENCE — Observations from the Architecture Model</t>
  </si>
  <si>
    <t>ID</t>
  </si>
  <si>
    <t>EA Smell</t>
  </si>
  <si>
    <t>Systems Involved</t>
  </si>
  <si>
    <t>Architectural Situation</t>
  </si>
  <si>
    <t>Observable Impact</t>
  </si>
  <si>
    <t>S1</t>
  </si>
  <si>
    <t>Salesforce CRM, SAP S/4HANA ERP, Power BI</t>
  </si>
  <si>
    <t>A shared central database is accessed by CRM, ERP, and Power BI, containing customer, order, invoice, and payment data.</t>
  </si>
  <si>
    <t>Changes to shared data structures require coordinated updates across multiple systems, introducing risks of data inconsistency and reducing system independence.</t>
  </si>
  <si>
    <t>S2</t>
  </si>
  <si>
    <t>Salesforce CRM, SAP S/4HANA ERP</t>
  </si>
  <si>
    <t>The Customer Risk Assessment function in Salesforce CRM repeatedly accesses externally managed customer and financial data.</t>
  </si>
  <si>
    <t>Business logic becomes distributed across systems, increasing dependency on external data access and making changes harder to localize.</t>
  </si>
  <si>
    <t>S3</t>
  </si>
  <si>
    <t>Salesforce CRM sends customer and order data to SAP S/4HANA ERP, while ERP returns invoice and payment status data to CRM, forming a bidirectional dependency.</t>
  </si>
  <si>
    <t>Independent modification, testing, or deployment of either system becomes difficult, as each system depends on the other’s outputs.</t>
  </si>
  <si>
    <t>S4</t>
  </si>
  <si>
    <t>Salesforce CRM, SAP S/4HANA ERP, and Power BI are integrated through system-specific data exchanges without a shared service abstraction layer.</t>
  </si>
  <si>
    <t>Integration logic is duplicated across system connections, reducing reusability and leading to brittle, hard-to-evolve integrations.</t>
  </si>
  <si>
    <t>S5</t>
  </si>
  <si>
    <t>SAP S/4HANA ERP, SAP Business Technology Platform</t>
  </si>
  <si>
    <t>Core enterprise processes and integration flows are implemented within the SAP ecosystem, including SAP S/4HANA ERP and SAP Business Technology Platform.</t>
  </si>
  <si>
    <t>Integration logic relies on SAP-specific technologies and platform services, increasing the effort required to migrate to alternative platforms or integration solutions.</t>
  </si>
  <si>
    <t>Step 1 — Determine Criteria Importance (AHP Pairwise Comparisons)</t>
  </si>
  <si>
    <t>Q#</t>
  </si>
  <si>
    <t>Question</t>
  </si>
  <si>
    <t>Criterion A</t>
  </si>
  <si>
    <t>Criterion B</t>
  </si>
  <si>
    <t>SECTION 1 — Main Criteria</t>
  </si>
  <si>
    <t>Q1</t>
  </si>
  <si>
    <t>With respect to prioritizing EA smell instances, which criterion is more important?</t>
  </si>
  <si>
    <t>Remediation Effort
Remediation Effort (cost / effort to fix)</t>
  </si>
  <si>
    <t>vs</t>
  </si>
  <si>
    <t>Impact (architectural &amp; operational impact)</t>
  </si>
  <si>
    <t>Remediation Effort</t>
  </si>
  <si>
    <t>SECTION 2 — Remediation Effort Subcriteria</t>
  </si>
  <si>
    <t>Q2</t>
  </si>
  <si>
    <t>With respect to remediation effort, which criterion is more important?</t>
  </si>
  <si>
    <t>Scope (number of affected elements)</t>
  </si>
  <si>
    <t>Restructuring Complexity (structural change effort)</t>
  </si>
  <si>
    <t>Restructuring Complexity</t>
  </si>
  <si>
    <t>SECTION 3 — Impact Subcriteria</t>
  </si>
  <si>
    <t>Q5</t>
  </si>
  <si>
    <t>With respect to impact, which criterion is more important?</t>
  </si>
  <si>
    <t>Evolution Constraint (architectural adaptability)</t>
  </si>
  <si>
    <t>Governance &amp; Coordination Overhead
(organizational complexity of change)</t>
  </si>
  <si>
    <t>Q6</t>
  </si>
  <si>
    <t>Operational Reliability Impact (service disruption severity)</t>
  </si>
  <si>
    <t>Q7</t>
  </si>
  <si>
    <t>Step 2 — Check Consistency of Judgments</t>
  </si>
  <si>
    <t>Step 3 — EA Smell Scoring Matrix</t>
  </si>
  <si>
    <t>Scoring Guidance</t>
  </si>
  <si>
    <t>Scope ► 
(click +)</t>
  </si>
  <si>
    <t>How many architectural elements must change to eliminate this EA smell instance?</t>
  </si>
  <si>
    <t>Restructuring Complexity ►
(click +)</t>
  </si>
  <si>
    <t>How structurally difficult is it to remove this EA smell instance from the architecture?</t>
  </si>
  <si>
    <t>Evolution Constraint ►
(click +)</t>
  </si>
  <si>
    <t>To what extent does the EA smell instance limit the architecture’s ability to evolve or change?</t>
  </si>
  <si>
    <t>Gov. &amp; Coord. Overhead ►
(click +)</t>
  </si>
  <si>
    <t>To what extent does the EA smell instance require coordination across teams or governance bodies?</t>
  </si>
  <si>
    <t>Operational Reliability Impact ►
(click +)</t>
  </si>
  <si>
    <t>To what extent does the EA smell instance negatively affect system reliability or stability of operations?</t>
  </si>
  <si>
    <t>Level</t>
  </si>
  <si>
    <t>Boundary Defintion</t>
  </si>
  <si>
    <t>Illustrative Example</t>
  </si>
  <si>
    <t>Representative Refactoring Types (derived from Liss et al.)</t>
  </si>
  <si>
    <t>Shared Persistency was scored with high scope and evolution constraint due to its cross-system impact and tight data coupling, while restructuring complexity was assessed as moderate given the availability of established architectural refactoring approaches.</t>
  </si>
  <si>
    <t>Changes affect one architectural element only (e.g., component, service, or interface).</t>
  </si>
  <si>
    <t>In the CRM system, the Customer Service interface is incorrectly defined. Fixing the issue requires modifying only the Customer Service interface.</t>
  </si>
  <si>
    <t>Small changes to architectural elements that do not alter component responsibilities or the overall architectural structure.</t>
  </si>
  <si>
    <t>Rename Component</t>
  </si>
  <si>
    <t>The EA smell does not introduce constraints on how changes to architectural elements can be implemented. Changes can be implemented without restrictions on technology choice, integration approach, or application structure.</t>
  </si>
  <si>
    <t>A duplicate reporting application exists but does not affect other systems; removing or keeping it does not restrict how changes to the architecture can be implemented.</t>
  </si>
  <si>
    <t>No failures or disruptions are observed that can be associated with the EA smell. System operation remains stable, with no incident records or logs indicating operational issues.</t>
  </si>
  <si>
    <t>An EA smell is identified in the architecture, but no incidents, errors, or operational anomalies have been reported, and all services continue to operate as expected.</t>
  </si>
  <si>
    <t>Changes affect multiple architectural elements within the same application/system boundary, but no other systems are involved.</t>
  </si>
  <si>
    <t>Within the ERP system, the Order Service is tightly coupled to the Inventory Service. Resolving the issue requires modifying both services within the ERP system.</t>
  </si>
  <si>
    <t>Changes affecting a single architectural component without altering how the architecture is organized or relationships between components.</t>
  </si>
  <si>
    <t>Remove Dead Component, Inline Service</t>
  </si>
  <si>
    <t>The EA smell introduces a localized constraint to a single architectural element (e.g., a component, service, or interface). Changes are restricted to specific implementation choices within that element (e.g., fixed technology, configuration, or interface definition), while the overall architecture remains adaptable, allowing new systems, components, or integrations to be introduced without restriction.</t>
  </si>
  <si>
    <t>An application uses a hard coded configuration for an external service endpoint. Changing the configuration requires modifying the application, but no other architectural elements are affected, and the overall architecture remains flexible.</t>
  </si>
  <si>
    <t>Issues associated with the EA smell may be observable in logs or low-priority events but do not affect system operation. These issues are resolved automatically through built-in mechanisms and do not require manual operational intervention.</t>
  </si>
  <si>
    <t>Occasional errors related to the EA smell are recorded in system logs but are resolved through retry or fallback mechanisms, and services continue to operate without interruption or user impact.</t>
  </si>
  <si>
    <t>Changes affect multiple applications or systems, requiring modifications to a specific type of architectural element within each system (e.g., interfaces or services).</t>
  </si>
  <si>
    <t>The CRM and ERP systems exchange customer data through a poorly designed integration interface. Resolving the issue requires modifying the integration interfaces in both CRM and ERP systems.</t>
  </si>
  <si>
    <t>Refactoring that reorganizes responsibilities between architectural components within the same system, modifying component interactions while preserving the overall system structure.</t>
  </si>
  <si>
    <t>Break Up Component, Extract Component, Merge Components</t>
  </si>
  <si>
    <t>The CRM system exposes an interface consumed by the ERP system. Modifying the interface (e.g., changing required data fields) requires updating the ERP system to maintain compatibility, but no further elements are affected.</t>
  </si>
  <si>
    <t>Failures associated with the EA smell cause a noticeable but localized disruption to system operation and require manual operational intervention to resolve. The impact remains confined to a single component or service and does not degrade business-critical capabilities.</t>
  </si>
  <si>
    <t>An incident associated with the EA smell results in a localized disruption to a single component or service, requiring manual intervention (e.g., restart or correction), while business-critical capabilities continue to operate normally.</t>
  </si>
  <si>
    <t>Changes affect multiple applications or systems and require modifications to multiple types of architectural elements within each system (e.g., services, interfaces, and data structures).</t>
  </si>
  <si>
    <t>The CRM and ERP systems are tightly coupled through multiple interacting components and data exchanges. Resolving the issue requires modifying components, interfaces, and data structures in both systems.</t>
  </si>
  <si>
    <t>Refactoring that reorganizes architectural relationships between systems, requiring changes to how components interact across system boundaries and altering integration structures.</t>
  </si>
  <si>
    <t>Move Component, Reorganization</t>
  </si>
  <si>
    <t>The CRM system exposes an interface consumed by the ERP system, which relies on specific data fields. The ERP system provides this data to the Reporting system. Modifying the CRM interface (e.g., changing required data fields) requires updating the ERP system, which then requires updates in the Reporting system, causing the change to propagate across multiple dependent elements.</t>
  </si>
  <si>
    <t>Failures associated with the EA smell cause disruptions that degrade business-critical capabilities (e.g., slower performance, reduced functionality, or intermittent failures) while the system remains operational. Recovery requires substantial operational effort.</t>
  </si>
  <si>
    <t>Incidents associated with the EA smell result in degraded performance of a business-critical capability (e.g., slower response times or limited functionality), requiring repeated operational intervention, while the service remains available.</t>
  </si>
  <si>
    <t>Changes affect multiple systems or applications and require modifications to shared or common architectural elements used across systems (e.g., shared data models, integration platforms, or core services).</t>
  </si>
  <si>
    <t>Customer information is stored in a shared data model used by CRM, ERP, and Marketing systems. Resolving the issue requires modifying the shared data model, affecting all dependent systems.</t>
  </si>
  <si>
    <t>Refactoring that introduces, removes, or fundamentally restructures architectural layers or abstraction structures, significantly altering the overall architecture.</t>
  </si>
  <si>
    <t>Isolation Layer, Move Service to Different Layer</t>
  </si>
  <si>
    <t>The CRM, ERP, and Reporting systems rely on a shared data model that defines common data fields. Modifying the shared data model (e.g., changing required data fields) requires simultaneous updates across all dependent systems, preventing independent modification and requiring restructuring of the shared data model.</t>
  </si>
  <si>
    <t>Failures associated with the EA smell cannot be restored through normal operational actions and result in sustained unavailability of business-critical capabilities.</t>
  </si>
  <si>
    <t>Persistent incidents associated with the EA smell result in the sustained unavailability of a business-critical capability, and the system cannot be restored through standard operational actions, requiring architectural redesign.</t>
  </si>
  <si>
    <t>CR Status</t>
  </si>
  <si>
    <t>Rank</t>
  </si>
  <si>
    <t>Subcriterion</t>
  </si>
  <si>
    <t>Evolution Constraint</t>
  </si>
  <si>
    <t>Gov. &amp; Coord. Overhead</t>
  </si>
  <si>
    <t>Op. Reliability Impact</t>
  </si>
  <si>
    <t>AHP Trace — Step-by-Step Calculation</t>
  </si>
  <si>
    <t>ℹ️ Note: Cells displaying #N/A indicate that required inputs have not yet been provided. Please complete the pairwise comparisons to enable calculations.</t>
  </si>
  <si>
    <t>PHASE 1 — Derive Criteria Weights</t>
  </si>
  <si>
    <t>Level 1 — Main Criteria: Remediation Effort vs Impact</t>
  </si>
  <si>
    <t>Criterion</t>
  </si>
  <si>
    <t>Column Sum</t>
  </si>
  <si>
    <t>Norm. Col 1</t>
  </si>
  <si>
    <t>Norm. Col 2</t>
  </si>
  <si>
    <t>Row Average
(unnormalised)</t>
  </si>
  <si>
    <t>Normalised Weight
(÷ Σ row avgs)</t>
  </si>
  <si>
    <t>Level 2a — Remediation Effort Subcriteria: Scope vs Restructuring Complexity</t>
  </si>
  <si>
    <t>Restructuring
Complexity</t>
  </si>
  <si>
    <t>Level 2b — Impact Subcriteria: Evolution Constraint / Gov. Overhead / Op. Reliability  (n=3)</t>
  </si>
  <si>
    <t>Evol.
Constraint</t>
  </si>
  <si>
    <t>Gov. &amp;
Coord. Overhead</t>
  </si>
  <si>
    <t>Op. Reliability
Impact</t>
  </si>
  <si>
    <t>Norm. Col 3</t>
  </si>
  <si>
    <t>λmax  (weighted sum vector average)</t>
  </si>
  <si>
    <t>n  (matrix size)</t>
  </si>
  <si>
    <t>CI = (λmax − n) / (n − 1)</t>
  </si>
  <si>
    <t>RI = 0.525  (Saaty table, n=3)</t>
  </si>
  <si>
    <t>CR = CI / RI</t>
  </si>
  <si>
    <t>PHASE 2 — Apply Weights to Smell Scores</t>
  </si>
  <si>
    <t>Step 7 — Global Weights  =  Level 1 parent weight  ×  Level 2 local weight</t>
  </si>
  <si>
    <t>L1 Parent
Weight</t>
  </si>
  <si>
    <t>L2 Local
Weight</t>
  </si>
  <si>
    <t>Global Weight
(L1 × L2)</t>
  </si>
  <si>
    <t>% of Total</t>
  </si>
  <si>
    <t>Sum of all global weights  →  should equal 1.0000</t>
  </si>
  <si>
    <t>Steps 8–11 — Weighted Score Calculation per EA Smell</t>
  </si>
  <si>
    <t>EA Smell Instance</t>
  </si>
  <si>
    <t>AHP Hierarchy</t>
  </si>
  <si>
    <t>3</t>
  </si>
  <si>
    <t>2</t>
  </si>
  <si>
    <t>1</t>
  </si>
  <si>
    <t>EA SMELL PRIORITISATION DASHBOARD</t>
  </si>
  <si>
    <t>A localized design issue causing moderate refactoring effort, with limited scope and low impact on coordination and system reliability.</t>
  </si>
  <si>
    <t>Mutual dependencies across components increase restructuring complexity and significantly constrain independent evolution.</t>
  </si>
  <si>
    <t>Siloed systems require substantial integration effort, limiting architectural flexibility and affecting operational consistency.</t>
  </si>
  <si>
    <t>Dependence on a specific vendor imposes severe constraints on technology evolution and requires high coordination despite manageable migration effort.</t>
  </si>
  <si>
    <r>
      <rPr>
        <b/>
        <sz val="14"/>
        <color rgb="FF1A3A5C"/>
        <rFont val="Tahoma"/>
        <family val="2"/>
      </rPr>
      <t>CRITERIA WEIGHTS (GLOBAL)</t>
    </r>
    <r>
      <rPr>
        <sz val="14"/>
        <color rgb="FF1A3A5C"/>
        <rFont val="Tahoma"/>
        <family val="2"/>
      </rPr>
      <t xml:space="preserve">
User-input weights defining the importance of each criterion.</t>
    </r>
  </si>
  <si>
    <r>
      <rPr>
        <b/>
        <sz val="14"/>
        <color rgb="FF1A3A5C"/>
        <rFont val="Tahoma"/>
        <family val="2"/>
      </rPr>
      <t xml:space="preserve">EA SMELL RATINGS </t>
    </r>
    <r>
      <rPr>
        <sz val="14"/>
        <color rgb="FF1A3A5C"/>
        <rFont val="Tahoma"/>
        <family val="2"/>
      </rPr>
      <t xml:space="preserve">
User-provided ratings for each EA smell across all criteria.</t>
    </r>
  </si>
  <si>
    <r>
      <rPr>
        <b/>
        <sz val="14"/>
        <color rgb="FF1A3A5C"/>
        <rFont val="Tahoma"/>
        <family val="2"/>
      </rPr>
      <t>FINAL RESULTS</t>
    </r>
    <r>
      <rPr>
        <sz val="14"/>
        <color rgb="FF1A3A5C"/>
        <rFont val="Tahoma"/>
        <family val="2"/>
      </rPr>
      <t xml:space="preserve">
Computed weighted scores used to rank EA smells.</t>
    </r>
  </si>
  <si>
    <t>Display Text</t>
  </si>
  <si>
    <t>Value</t>
  </si>
  <si>
    <t>Equal importance (1)</t>
  </si>
  <si>
    <t>▼ Select a judgment…</t>
  </si>
  <si>
    <t>AHP Score
(calculated)</t>
  </si>
  <si>
    <t>Pairwise Judgment</t>
  </si>
  <si>
    <r>
      <rPr>
        <b/>
        <sz val="10"/>
        <color rgb="FF1B4F5F"/>
        <rFont val="Arial"/>
        <family val="2"/>
      </rPr>
      <t>Consistency Ratio (CR)</t>
    </r>
    <r>
      <rPr>
        <sz val="10"/>
        <color rgb="FF1B4F5F"/>
        <rFont val="Arial"/>
        <family val="2"/>
      </rPr>
      <t xml:space="preserve"> – The consistency ratio evaluates the consistency of your pairwise judgments. A </t>
    </r>
    <r>
      <rPr>
        <b/>
        <sz val="10"/>
        <color rgb="FF1B4F5F"/>
        <rFont val="Arial"/>
        <family val="2"/>
      </rPr>
      <t>CR ≤ 0.10</t>
    </r>
    <r>
      <rPr>
        <sz val="10"/>
        <color rgb="FF1B4F5F"/>
        <rFont val="Arial"/>
        <family val="2"/>
      </rPr>
      <t xml:space="preserve"> indicates acceptable consistency. If the </t>
    </r>
    <r>
      <rPr>
        <b/>
        <sz val="10"/>
        <color rgb="FF1B4F5F"/>
        <rFont val="Arial"/>
        <family val="2"/>
      </rPr>
      <t>CR exceeds 0.10</t>
    </r>
    <r>
      <rPr>
        <sz val="10"/>
        <color rgb="FF1B4F5F"/>
        <rFont val="Arial"/>
        <family val="2"/>
      </rPr>
      <t>, revise your pairwise judgments.</t>
    </r>
  </si>
  <si>
    <r>
      <t xml:space="preserve">Select the pairwise judgment that best represents the relative importance between </t>
    </r>
    <r>
      <rPr>
        <b/>
        <sz val="11"/>
        <color rgb="FF1B4F5F"/>
        <rFont val="Arial"/>
        <family val="2"/>
      </rPr>
      <t xml:space="preserve">Criterion A </t>
    </r>
    <r>
      <rPr>
        <sz val="11"/>
        <color rgb="FF1B4F5F"/>
        <rFont val="Arial"/>
        <family val="2"/>
      </rPr>
      <t xml:space="preserve">and </t>
    </r>
    <r>
      <rPr>
        <b/>
        <sz val="11"/>
        <color rgb="FF1B4F5F"/>
        <rFont val="Arial"/>
        <family val="2"/>
      </rPr>
      <t>Criterion B</t>
    </r>
    <r>
      <rPr>
        <sz val="11"/>
        <color rgb="FF1B4F5F"/>
        <rFont val="Arial"/>
        <family val="2"/>
      </rPr>
      <t xml:space="preserve">. The </t>
    </r>
    <r>
      <rPr>
        <b/>
        <sz val="11"/>
        <color rgb="FF1B4F5F"/>
        <rFont val="Arial"/>
        <family val="2"/>
      </rPr>
      <t>AHP score</t>
    </r>
    <r>
      <rPr>
        <sz val="11"/>
        <color rgb="FF1B4F5F"/>
        <rFont val="Arial"/>
        <family val="2"/>
      </rPr>
      <t xml:space="preserve"> is calculated automatically and should not be modified.</t>
    </r>
  </si>
  <si>
    <t>CR &gt; 0.10</t>
  </si>
  <si>
    <t>NOT ACCEPTABLE - revise the pairwise judgments</t>
  </si>
  <si>
    <t>► 
(click +)</t>
  </si>
  <si>
    <t xml:space="preserve">Restructuring Complexity </t>
  </si>
  <si>
    <t xml:space="preserve">Scope ►
</t>
  </si>
  <si>
    <t>Restructuring Complexity ►</t>
  </si>
  <si>
    <t>Evolution Constraint ►</t>
  </si>
  <si>
    <t>Pair</t>
  </si>
  <si>
    <t>A ID</t>
  </si>
  <si>
    <t>B ID</t>
  </si>
  <si>
    <t>L1</t>
  </si>
  <si>
    <t>L2</t>
  </si>
  <si>
    <t>L3</t>
  </si>
  <si>
    <t>L4</t>
  </si>
  <si>
    <t>L5</t>
  </si>
  <si>
    <t xml:space="preserve"> Enterprise-Wide Scope</t>
  </si>
  <si>
    <t>Single Element</t>
  </si>
  <si>
    <t>Single System</t>
  </si>
  <si>
    <t>Multiple Systems (Limited Scope)</t>
  </si>
  <si>
    <t>Multiple Systems (Broad Scope)</t>
  </si>
  <si>
    <t>Minor Architectural Adjustment</t>
  </si>
  <si>
    <t>Local Component Modification</t>
  </si>
  <si>
    <t>Component Restructuring (Single System)</t>
  </si>
  <si>
    <t>Architectural Reorganization</t>
  </si>
  <si>
    <t>Architectural Layer Restructuring</t>
  </si>
  <si>
    <t>No Constraint</t>
  </si>
  <si>
    <t>Minor Constraint</t>
  </si>
  <si>
    <t>Moderate Constraint</t>
  </si>
  <si>
    <t>Strong Constraint</t>
  </si>
  <si>
    <t>Severe Constraint</t>
  </si>
  <si>
    <t>Gov. &amp; Coord. Overhead ►</t>
  </si>
  <si>
    <t>Minimal Coordination Overhead</t>
  </si>
  <si>
    <t>Limited Coordination Overhead</t>
  </si>
  <si>
    <t>Moderate Coordination Overhead</t>
  </si>
  <si>
    <t>High Coordination Overhead</t>
  </si>
  <si>
    <t>Strategic Coordination Overhead</t>
  </si>
  <si>
    <t>Operational Reliability Impact</t>
  </si>
  <si>
    <t>Operational Reliability Impact ►</t>
  </si>
  <si>
    <t>No Impact</t>
  </si>
  <si>
    <t>Minor Impact</t>
  </si>
  <si>
    <t>Moderate Impact</t>
  </si>
  <si>
    <t>High Impact</t>
  </si>
  <si>
    <t>Critical Impact</t>
  </si>
  <si>
    <t xml:space="preserve">Level </t>
  </si>
  <si>
    <t>col sum</t>
  </si>
  <si>
    <t>Normalized Matrix</t>
  </si>
  <si>
    <t>CI = (λmax - 5) / 4</t>
  </si>
  <si>
    <t>λmax</t>
  </si>
  <si>
    <t>Status</t>
  </si>
  <si>
    <t>Criterion A – Extreme importance (9)</t>
  </si>
  <si>
    <t>Criterion A – Very strong importance (7)</t>
  </si>
  <si>
    <t>Criterion A – Strong importance (5)</t>
  </si>
  <si>
    <t>Criterion A – Moderate importance (3)</t>
  </si>
  <si>
    <t>Criterion B – Moderate importance (3)</t>
  </si>
  <si>
    <t>Criterion B – Strong importance (5)</t>
  </si>
  <si>
    <t>Criterion B – Very strong importance (7)</t>
  </si>
  <si>
    <t>Criterion B – Extreme importance (9)</t>
  </si>
  <si>
    <t>Equal importance</t>
  </si>
  <si>
    <t>Two elements contribute equally to the objective</t>
  </si>
  <si>
    <t>Moderate importance</t>
  </si>
  <si>
    <t>Judgment slightly favors one element over another</t>
  </si>
  <si>
    <t>Judgment strongly favors one element over another</t>
  </si>
  <si>
    <t>Very strong importance</t>
  </si>
  <si>
    <t>Judgment strongly favors one element over another, its dominance is demonstrated by experience</t>
  </si>
  <si>
    <t>The dominance of one element over another is demonstrated and absolute</t>
  </si>
  <si>
    <t>2, 4, 6, 8</t>
  </si>
  <si>
    <t>can be used to express intermediate values</t>
  </si>
  <si>
    <t/>
  </si>
  <si>
    <t>Reciprocity</t>
  </si>
  <si>
    <t>If the element i has one of the above non-zero numbers assigned to it when compared with element j, then j has the reciprocal value when compared  with i.</t>
  </si>
  <si>
    <t>Criterion A – Intermediate value between Very strong and Extreme importance (8)</t>
  </si>
  <si>
    <t>Criterion A – Intermediate value between Strong and Very strong importance (6)</t>
  </si>
  <si>
    <t>Criterion A – Intermediate value between Moderate and Strong importance (4)</t>
  </si>
  <si>
    <t>Criterion A – Intermediate value between Equal and Moderate importance (2)</t>
  </si>
  <si>
    <t>Criterion B – Intermediate value between Equal and Moderate importance (2)</t>
  </si>
  <si>
    <t>Criterion B – Intermediate value between Strong and Very strong importance (6)</t>
  </si>
  <si>
    <t>Criterion B – Intermediate value between Very strong and Extreme importance (8)</t>
  </si>
  <si>
    <t>SUM</t>
  </si>
  <si>
    <t>Decision Rationale (Optional)</t>
  </si>
  <si>
    <t>Scope increases, but remediation remains within a single system boundary.</t>
  </si>
  <si>
    <t>The remediation expands from one element to multiple systems, creating a clear cross-system increase in scope.</t>
  </si>
  <si>
    <t>The remediation spans multiple systems and multiple architectural element types, representing a strong increase over a single-element change.</t>
  </si>
  <si>
    <t>Enterprise-wide shared architectural assets create a very large increase in scope compared with a single-element change.</t>
  </si>
  <si>
    <t>The scope expands from one system to multiple systems, introducing cross-system coordination.</t>
  </si>
  <si>
    <t>L4 expands beyond one system and affects multiple architectural element types across systems.</t>
  </si>
  <si>
    <t>The scope moves from a single-system change to shared enterprise architecture affecting dependent systems across the organization.</t>
  </si>
  <si>
    <t>Both affect multiple systems, but L4 requires modifications to a broader range of architectural element types.</t>
  </si>
  <si>
    <t>L5 affects shared enterprise assets and their dependent systems, substantially exceeding limited multi-system scope.</t>
  </si>
  <si>
    <t>L5 shifts the remediation from broad multi-system changes to shared enterprise architecture with wider dependency propagation.</t>
  </si>
  <si>
    <t>L3 reorganizes component responsibilities and interactions within a system, whereas L1 is limited to minor architectural adjustments.</t>
  </si>
  <si>
    <t>L4 reorganizes architectural relationships across system boundaries, whereas L1 involves only minor local architectural adjustments.</t>
  </si>
  <si>
    <t>L5 fundamentally restructures architectural layers and the overall architecture, whereas L1 is limited to minor architectural adjustments.</t>
  </si>
  <si>
    <t>L3 reorganizes responsibilities between architectural components, whereas L2 modifies only a single architectural component.</t>
  </si>
  <si>
    <t>L4 reorganizes cross-system architectural relationships and integration structures, whereas L2 modifies only a single architectural component.</t>
  </si>
  <si>
    <t>L5 fundamentally restructures architectural layers, whereas L2 modifies only a single architectural component.</t>
  </si>
  <si>
    <t>L4 reorganizes cross-system interactions and integration structures, whereas L3 restructures components only within a single system.</t>
  </si>
  <si>
    <t>L5 fundamentally restructures architectural layers, whereas L3 restructures component responsibilities within a single system.</t>
  </si>
  <si>
    <t>L5 fundamentally restructures the architectural layers, whereas L4 reorganizes relationships between systems while preserving the overall architectural structure.</t>
  </si>
  <si>
    <t>Pairwise Comparison Matrix</t>
  </si>
  <si>
    <t>Priority Vector</t>
  </si>
  <si>
    <t>Con. Vector</t>
  </si>
  <si>
    <t>RI</t>
  </si>
  <si>
    <t>Matrix Size (n)</t>
  </si>
  <si>
    <t>Priority</t>
  </si>
  <si>
    <r>
      <rPr>
        <b/>
        <sz val="14"/>
        <color theme="0"/>
        <rFont val="Arial"/>
        <family val="2"/>
      </rPr>
      <t xml:space="preserve">Calculated Results </t>
    </r>
    <r>
      <rPr>
        <b/>
        <sz val="11"/>
        <color theme="0"/>
        <rFont val="Arial"/>
        <family val="2"/>
      </rPr>
      <t xml:space="preserve">
Derived Intensity Priorities (Priority Vector)</t>
    </r>
  </si>
  <si>
    <t>The EA smell introduces dependency-driven constraints centered around a shared architectural element that is used by multiple architectural elements. Changes to the shared architectural element require simultaneous coordination across all dependent architectural elements, preventing independent architectural evolution. Consequently, future architectural evolution may require restructuring or replacement of the shared architectural element.</t>
  </si>
  <si>
    <t>The EA smell introduces dependency-driven constraints between architectural elements. Changes to one architectural element require updates to directly dependent architectural elements (e.g., modifying an interface requires updating components that use that interface); however, the impact remains limited to a single level of dependency and does not propagate further.</t>
  </si>
  <si>
    <t>The EA smell introduces dependency-driven constraints such that architectural elements depend on each other in a chain. Changes to one architectural element require coordinated updates to directly dependent architectural elements, with the impact propagating across multiple levels of dependency.</t>
  </si>
  <si>
    <t>L2 restricts implementation choices within a single architectural element, while the overall architecture remains adaptable; L1 imposes no constraint on architectural evolution.</t>
  </si>
  <si>
    <t>L3 requires changes to directly dependent architectural elements when one element is modified, whereas L1 allows changes without affecting other architectural elements.</t>
  </si>
  <si>
    <t>L4 causes changes to propagate across multiple levels of dependency, whereas L1 allows architectural elements to be changed without restrictions or dependent changes.</t>
  </si>
  <si>
    <t>L3 requires changes to directly dependent architectural elements when one element is modified, whereas L2 restricts changes only within a single architectural element without affecting other elements.</t>
  </si>
  <si>
    <t>L4 propagates changes across multiple dependency levels, while L2 remains localized to one architectural element.</t>
  </si>
  <si>
    <t>L5 prevents independent evolution across multiple dependent architectural elements, while L2 imposes a constraint limited to a single architectural element.</t>
  </si>
  <si>
    <t>L4 propagates changes across multiple dependency levels, requiring coordinated updates throughout the dependency chain, whereas L3 confines required changes to a single dependency level.</t>
  </si>
  <si>
    <t>L5 prevents multiple dependent architectural elements from evolving independently and may require restructuring of the shared architectural element, whereas L3 confines required changes to a single dependency level without further propagation.</t>
  </si>
  <si>
    <t>L5 prevents dependent architectural elements from evolving independently and may require restructuring of the shared element, whereas L4 still allows evolution through coordinated changes across the dependency chain.</t>
  </si>
  <si>
    <t>L5 prevents independent architectural evolution through a shared dependency and may require restructuring of the shared element, whereas L1 allows architectural changes without dependency-driven restrictions.</t>
  </si>
  <si>
    <t>L2 introduces cross-group coordination between two stakeholder groups, whereas L1 can be addressed independently within a single stakeholder group.</t>
  </si>
  <si>
    <t>L3 requires alignment across multiple stakeholder groups, creating substantially greater coordination effort than L1, which can be addressed independently within a single stakeholder group.</t>
  </si>
  <si>
    <t>L4 requires coordination across multiple stakeholder groups together with formal architectural governance approval or alignment, whereas L1 can be addressed independently within a single stakeholder group.</t>
  </si>
  <si>
    <t>L5 requires cross-domain coordination among multiple stakeholder groups and enterprise-level strategic approval, whereas L1 can be addressed independently within a single stakeholder group without cross-group coordination.</t>
  </si>
  <si>
    <t>L3 requires alignment across multiple stakeholder groups, increasing coordination complexity compared with L2, where coordination is limited to two stakeholder groups.</t>
  </si>
  <si>
    <t>L4 extends coordination from two stakeholder groups to multiple groups and introduces formal architectural governance approval or alignment, creating substantially greater coordination overhead than L2.</t>
  </si>
  <si>
    <t>L5 extends coordination from two stakeholder groups to multiple organizational domains and introduces enterprise-level strategic approval, creating substantially greater coordination and decision-making overhead than L2.</t>
  </si>
  <si>
    <t>L4 introduces formal architectural governance approval or alignment in addition to multi-group coordination, creating substantially greater coordination and decision-making overhead than L3.</t>
  </si>
  <si>
    <t>L5 extends coordination across organizational domains and requires enterprise-level strategic approval, creating substantially greater coordination and decision-making overhead than the multi-group coordination required at L3.</t>
  </si>
  <si>
    <t>L5 extends governance from architectural approval and alignment to cross-domain coordination and enterprise-level strategic decision-making, whereas L4 remains within formal architectural governance.</t>
  </si>
  <si>
    <t>AHP Consistency Calculations</t>
  </si>
  <si>
    <t>L2 introduces observable reliability issues that are automatically resolved without affecting system operation, whereas L1 has no observed failures or disruptions.</t>
  </si>
  <si>
    <t>L3 causes a localized operational disruption requiring manual intervention, whereas L1 has no observed failures or disruptions and system operation remains stable.</t>
  </si>
  <si>
    <t>L4 degrades business-critical capabilities and requires substantial operational recovery effort, whereas L1 has no observed failures or disruptions and system operation remains stable.</t>
  </si>
  <si>
    <t>L5 results in sustained unavailability of business-critical capabilities that cannot be restored through normal operational actions, whereas L1 has no observed failures or disruptions and system operation remains stable.</t>
  </si>
  <si>
    <t>L3 causes a localized operational disruption requiring manual intervention, whereas L2 issues are automatically resolved without affecting system operation.</t>
  </si>
  <si>
    <t>L4 degrades business-critical capabilities and requires substantial recovery effort, whereas L2 issues do not affect system operation and are resolved automatically.</t>
  </si>
  <si>
    <t>L5 causes sustained unavailability of business-critical capabilities that cannot be restored through normal operational actions, whereas L2 issues do not affect system operation and are resolved automatically.</t>
  </si>
  <si>
    <t>L4 degrades business-critical capabilities and requires substantial recovery effort, whereas L3 remains a localized disruption requiring manual intervention without affecting business-critical capabilities.</t>
  </si>
  <si>
    <t>L5 causes sustained unavailability of business-critical capabilities that cannot be restored through normal operational actions, whereas L3 remains a localized, manually recoverable disruption without affecting business-critical capabilities.</t>
  </si>
  <si>
    <t>L5 results in sustained unavailability of business-critical capabilities that cannot be restored through normal operational actions, whereas L4 degrades those capabilities but keeps the system operational.</t>
  </si>
  <si>
    <t>Weighted Score / Total</t>
  </si>
  <si>
    <t>Governance &amp; Coordination Overhead</t>
  </si>
  <si>
    <t>#</t>
  </si>
  <si>
    <r>
      <t xml:space="preserve">Selection: Choose </t>
    </r>
    <r>
      <rPr>
        <b/>
        <sz val="10"/>
        <color rgb="FF1B4F5F"/>
        <rFont val="Arial"/>
        <family val="2"/>
      </rPr>
      <t>Yes</t>
    </r>
    <r>
      <rPr>
        <sz val="10"/>
        <color rgb="FF1B4F5F"/>
        <rFont val="Arial"/>
        <family val="2"/>
      </rPr>
      <t xml:space="preserve"> to include an EA smell in the assessment </t>
    </r>
    <r>
      <rPr>
        <b/>
        <sz val="10"/>
        <color rgb="FF1B4F5F"/>
        <rFont val="Arial"/>
        <family val="2"/>
      </rPr>
      <t>(maximum 10).</t>
    </r>
  </si>
  <si>
    <t>User Input ↓ Select a rating (1–5) for each subcriterion</t>
  </si>
  <si>
    <r>
      <rPr>
        <b/>
        <sz val="11"/>
        <color rgb="FF1B4F5F"/>
        <rFont val="Arial"/>
        <family val="2"/>
      </rPr>
      <t xml:space="preserve">Instructions: </t>
    </r>
    <r>
      <rPr>
        <sz val="11"/>
        <color rgb="FF1B4F5F"/>
        <rFont val="Arial"/>
        <family val="2"/>
      </rPr>
      <t>Select up to 10 EA smells in the EA Smell Catalogue sheet, then assign each selected smell a 1–5 rating for every subcriterion using the reference panels on the right [+]. Ratings are entered once and reused across all weighting scenarios; only the criteria weights vary.</t>
    </r>
  </si>
  <si>
    <t>Go to EA Smell Catalogue →</t>
  </si>
  <si>
    <t>Helper List — Selected EA Smells (do not edit)
Automatically generated from EA smells marked “Yes”. Used for scoring-sheet dropdowns.</t>
  </si>
  <si>
    <t>(blank)</t>
  </si>
  <si>
    <t xml:space="preserve">Criterion </t>
  </si>
  <si>
    <t>Scope Rating / Intensity Priority</t>
  </si>
  <si>
    <t>Evolution Constraint Rating / Intensity Priority</t>
  </si>
  <si>
    <t>Operational Reliability Rating / Intensity Priority</t>
  </si>
  <si>
    <t>Scope Intensity Priority</t>
  </si>
  <si>
    <t>5 (1.0000)</t>
  </si>
  <si>
    <t>3 (0.1596)</t>
  </si>
  <si>
    <t>4 (0.4076)</t>
  </si>
  <si>
    <t>2 (0.1141)</t>
  </si>
  <si>
    <t>3 (0.2044)</t>
  </si>
  <si>
    <t>4 (0.5362)</t>
  </si>
  <si>
    <t>2 (0.0875)</t>
  </si>
  <si>
    <t>3 (0.1915)</t>
  </si>
  <si>
    <t>4 (0.5423)</t>
  </si>
  <si>
    <t>Scope Intensity Priority * Weight</t>
  </si>
  <si>
    <t>Restructuring Complexity Internsity Priority * Weight</t>
  </si>
  <si>
    <t>Evolution Constraint Intensity Priority * Weight</t>
  </si>
  <si>
    <t>Governance Overhead Intensity Priority * Weight</t>
  </si>
  <si>
    <t>Reliability Impact Intensity Priority * Weight</t>
  </si>
  <si>
    <t>Governance Overhead Intensity Priority</t>
  </si>
  <si>
    <t>Evolution Constraint Intensity Priority</t>
  </si>
  <si>
    <t>Restructuring Complexity Intensity Priority</t>
  </si>
  <si>
    <t>Reliability Impact Intensity Priority</t>
  </si>
  <si>
    <t>Governance Overhead</t>
  </si>
  <si>
    <t>Reliability Impact</t>
  </si>
  <si>
    <t>Restructuring Complexity Rating / Intensity Priority</t>
  </si>
  <si>
    <t>Governance Overhead Rating / Intensity Priority</t>
  </si>
  <si>
    <t>Gov. and Coordination Overhead</t>
  </si>
  <si>
    <t>► Column Helper</t>
  </si>
  <si>
    <t>Subcriterion definitons are maintained in the Pairwise: Intensity Priorities sheet. Do NOT modify in this sheet.</t>
  </si>
  <si>
    <t>► Column Helper 
(click +)</t>
  </si>
  <si>
    <t xml:space="preserve">  Σ row avgs (unnorm) → Σ normalised weights → must = 1.0000</t>
  </si>
  <si>
    <t>User Input Required</t>
  </si>
  <si>
    <t>Optional / Advanced Input</t>
  </si>
  <si>
    <t>Define the decision context</t>
  </si>
  <si>
    <t>1.1 AHP Hierarchy</t>
  </si>
  <si>
    <t>Review the AHP decision structure</t>
  </si>
  <si>
    <t>1.2 Criteria Weights</t>
  </si>
  <si>
    <t>Set criteria importance</t>
  </si>
  <si>
    <t>1.3 Intensity Priorities</t>
  </si>
  <si>
    <t>Set rating-level priorities</t>
  </si>
  <si>
    <t>1.4 EA Smell Scoring</t>
  </si>
  <si>
    <t>Rate EA smells against criteria</t>
  </si>
  <si>
    <t>Step 6</t>
  </si>
  <si>
    <t>1.5 Results – EA Smell Dashboard</t>
  </si>
  <si>
    <t>Review prioritisation results</t>
  </si>
  <si>
    <t>Review criteria-weight calculations</t>
  </si>
  <si>
    <t>Optional / Read-Only</t>
  </si>
  <si>
    <t>Review and select EA smells</t>
  </si>
  <si>
    <t>Reference / Input</t>
  </si>
  <si>
    <t>AHP Saaty Reference</t>
  </si>
  <si>
    <t>Review the Saaty judgment scale</t>
  </si>
  <si>
    <t>Reference</t>
  </si>
  <si>
    <t>Pairwise judgments have been predefined based on the Level 1–5 progression. AHP scores are calculated automatically. Judgments may be adjusted to reflect a different decision context.</t>
  </si>
  <si>
    <t>The priority vector is derived from the pairwise comparisons using the Analytic Hierarchy Process (AHP). Idealized priorities are obtained by dividing each priority by the largest priority, resulting in a maximum value of 1.000. These idealized priorities are automatically used during EA smell scoring.</t>
  </si>
  <si>
    <t>1.7 AHP Calculations</t>
  </si>
  <si>
    <t>Idealized Priority</t>
  </si>
  <si>
    <t>Normalized Priority</t>
  </si>
  <si>
    <t>Local Weight</t>
  </si>
  <si>
    <t>Global Weight</t>
  </si>
  <si>
    <t>Step 3 — Review Derived Criteria Weights</t>
  </si>
  <si>
    <t>Intensity Priorities (AHP Pairwise Comparisons) - Advanced Input / Optional</t>
  </si>
  <si>
    <t>This tool applies the Analytic Hierarchy Process (AHP) to prioritize Enterprise Architecture (EA) smell instances identified during architectural reviews. It provides structured, multi-criteria evaluation with full consistency checking and scenario-based sensitivity analysis.</t>
  </si>
  <si>
    <t>Boundary Definition</t>
  </si>
  <si>
    <t>1.6 IP Calculations</t>
  </si>
  <si>
    <t>Review intensity priority calculations</t>
  </si>
  <si>
    <t>Theoretical basis in Lankhorst et al.</t>
  </si>
  <si>
    <t>Operationalization in this study</t>
  </si>
  <si>
    <t>Architectural structuring decisions affect quality attributes such as modifiability.</t>
  </si>
  <si>
    <t>Context</t>
  </si>
  <si>
    <t>Consequences`</t>
  </si>
  <si>
    <t>Cause</t>
  </si>
  <si>
    <t>Analysis and design models are often presented without clarifying the viewpoint represented by the model. Mixed viewpoints don't allow the fundamental separation of concerns, confusing blueprints of abstractions and implementation details.</t>
  </si>
  <si>
    <t>Derived from: "Ambiguous Viewpoint"&lt;br /&gt; Models can be less useful if they don't focus on the required perspective(s). A perspective applies filters to the information. It can also be the case that multiple viewpoints are maintained, although no stakeholder is responsible for this unused viewpoint. Then viewpoints are created just for the sake of having viewpoints.</t>
  </si>
  <si>
    <t>Different viewpoints emphasize different aspects, which can also cause disregard of some crucial factors of other viewpoints.</t>
  </si>
  <si>
    <t>It is hard to specify every important aspect from all possible viewpoints. Thus, it is important to state the taken viewpoint which should be elaborated extensively.</t>
  </si>
  <si>
    <t>This antipattern is characterized by the lack of architecture specifications for a system under development. Usually, the architects responsible for the project have experience with previous system construction, and therefore assume that documentation is unnecessary.</t>
  </si>
  <si>
    <t>Derived from: "Architecture by Implication"&lt;br /&gt;  The antipattern is acceptable for a repeated solution, where there are minor differences to previous ones. The Architecture by Implication antipattern differs from the Stovepipe System antipattern in scope; the latter focuses on deficiencies in architecture. In particular, it identifies how improper abstraction of subcomponents leads to brittle architecture solutions. In contrast, the Architecture by Implication antipattern involves planning gaps constituted of multiple architecture viewpoints.</t>
  </si>
  <si>
    <t>Lack of architecture planning and specification; insufficient definition of architecture for software, hardware, communications, persistence, security, and systems management. Hidden risks caused by scale, domain knowledge, technology, and complexity, all of which emerge as the project progresses.</t>
  </si>
  <si>
    <t>No risk management. Overconfidence of managers, architects, and/or developers. Reliance on previous experience, which may differ in critical areas. Implicit and unresolved architecture issues caused by gaps in systems engineering.</t>
  </si>
  <si>
    <t>A strategy often preferred by large vendors where an entire Enterprise Architecture Model is built "at once".</t>
  </si>
  <si>
    <t>Derived from: "Big Bang"&lt;br /&gt; Even in the design process "divide and conquer is useful". So don't try to design the whole structure at the same time. Take steps to increase the quality of the system and avoid many other smells with a thought out architecture.</t>
  </si>
  <si>
    <t>Creating a whole Enterprise Architecture Model in a Big Bang may lead to poorly understood requirements and inconsistencies in the architecture. Communication between and integration of services may be inefficient.</t>
  </si>
  <si>
    <t>Due to fine-grained interfaces, services are not independent enough and an incremental development is not possible.</t>
  </si>
  <si>
    <t>A service that has one large interface with many parameters or requires much data and performs mostly heterogeneous operations with low cohesion.</t>
  </si>
  <si>
    <t>Derived from: "Long Parameter List"&lt;br /&gt; Don't get rid of options if doing so would cause unwanted dependency between components.</t>
  </si>
  <si>
    <t>Bad understandability. Refactoring may reveal previously unnoticed Duplication of functionality.</t>
  </si>
  <si>
    <t>A long list of required inputs might happen after several types of operations are merged in a single element. A long list may have been created to control which functionality will be run and how. It's hard to understand such lists, which become contradictory and hard to use as they grow longer.</t>
  </si>
  <si>
    <t>Business processes have been strictly defined and are now static and cannot be easily changed.</t>
  </si>
  <si>
    <t>Derived from: "Business Process Forever"&lt;br /&gt; Especially in small and medium sized businesses, business processes are often not stable. Moreover, not enough data of good quality may be available to allow a solid design.</t>
  </si>
  <si>
    <t>Business process owners have little to no control over the outcome and quality of their processes, since they cannot change their structure. They are merely observers.</t>
  </si>
  <si>
    <t>Business processes have been rigorously defined in the past and are now regarded as stable by technical experts. Therefore, business owners may not be able to easily commission for changes.</t>
  </si>
  <si>
    <t>When a service requires multiple interactions with other services to complete a single task, it is considered "chatty" and leads to increased overhead. A high number of operations is required to complete one abstraction. Such operations are typically rather simple tasks that needlessly slow down an entire process.</t>
  </si>
  <si>
    <t>Derived from: "Chatty Service"</t>
  </si>
  <si>
    <t>Maintenance becomes harder, like e.g. changing the order of invocations. Many interactions are required, which leads to overall higher time consumption. This can be especially harmful when synchronous tasks are chained together.</t>
  </si>
  <si>
    <t>A subtle form of Duplication, this smell exists when numerous elements do the same thing using different combinations of data or behavior.</t>
  </si>
  <si>
    <t>Derived from: "Combinatorial Explosion"</t>
  </si>
  <si>
    <t>Lack of refactoring and awareness of changing concerns, making naive design decisions.</t>
  </si>
  <si>
    <t>Services implement large amounts of low-level interaction-related functionality, e.g. for communication, coordination, conversation, or facilitation. These functionalities should be implemented by a connector instead.</t>
  </si>
  <si>
    <t>Derived from: "Connector Envy"</t>
  </si>
  <si>
    <t>Reusability is reduced, because these low-level details are too specific and not agnostic enough. Understandability is reduced, because different concerns are mixed. Testability is reduced, because the connector and service functionality cannot be tested separately.</t>
  </si>
  <si>
    <t>Performance may have been preferred over maintainability, since separation of connector and service functionality would create an additional level of indirection.</t>
  </si>
  <si>
    <t>This smell arises when two or more abstractions depend on each other directly or indirectly (creating a tight coupling between the abstractions). A cyclic chain of calls between abstractions exists.</t>
  </si>
  <si>
    <t>Derived from: "Cyclic Dependency" or "Circular Dependency" &lt;br /&gt; A special form of Cyclic Dependency is sometimes exhibited with specializations. A subtype has an obvious dependency on its supertype. However, when the supertype also depends on the subtype (for instance, by having an explicit reference to the subtype), it results in a cyclic dependency.</t>
  </si>
  <si>
    <t>Abstractions involved in a cyclic dependency can be harder to maintain or reuse, as they are more strongly coupled.</t>
  </si>
  <si>
    <t>Hard to visualize indirect dependencies.</t>
  </si>
  <si>
    <t>A service that exclusively performs information retrieval and typically provides only simple read operations. Often goes hand in hand with Feature Envy, because relevant functionality is not provided.</t>
  </si>
  <si>
    <t>Derived from: "Data Class"&lt;br /&gt; This smell can, but does not have to, be applied to the provided model, depending on the used architectural style</t>
  </si>
  <si>
    <t>A data service may have a large number of operations with low cohesion, which can have a negative influence on maintainability.</t>
  </si>
  <si>
    <t>Data and behavior should be tightly coupled in the same abstraction. If they spread across different components, then it is likely that an abstraction contains only data, whereas the behavior that requires that data lies in another abstraction.</t>
  </si>
  <si>
    <t>You migrate from a monolithic application to a microservices architecture and try to migrate both service functionality and the corresponding data together.</t>
  </si>
  <si>
    <t>Derived from: "Data-Driven Migration"&lt;br /&gt; Because it is difficult to get the granularity of each service right the first time, you may be frequently merging or splitting your services. Ideally, you want to migrate the data for each service only once, because data migrations are complex and error-prone much more than functionality migrations.</t>
  </si>
  <si>
    <t>Additional efforts for data migration, because you will need several iterations to get it right.</t>
  </si>
  <si>
    <t>Trying to split the data for each service right the first time.</t>
  </si>
  <si>
    <t>A component is no longer used (usually because it is now obsolete). Or you have generic or abstract elements that are not actually needed today. Such components often exists to support future behavior, which may or may not be necessary in the future.</t>
  </si>
  <si>
    <t>Derived from: "Dead Code"&lt;br /&gt; Dead Code is software or lines of code that are no longer used or have become redundant but, for safety’s sake, remain in the code base.</t>
  </si>
  <si>
    <t>Unused elements increase the complexity which harms the readability and maintainability.</t>
  </si>
  <si>
    <t>When requirements have changed or corrections have been made, nobody had time to clean up the old structure. Sometimes components are created "just in case" to support anticipated future features that never get implemented.</t>
  </si>
  <si>
    <t>A single responsibility has been split up among a large number of classes. This can happen after overzealous reduction of Multifaceted Abstraction. All was well as long as the structure stayed small. But with new components being added, making changes has become harder and harder.</t>
  </si>
  <si>
    <t>This Smell occurs when an abstraction makes its members accessible to other abstractions in a more permissive way, which is not necessarily required. In the EA domain, particularly in the ArchiMate modeling language there are no access modifiers. As a result, we need to slightly adjust the definition to apply this concept to ArchiMate. Instead of modifiers, we try to identify sources of information that contain sensitive data while the rules for accessing those data are more lenient than necessary.</t>
  </si>
  <si>
    <t>Derived from: "Deficient Encapsulation"&lt;br /&gt; Components have too deep insight into unimportant details of other elements, making their work harder.</t>
  </si>
  <si>
    <t>Not restricted sensitive data can be retrieved and modified by other abstractions unintentionally or imperceptibly.</t>
  </si>
  <si>
    <t>Keep a close eye on components that spend too much time together. Good elements should know as little about each other as possible. Such elements are easier to maintain and reuse.</t>
  </si>
  <si>
    <t>Pick a set of standard terminology and stick to it throughout your naming. Avoid meaningless names and try to match the responsibility/functionality of an component with an intuitive catchy name.</t>
  </si>
  <si>
    <t>Derived from: "Deficient Names"&lt;br /&gt; Does the name of the component succinctly describe what that component does? Could you read the element's name to a coworker and have them explain to you what it does?</t>
  </si>
  <si>
    <t>Unclear behavior of components and inconsistent names.</t>
  </si>
  <si>
    <t>Can be caused by multiple architects with no common standard of naming.</t>
  </si>
  <si>
    <t>This smell arises when an EA repository has excessive and dense dependencies without any particular structure.</t>
  </si>
  <si>
    <t>Derived from: "Dense Structure"</t>
  </si>
  <si>
    <t>Modifications to the system may be cumbersome and many dependencies have to be added, due to the high coupling.</t>
  </si>
  <si>
    <t>Inefficient abstraction that needs high coupling of components to work.</t>
  </si>
  <si>
    <t>When you feel like writing a long and complex comment on aspects and the use of one element, try to refactor so that the comment becomes superfluous. Often documentations are even poorly written or completely unnecessary.</t>
  </si>
  <si>
    <t>Derived from: "Comments"&lt;br /&gt; Explanations can sometimes be useful: When explaining why something is being implemented in a particular way. When explaining complex structures/processes (when all other methods for simplification have been tried and come up short). Note that this smell is called "Documentation" because it is compliant to the ArchiMate-Notation. Maybe it should be renamed in the future with a more accurate name, because it can be confused with a holistic documentation.</t>
  </si>
  <si>
    <t>Comments are usually created with the best of intentions, when something is not intuitive or obvious. In such cases, explanations are like a deodorant masking the smell of fishy abstractions that could be improved.</t>
  </si>
  <si>
    <t>Two or more abstractions with highly similar functionality exist.</t>
  </si>
  <si>
    <t>Derived from: "Duplicated Code"&lt;br /&gt; Don't Repeat Yourself! While Microservices usually follow a "share nothing" philosophy, reuse is a common theme in SOA. Service normalization and consolidation are therefore frequent activities in an SOA to reduce the level of duplication. In Microservices on the other, you consciously allow duplication to exist up to a certain degree, because it reduces coupling and dependencies in your system.</t>
  </si>
  <si>
    <t>Duplicated functionality reduces the level of reuse and may confuse service consumers that cannot identify the service or operation they need. Moreover, if this common functionality changes, it needs to change in all duplicated locations, therefore causing higher maintenance efforts. A culture of "build and expose" may form where the enterprise becomes a mess of services all attempting to do the same thing.</t>
  </si>
  <si>
    <t>Duplication usually occurs when multiple architects are working on different parts of the same architecture at the same time. Since they're working on different tasks, they may be unaware their colleague has already defined similar components that could be repurposed for their own needs. There's also more subtle duplication, when specific parts look different but actually perform the same job. This kind of duplication can be hard to find and fix. Sometimes duplication is purposeful. When rushing to meet deadlines and the existing architecture is "almost right" for the job, novice architects may not be able to resist the temptation of copying and pasting the relevant elements. And in some cases, the developer is simply too lazy to de-clutter.</t>
  </si>
  <si>
    <t>This Smell occurs when an abstraction becomes more focused on the methods and fields of other abstractions rather than its functions and variables. This issue typically arises when data and functionality that should be kept together are separated across multiple components. It is often, but not always, accompanied by another smell, Data Service.</t>
  </si>
  <si>
    <t>Derived from: "Feature Envy"&lt;br /&gt; Sometimes behavior is purposefully kept separate from the element that holds the data. The usual advantage of this is the ability to dynamically change the behavior. Depending on the architecture, this smell can be applied differently.</t>
  </si>
  <si>
    <t>This smell may occur after further data is moved to a data component. If this is the case, you may want to move the operations on data to this component as well.</t>
  </si>
  <si>
    <t>A system implements its functionality as services although there are no objective reasons for and benefits from this. It depicts the overzealous utilization of apparently universal solutions, instead of well suited adaptions of such solutions.</t>
  </si>
  <si>
    <t>Derived from: "Golden Hammer"&lt;br /&gt; It seems like a Golden Hammer is a tool that is very familiar, simple to apply, and works best on things within striking distance: everyday problems. "I have a hammer and everything else is a nail". A Golden Hammer is something we already have, and it worked great lots of time before, so it will be used for whatever comes next.</t>
  </si>
  <si>
    <t>Unnecessary distribution can lead to performance issues, because direct communication is more efficient. There are also higher efforts for development, testing, and debugging, because implementing functionality as services is complex.</t>
  </si>
  <si>
    <t>Services may be chosen because of their promised scalability, modifiability, or interoperability, even though these quality attributes are not really vital for the system at hand. A general reason therefore is a poor understanding of the system's requirements. Lastly, using new and hyped technology or architectural styles is attractive and tempting for a lot of developers and architects.</t>
  </si>
  <si>
    <t>This smell arises when an abstraction has dependencies (both incoming and outgoing) with a large number of other abstractions, being a single point of failure.</t>
  </si>
  <si>
    <t>Derived from: "Hub-like Modularization"</t>
  </si>
  <si>
    <t>The service may have increased response times and low availability. It also becomes a single point of failure in the architecture.</t>
  </si>
  <si>
    <t>Functionality may gradually become more and more important and is therefore used by more and more consumers, maybe even external ones via a public service interface. To maximize reuse, service interfaces are sometimes also generalized which leads to more service consumers as well.</t>
  </si>
  <si>
    <t>Occurs when responsibilities emerge in our system that clearly should be moved to a separate group, but we are unable or unwilling to modify the group to accept these new responsibilities</t>
  </si>
  <si>
    <t>Derived from: "Incomplete Library Class"&lt;br /&gt; Extending a group (node or collaboration) can generate additional work if the changes to the group involve changes in existing components or structure.</t>
  </si>
  <si>
    <t>The developer of the group hasn't provided the features you need or has refused to implement them.</t>
  </si>
  <si>
    <t>A lack of semantically consistent versions of EA models (e.g. v1.1, v1.2, etc.) or poor versioning in general.</t>
  </si>
  <si>
    <t>Derived from: "API Versioning"&lt;br /&gt; The version is the first hint at different behaviors or changed functionality.</t>
  </si>
  <si>
    <t>In case of updates to non-semantically versioned models, users may face breaking changes. For example, the structure is changed fundamentally, such that the majority of procedures has to be performed in a new way.</t>
  </si>
  <si>
    <t>When horizontal and vertical design elements are intermixed, an unstable architecture results. Vertical design elements are dependent upon the individual application and specific implementations. Horizontal design elements are those that are common across applications and specific implementations.</t>
  </si>
  <si>
    <t>Derived from: "Jumble"&lt;br /&gt; It takes some time to fully understand the meaning and implications of horizontal and vertical design elements. Horizontal rather talks about technical related and vertical talks more about business functionality. In particular, the Horizontal-Vertical-Metadata (HVM) pattern establishes key principles for software architecture design that could be adapted for EA. The Jumble antipattern describes the most common misuse of these principles.</t>
  </si>
  <si>
    <t>Unstable architecture with unclear possibilities for development.</t>
  </si>
  <si>
    <t>A component that is not doing enough to pay for itself should be eliminated. Those components have limited responsibilities. That way, they clutter design, creating unnecessary abstractions. Although delegation is good, and one of the key fundamental features of abstractions, too much of a good thing can lead to objects that add no value, simply passing messages on to another component.</t>
  </si>
  <si>
    <t>Derived from: "Lazy Class" and "Middle Man"&lt;br /&gt; This smell can be the result of overzealous elimination of Message Chains. Sometimes a Lazy Component is created in order to delineate intentions for future development or to avoid dependencies between elements (e.g. Decorator Pattern). In this case, try to maintain a balance between clarity and simplicity in your architecture.</t>
  </si>
  <si>
    <t>This smell can be the result of overzealous elimination of Message Chains. In other cases, it can be the result of the useful work of a functional component being gradually moved to other components during refactoring, for example. The original component remains as an empty shell that has become ridiculously small and doesn't do anything other than delegate.</t>
  </si>
  <si>
    <t>A chain of service calls and messages fulfills common functionality.</t>
  </si>
  <si>
    <t>Derived from: "Message Chain"&lt;br /&gt; Multiple services exist that call each other sequentially to fulfill an abstraction or business process. Overly aggressive delegate hiding can cause structures in which it is hard to see where the functionality is actually occurring.</t>
  </si>
  <si>
    <t>Such a chain may slow down performance and reduces the availability of the chained abstraction. It may also be harder to change the abstraction, especially with respect to the invocation order of services.</t>
  </si>
  <si>
    <t>The organization may have created a detailed map of processes, which resulted in a series of grand "end to end" process models that are categorized by their large number of steps and a lack of sub-processes. However, no valid business services have been identified and thus the process maps have been created without a proper service structure. This makes identifying valid services a tricky process, especially when looking for cross-functional or horizontal services.</t>
  </si>
  <si>
    <t>Architects tend to make every functionality or data element a separate component, ignoring the benefits of abstractions altogether. In the EA domain, the model should also contain abstract elements to illustrate a more general point of view. The absence of such elements may indicate that the model suffers from Missing Abstraction EA Smell.</t>
  </si>
  <si>
    <t>Derived from: "Functional Decomposition" and "Primitive Obsession"&lt;br /&gt; The EA model should give a more abstract insight and, thus, provide also more general components. Inside those abstractions further elements can be introduced to enable extensive description of the architecture.</t>
  </si>
  <si>
    <t>The model is hard to read, complex and very confusing.</t>
  </si>
  <si>
    <t>Lack of architecture enforcement. Sometimes, those who generate specifications and requirements don't necessarily have real experience with those EA systems. Creating a simple element is so much easier than making a whole new extended component, right?</t>
  </si>
  <si>
    <t>A good abstraction should only be responsible for one specific functionality, and when it encapsulates more than one responsibility, it signifies the the Multifaceted Abstraction Smell. The Multifaceted Abstraction Smell violates the single responsibility principle and has a low cohesion, which also violates the principle of modularization.</t>
  </si>
  <si>
    <t>Derived from: "Multifaceted Abstraction"&lt;br /&gt; High cohesion is one of the most important design principles. Services should provide operations that are closely related to each other. Functionality that is likely to change together should be in the same service.</t>
  </si>
  <si>
    <t>The Multifaceted Abstraction Smell violates the single responsibility principle, which also violates the principle of modularization. The maintainability of such a service may be reduced. It may be more difficult to analyze and grasp all provided service functionality. The business logic is not reusable, because it contains service-specific implementation. Low cohesion and possibly low availability with high response times.</t>
  </si>
  <si>
    <t>Often these divergent modifications are due to poor architectural structure or "cloning".</t>
  </si>
  <si>
    <t>A nano service is a fine-grained service with a simple operation that implements only a part of an abstraction and exchanges a large amount of information with a group of services to complete an abstraction task.</t>
  </si>
  <si>
    <t>Derived from: "Nanoservices"&lt;br /&gt; A SOA is often created by combining several relatively simple services. These services may not have been built with an SOA scenario in mind, but may rely more on simple RPC interaction. This may produce a large number of calls between services.</t>
  </si>
  <si>
    <t>Bad performance, fragmented logic, and an overhead in maintenance efforts. The functionality of one core abstraction is scattered across multiple services. This means multiple services may have to be changed to address a single feature or concept. Testing such a feature therefore also involves several services.</t>
  </si>
  <si>
    <t>Hidden or unclear requirements make it very hard to identify fitting abstractions. Sometimes, individual use cases are therefore mapped to separate services. Misunderstanding or wrongly applying patterns may also lead to nanoservices.</t>
  </si>
  <si>
    <t>A legacy component is completely rebuilt instead of being (partly) modernized and integrated. Often, this anti-pattern is combined with the "Big Bang" anti-pattern where the entire system is built all at once.</t>
  </si>
  <si>
    <t>Derived from: "No Legacy"&lt;br /&gt; Management does not want to keep a legacy system of decent quality and therefore wants to rebuild the entire system. The idea is that obsolete parts should be dropped and integration and modernization efforts are perceived to be similar to a complete rewrite. However, since SOA usually enables the efficient integration of applications, a complete rewrite of the legacy system should require much more efforts.</t>
  </si>
  <si>
    <t>Very high investments and considerable risk are associated with a complete rewrite of large complex systems.</t>
  </si>
  <si>
    <t>Project management does not understand that integrating legacy systems into a new environment does not necessarily have to be a bad thing.</t>
  </si>
  <si>
    <t>Practices of object-orientation or other non-SOA techniques are used because the principles of service orientation have not been understood.</t>
  </si>
  <si>
    <t>Derived from: "Nothing New"&lt;br /&gt; In a migration or transition context, there is often a clash between the principles or foundations of paradigms or architectural styles, e.g. object orientation and service orientation.</t>
  </si>
  <si>
    <t>These practices may lead to poorly usable interfaces and may hinder maintainability.</t>
  </si>
  <si>
    <t>Experienced object-oriented developers may fail to see new features in service orientation and therefore apply their standard practices in the new style. No trainings are provided to address this and prepare the developers for the new paradigm.</t>
  </si>
  <si>
    <t>In order to assure that components provide the greatest extent of reusability, they must be flexibly applicable. This generalization can be overdone though, which will result in overgeneralization. It will become more flexible than it actually needs to be.</t>
  </si>
  <si>
    <t>Derived from: "Ambiguous Interface"&lt;br /&gt; A service offers a single and very general operation instead of allocating its provided functionality. Sometimes combined with Bloated Service.</t>
  </si>
  <si>
    <t>Not only does this smell lead to additional development work, it also makes using the components more difficult. Analyzability and understandability are reduced, because a service does not allocate all its provided functionality in a clear manner. Therefore, a user has to analyze this element before using it.</t>
  </si>
  <si>
    <t>May easily appear in systems, where interactions are not explicitly modeled and multiple services exchange event messages on a regular basis.</t>
  </si>
  <si>
    <t>An EA is implemented with one elementary service per component resulting in many small components that are sharing data.</t>
  </si>
  <si>
    <t>Derived from: "Sand Pile"</t>
  </si>
  <si>
    <t>The large amount of small components may cause inefficiencies and maintenance problems.</t>
  </si>
  <si>
    <t>Sand Pile may be caused by a wrong grouping of "atomic" capabilities.</t>
  </si>
  <si>
    <t>Multiple services are responsible for the same concern and some of these services are also responsible for orthogonal concerns.</t>
  </si>
  <si>
    <t>Derived from: "Scattered Parasitic Functionality"&lt;br /&gt; That a single concern is split among multiple services and that at least one service handles multiple orthogonal concerns violates important service-oriented principles. This means that these concerns infect services with another orthogonal concern, like a parasite.</t>
  </si>
  <si>
    <t>Modifiability, reusability, and testability may be reduced. Changing a scattered shared concern requires the changing and testing of several services. The shared concern also cannot be efficiently reused.</t>
  </si>
  <si>
    <t>It may be a tempting shortcut to distribute a concern over several existing services.</t>
  </si>
  <si>
    <t>Different services access the same database. In the worst case, different services access the same entities of the same schema.</t>
  </si>
  <si>
    <t>Derived from: "Shared Persistency"&lt;br /&gt; The implementation of services usually follows a "share nothing" philosophy. This is especially relevant for clear data ownership. Each data collection or schema usually belongs to exactly one service. The only allowed access to this data is via this service.</t>
  </si>
  <si>
    <t>This smell highly couples the services connected to the same data, reducing team and service independence.</t>
  </si>
  <si>
    <t>Generally, when many abstractions are dependent to a single abstraction, any changes in the single abstraction may force some modifications in the dependent abstractions. This smell is evident when you must change lots of pieces in different places of the system simply to add a new or extended piece of behavior.</t>
  </si>
  <si>
    <t>Derived from: "Shotgun Surgery"</t>
  </si>
  <si>
    <t>Multiple systems within an EA model are designed independently at every level. It occurs when the interface of two components are different and yet the components themselves are quite similar. Subsystems are integrated in an ad hoc manner using multiple integration strategies and mechanisms.</t>
  </si>
  <si>
    <t>Derived from: "Stovepipe System"&lt;br /&gt; Stovepipe is a popular term used to describe software systems with ad hoc architectures. It is a metaphor to the exhaust pipes of wood-burning stoves, so-called pot-bellied stoves. Since wood burning produces corrosive substances that erode metal, a stovepipe must be constantly maintained and repaired in order to avoid leakage. Often, the pipes are repaired with any materials at hand, thus wood-burning stovepipes quickly become a hodgepodge of ad hoc repairs - hence, the reference is used to describe the ad hoc structure of many systems.</t>
  </si>
  <si>
    <t>Technical and utility functions are implemented inconsistently. Development time of stovepipe services is considerably larger. Duplication and different implementations for the same functionality also has a negative impact on maintainability. Lack of commonality inhibits interoperability between systems, prevents reuse, and drives up cost; in addition, reinvented system architecture and services lack quality structure supporting adaptability.</t>
  </si>
  <si>
    <t>Inexperience in developing multilayer architectures is one reason that can result in stovepipe systems. They can also be caused by insufficient team communication and a lack of design reviews.</t>
  </si>
  <si>
    <t>Archimate's specification offers certain relationships between it's core layers. They are realization and serving relationships. Serving is used when an element from upper layer use the services from lower layer and realization is used when a lower level realizes or implements the more abstract concept from the upper layer.  The application and technology layers must communicate with the business layer with these two types of relations. Using other relation types is not syntactically restricted, although not suggested.</t>
  </si>
  <si>
    <t>Derived from: "Strict Layers Violation"&lt;br /&gt; This violation very often occurs in the real world, although the model itself defined the layers and processes precisely.</t>
  </si>
  <si>
    <t>Alterability is affected. The number of a layer's potential clients will increase, and the dependency between layers will grow.</t>
  </si>
  <si>
    <t>Layers must be built based on conventions.</t>
  </si>
  <si>
    <t>Some components are introduced, in order to make a relatively fast adaption such that the established environment is working, although this temporary solution does not represent the desired or intended solution. This is the very common view of debt being taken.</t>
  </si>
  <si>
    <t>Inspired by: "Temporary Field"&lt;br /&gt; Oftentimes, those adaptions are made "on the fly", without a full model being designed.</t>
  </si>
  <si>
    <t>In order to keep the architecture working, adjustments have to be made shortly. Those adjustments are no optimal solutions resulting in cluttered abstractions and messed up architecture.</t>
  </si>
  <si>
    <t>A service that provides a large number of operations for multiple different business and technical abstractions. Often has a bloated interface and implementation.</t>
  </si>
  <si>
    <t>Derived from: "The God Object"</t>
  </si>
  <si>
    <t>Having only a few or even a single large service within the system may impact maintainability, performance, and availability. A very large service is harder to analyze and comprehend. Furthermore, multiple developers will concurrently work on the same service, which can cause unnecessary conflicts. Such a service will also have many consumers and therefore increases coupling in the system. Any changes to its interface result in ripples to these consumers. Moreover, testing such a service becomes very time consuming due to the dependencies within the service. The size and complexity of the service can also mean that using the service needs special effort. Lastly, such a service may become a performance bottleneck or a single point of failure.</t>
  </si>
  <si>
    <t>Hidden or unclear requirements may make it difficult to identify fitting abstractions. Wrongly applied patterns may also lead to a megaservice. The service designer may also be unfamiliar with the principles of high cohesion and low coupling.</t>
  </si>
  <si>
    <t>The latest technology buzz is incorporated into your system for the sake of telling people about it.</t>
  </si>
  <si>
    <t>Derived from: "The Shiny Nickel"</t>
  </si>
  <si>
    <t>Technologies are rarely re-used from one project to the next as IT delivery moves to the next shiny nickel. Each project lays down another technology stratum that increases the cost and complexity of support and creates an integration challenge for future projects.</t>
  </si>
  <si>
    <t>The Shiny Nickel antipattern is often caused by soft procurement rules and a lack of a common IT strategy and vision. Often, product procurement takes place independently from projects, which leads to technology decisions on projects being driven by a desire to minimize shelfware.</t>
  </si>
  <si>
    <t>The Vendor Lock-In is an anti-pattern when a product becomes strongly dependent on a technology provided by a vendor.</t>
  </si>
  <si>
    <t>Derived from: "Vendor Lock-In"&lt;br /&gt; Standardization is a useful part of any technical domain, but standards are commonly set by large software vendors and do not focus on compatibility with other standards.</t>
  </si>
  <si>
    <t>Being overly reliant on a vendor's technology impacts the software quality, and the cost of switching to another technology becomes so high that the software is forced to stick with the current vendor.</t>
  </si>
  <si>
    <t>The tendency to standardize all technical aspects and dimensions leads to such an overstandardization.</t>
  </si>
  <si>
    <t>Project teams that grow beyond five people generally experience escalating difficulties with group coordination. The members have trouble making efficient decisions and maintaining a common vision. Working toward a near-term deadline is essential to encourage the team to focus and begin producing a solution.</t>
  </si>
  <si>
    <t>Derived from: "Warm Bodies"&lt;br /&gt; Skilled developers are essential to the success of a project. So-called heroic developers are exceptionally productive, but as few as 1 in 20 have this talent. They produce an order of magnitude of more suitable solutions than an average developer. Large-scale projects are prevalent in many industries. These projects employ hundreds of developers to build an enterprise system; a staff of 100 to 400 on a single project is not atypical. Many times this is not modelled, such that the smell must not become evident during design, but only afterwards in practice.</t>
  </si>
  <si>
    <t>Each module must strive for high cohesion and low coupling. This smell arises when a module exhibits high coupling and low cohesion.</t>
  </si>
  <si>
    <t>Derived from: "Weakened Modularity"&lt;br /&gt; High cohesion is one of the most important design principles. Modules should provide operations that are closely related to each other. Functionality that is likely to change together should be in the same artifact.</t>
  </si>
  <si>
    <t>The maintainability and possibility for development may be reduced. It may be more difficult to analyze and grasp all provided functionality.</t>
  </si>
  <si>
    <t>Often these divergent modifications are due to poor program structure.</t>
  </si>
  <si>
    <t>Services are split on the basis of technical layers (presentation, business, and data layers) instead of business capabilities. Transactions extend across service boundaries and are not isolated inside services.</t>
  </si>
  <si>
    <t>Derived from: "Wrong Cuts"</t>
  </si>
  <si>
    <t>Such a wrong separation of concerns can lead to increased data-splitting complexity. Moreover, this may cause ripple effects on changes and therefore decreases maintainability. Lastly, it may impact performance, if several services are needed to fulfill an abstraction.</t>
  </si>
  <si>
    <t>Rapidly evolving business processes may result in such transactions. Starting the design of an EA completely upfront without keeping some design decisions open may also lead to this antipattern.</t>
  </si>
  <si>
    <t>EA Concen</t>
  </si>
  <si>
    <t>Architectural Scope</t>
  </si>
  <si>
    <r>
      <rPr>
        <b/>
        <sz val="10"/>
        <color rgb="FF1B4F5F"/>
        <rFont val="Arial"/>
        <family val="2"/>
      </rPr>
      <t xml:space="preserve">SOURCES: 
</t>
    </r>
    <r>
      <rPr>
        <sz val="10"/>
        <color rgb="FF1B4F5F"/>
        <rFont val="Arial"/>
        <family val="2"/>
      </rPr>
      <t>Lankhorst, M. (2017). Enterprise Architecture at Work: Modelling, Communication and Analysis (4th ed.). Springer.
RWTH Aachen University. EA Smell Catalogue. EA Smell Catalogue</t>
    </r>
  </si>
  <si>
    <t>Analytical Grouping</t>
  </si>
  <si>
    <t>Service orientation promotes interoperability at the information technology and higher semantic levels.</t>
  </si>
  <si>
    <t>The comprehensibility of a representation for its intended audience is crucial for effective communication.</t>
  </si>
  <si>
    <t>Architecture alignment concerns aligning IT architecture with business architecture and acts as a regulating idea that directs architectural decisions.</t>
  </si>
  <si>
    <t>Primary architectural effect is increased difficulty changing, maintaining, or evolving the architecture due to structural characteristics such as coupling, cohesion, component organization, or dependencies.</t>
  </si>
  <si>
    <t>Primary architectural effect is increased difficulty changing, maintaining, or evolving the architecture due to interactions or behavioral dependencies between architectural elements, such as service calls or chains.</t>
  </si>
  <si>
    <t>Primary architectural effect is impaired interaction, integration, or information exchange between architectural elements, including problems arising from incompatible interfaces or inappropriate separation of interacting concerns.</t>
  </si>
  <si>
    <t>Primary architectural effect is reduced clarity, interpretability, or understandability of the architecture, its elements, relationships, responsibilities, or representation.</t>
  </si>
  <si>
    <t>Primary architectural effect is a constraint on the architecture's ability to support business needs, architectural direction, or longer-term organizational objectives.</t>
  </si>
  <si>
    <r>
      <rPr>
        <b/>
        <sz val="12"/>
        <color rgb="FF2F7F8D"/>
        <rFont val="Arial"/>
        <family val="2"/>
      </rPr>
      <t xml:space="preserve">Rating (Intensity Priority): </t>
    </r>
    <r>
      <rPr>
        <sz val="12"/>
        <color rgb="FF2F7F8D"/>
        <rFont val="Arial"/>
        <family val="2"/>
      </rPr>
      <t>Rating assigned on the 1–5 scale, with its corresponding AHP-derived priority shown in parentheses.</t>
    </r>
  </si>
  <si>
    <t>4 (0.2231)</t>
  </si>
  <si>
    <t>4 (0.1963)</t>
  </si>
  <si>
    <t>3 (0.3426)</t>
  </si>
  <si>
    <t>3 (0.4757)</t>
  </si>
  <si>
    <t>5 (0.0855)</t>
  </si>
  <si>
    <t>5 (0.0856)</t>
  </si>
  <si>
    <r>
      <t>How to read the results:</t>
    </r>
    <r>
      <rPr>
        <sz val="12"/>
        <color rgb="FF2F7F8D"/>
        <rFont val="Arial"/>
        <family val="2"/>
      </rPr>
      <t xml:space="preserve"> Total is the weighted score for each EA smell instance, based on its ratings across the subcriteria. Normalized Priority is the normalized Total, showing the relative priority of each EA smell. Priority values sum to 1 (100%) and determine the final ranking.</t>
    </r>
  </si>
  <si>
    <t>The EA-smell instance creates little or no coordination dependency beyond a single stakeholder group.</t>
  </si>
  <si>
    <t>Duplicate functionality exists in the ERP and payroll systems for calculating timesheets. A business analyst identifies the redundancy and redesigns the business process so that timesheet calculation is performed only in the ERP system. The architectural condition is confined to the responsibility of a single stakeholder group and does not create coordination dependencies with other teams.</t>
  </si>
  <si>
    <t>The EA-smell instance creates coordination dependencies between two stakeholder groups.</t>
  </si>
  <si>
    <t>Duplicate functionality exists in the ERP and payroll systems for calculating timesheets. A business analyst decides that timesheet calculation should be performed only in the ERP system. Developers introduce a simple application interface through which the payroll system imports the calculated timesheets from the ERP system. The dependency between the two systems creates a coordination requirement between business stakeholders and application developers.</t>
  </si>
  <si>
    <t>The EA-smell instance creates coordination dependencies across multiple stakeholder groups.</t>
  </si>
  <si>
    <t>Duplicate functionality exists in the ERP and payroll systems for calculating timesheets. A business analyst decides that timesheet calculation should be performed only in the ERP system. Developers introduce an application interface for importing the timesheets, while the infrastructure team configures an automated job scheduler to execute the transfer between systems. The resulting dependencies create coordination requirements among business stakeholders, developers, and infrastructure teams.</t>
  </si>
  <si>
    <t>The EA-smell instance creates coordination dependencies across multiple stakeholder groups and requires recurring involvement of formal architectural governance bodies to align or approve changes affecting the architectural condition (e.g., architecture review boards).</t>
  </si>
  <si>
    <t>An enterprise application relies on vendor-specific database features, creating vendor lock-in. Removing the dependency requires introducing a database abstraction layer to decouple the application from vendor-specific functionality. The architectural and technology dependencies involved create coordination requirements between developers, infrastructure teams, and enterprise architects and require review and approval through architectural governance.</t>
  </si>
  <si>
    <t>The EA-smell instance creates coordination dependencies across multiple organizational domains and stakeholder groups and requires strategic decisions or alignment from enterprise leadership or program sponsors (e.g., CIO, steering committee).</t>
  </si>
  <si>
    <t>Several enterprise applications rely on a vendor-specific database platform, creating strong vendor lock-in. Eliminating the dependency would require migrating multiple systems to an alternative platform and redesigning parts of the application landscape. The resulting cross-system dependencies create coordination requirements across multiple organizational domains and affect the enterprise architecture roadmap, requiring strategic alignment and decisions by enterprise leadership or program sponsors.</t>
  </si>
  <si>
    <t>After changing the input data, select Data → Refresh All to update the tables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</si>
</sst>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000;[Red]0.0000"/>
    <numFmt numFmtId="172" formatCode="0.00000"/>
  </numFmts>
  <fonts count="85" x14ac:knownFonts="1">
    <font>
      <sz val="11"/>
      <color theme="1"/>
      <name val="Calibri"/>
      <family val="2"/>
      <charset val="1"/>
    </font>
    <font>
      <b/>
      <sz val="14"/>
      <color rgb="FFFFFFFF"/>
      <name val="Arial"/>
      <family val="2"/>
    </font>
    <font>
      <b/>
      <sz val="10"/>
      <color rgb="FFFFFFFF"/>
      <name val="Arial"/>
      <family val="2"/>
    </font>
    <font>
      <b/>
      <sz val="9"/>
      <color rgb="FFFFFFFF"/>
      <name val="Arial"/>
      <family val="2"/>
    </font>
    <font>
      <b/>
      <sz val="9"/>
      <color rgb="FF1B4F5F"/>
      <name val="Arial"/>
      <family val="2"/>
    </font>
    <font>
      <sz val="9"/>
      <color rgb="FF404040"/>
      <name val="Arial"/>
      <family val="2"/>
    </font>
    <font>
      <i/>
      <sz val="9"/>
      <color rgb="FF555555"/>
      <name val="Arial"/>
      <family val="2"/>
    </font>
    <font>
      <i/>
      <sz val="8"/>
      <color rgb="FF888888"/>
      <name val="Arial"/>
      <family val="2"/>
    </font>
    <font>
      <b/>
      <sz val="9"/>
      <color rgb="FFB85C00"/>
      <name val="Arial"/>
      <family val="2"/>
    </font>
    <font>
      <b/>
      <sz val="9"/>
      <color rgb="FF2E7D3A"/>
      <name val="Arial"/>
      <family val="2"/>
    </font>
    <font>
      <b/>
      <sz val="20"/>
      <color rgb="FFFFFFFF"/>
      <name val="Arial"/>
      <family val="2"/>
    </font>
    <font>
      <i/>
      <sz val="10"/>
      <color rgb="FF555555"/>
      <name val="Arial"/>
      <family val="2"/>
    </font>
    <font>
      <b/>
      <sz val="9"/>
      <color rgb="FF8B0000"/>
      <name val="Arial"/>
      <family val="2"/>
    </font>
    <font>
      <b/>
      <sz val="8"/>
      <color rgb="FFFFFFFF"/>
      <name val="Arial"/>
      <family val="2"/>
    </font>
    <font>
      <b/>
      <sz val="9"/>
      <color rgb="FF2E7D8C"/>
      <name val="Arial"/>
      <family val="2"/>
    </font>
    <font>
      <b/>
      <sz val="11"/>
      <color rgb="FF1B4F5F"/>
      <name val="Arial"/>
      <family val="2"/>
    </font>
    <font>
      <i/>
      <sz val="10"/>
      <color rgb="FF888888"/>
      <name val="Arial"/>
      <family val="2"/>
    </font>
    <font>
      <b/>
      <sz val="16"/>
      <color rgb="FFFFFFFF"/>
      <name val="Arial"/>
      <family val="2"/>
    </font>
    <font>
      <b/>
      <sz val="10"/>
      <color rgb="FF888888"/>
      <name val="Arial"/>
      <family val="2"/>
    </font>
    <font>
      <sz val="11"/>
      <color rgb="FF1B4F5F"/>
      <name val="Arial"/>
      <family val="2"/>
    </font>
    <font>
      <b/>
      <sz val="13"/>
      <color rgb="FF2F7D8C"/>
      <name val="Arial"/>
      <family val="2"/>
    </font>
    <font>
      <sz val="9"/>
      <color theme="1"/>
      <name val="Calibri"/>
      <family val="2"/>
      <charset val="1"/>
    </font>
    <font>
      <b/>
      <sz val="12"/>
      <color theme="0"/>
      <name val="Aptos Narrow"/>
      <family val="2"/>
      <scheme val="minor"/>
    </font>
    <font>
      <u/>
      <sz val="11"/>
      <color theme="10"/>
      <name val="Calibri"/>
      <family val="2"/>
      <charset val="1"/>
    </font>
    <font>
      <b/>
      <sz val="9"/>
      <color rgb="FFAB7942"/>
      <name val="Arial"/>
      <family val="2"/>
      <charset val="1"/>
    </font>
    <font>
      <sz val="9"/>
      <color rgb="FF8B5E00"/>
      <name val="Arial"/>
      <family val="2"/>
    </font>
    <font>
      <b/>
      <sz val="12"/>
      <color rgb="FFFFFFFF"/>
      <name val="Arial"/>
      <family val="2"/>
    </font>
    <font>
      <i/>
      <sz val="10"/>
      <color rgb="FF8B5E00"/>
      <name val="Arial"/>
      <family val="2"/>
      <charset val="1"/>
    </font>
    <font>
      <sz val="20"/>
      <color theme="1"/>
      <name val="Aptos Narrow"/>
      <family val="2"/>
      <scheme val="minor"/>
    </font>
    <font>
      <sz val="11"/>
      <color theme="1"/>
      <name val="Aptos Narrow"/>
      <family val="2"/>
      <scheme val="minor"/>
    </font>
    <font>
      <sz val="8"/>
      <name val="Calibri"/>
      <family val="2"/>
      <charset val="1"/>
    </font>
    <font>
      <sz val="11"/>
      <color theme="1"/>
      <name val="Calibri"/>
      <family val="2"/>
      <charset val="1"/>
    </font>
    <font>
      <b/>
      <sz val="12"/>
      <color rgb="FFFFFFFF"/>
      <name val="Tahoma"/>
      <family val="2"/>
    </font>
    <font>
      <sz val="12"/>
      <color theme="1"/>
      <name val="Tahoma"/>
      <family val="2"/>
    </font>
    <font>
      <b/>
      <sz val="12"/>
      <color theme="1"/>
      <name val="Tahoma"/>
      <family val="2"/>
    </font>
    <font>
      <b/>
      <sz val="12"/>
      <color theme="0"/>
      <name val="Tahoma"/>
      <family val="2"/>
    </font>
    <font>
      <b/>
      <sz val="12"/>
      <color rgb="FF1A3A5C"/>
      <name val="Tahoma"/>
      <family val="2"/>
    </font>
    <font>
      <sz val="12"/>
      <color rgb="FFDED6D1"/>
      <name val="Tahoma"/>
      <family val="2"/>
    </font>
    <font>
      <b/>
      <sz val="12"/>
      <color rgb="FFDED6D1"/>
      <name val="Tahoma"/>
      <family val="2"/>
    </font>
    <font>
      <sz val="12"/>
      <color rgb="FF1A3A5C"/>
      <name val="Tahoma"/>
      <family val="2"/>
    </font>
    <font>
      <sz val="11"/>
      <name val="Calibri"/>
      <family val="2"/>
      <charset val="1"/>
    </font>
    <font>
      <sz val="14"/>
      <color rgb="FF1A3A5C"/>
      <name val="Tahoma"/>
      <family val="2"/>
    </font>
    <font>
      <b/>
      <sz val="14"/>
      <color rgb="FF1A3A5C"/>
      <name val="Tahoma"/>
      <family val="2"/>
    </font>
    <font>
      <b/>
      <sz val="16"/>
      <color rgb="FFFFFFFF"/>
      <name val="Tahoma"/>
      <family val="2"/>
    </font>
    <font>
      <b/>
      <sz val="16"/>
      <color rgb="FF1B4F72"/>
      <name val="Tahoma"/>
      <family val="2"/>
    </font>
    <font>
      <sz val="16"/>
      <color theme="1"/>
      <name val="Tahoma"/>
      <family val="2"/>
    </font>
    <font>
      <b/>
      <sz val="11"/>
      <color theme="1"/>
      <name val="Calibri"/>
      <family val="2"/>
      <charset val="1"/>
    </font>
    <font>
      <b/>
      <sz val="10"/>
      <color rgb="FF1B4F5F"/>
      <name val="Arial"/>
      <family val="2"/>
    </font>
    <font>
      <sz val="10"/>
      <color rgb="FF1B4F5F"/>
      <name val="Arial"/>
      <family val="2"/>
    </font>
    <font>
      <b/>
      <sz val="11"/>
      <color rgb="FF2E7D8C"/>
      <name val="Arial"/>
      <family val="2"/>
    </font>
    <font>
      <sz val="10"/>
      <color theme="1"/>
      <name val="Arial Unicode MS"/>
      <family val="2"/>
    </font>
    <font>
      <sz val="10"/>
      <color theme="1"/>
      <name val="Arial"/>
      <family val="2"/>
    </font>
    <font>
      <sz val="10"/>
      <name val="Arial"/>
      <family val="2"/>
    </font>
    <font>
      <b/>
      <sz val="10"/>
      <color theme="1"/>
      <name val="Arial"/>
      <family val="2"/>
    </font>
    <font>
      <b/>
      <sz val="10"/>
      <name val="Arial"/>
      <family val="2"/>
    </font>
    <font>
      <b/>
      <sz val="11"/>
      <color theme="1"/>
      <name val="Calibri"/>
      <family val="2"/>
    </font>
    <font>
      <b/>
      <sz val="11"/>
      <color theme="0"/>
      <name val="Arial"/>
      <family val="2"/>
    </font>
    <font>
      <b/>
      <sz val="14"/>
      <color theme="0"/>
      <name val="Arial"/>
      <family val="2"/>
    </font>
    <font>
      <sz val="9"/>
      <name val="Arial"/>
      <family val="2"/>
    </font>
    <font>
      <sz val="11"/>
      <color theme="2" tint="-0.749992370372631"/>
      <name val="Arial"/>
      <family val="2"/>
    </font>
    <font>
      <i/>
      <sz val="10"/>
      <name val="Arial"/>
      <family val="2"/>
      <charset val="1"/>
    </font>
    <font>
      <sz val="11"/>
      <name val="Calibri"/>
      <family val="2"/>
    </font>
    <font>
      <sz val="11"/>
      <color theme="1"/>
      <name val="Calibri"/>
      <family val="2"/>
    </font>
    <font>
      <sz val="9"/>
      <color rgb="FFFFFFFF"/>
      <name val="Arial"/>
      <family val="2"/>
    </font>
    <font>
      <sz val="12"/>
      <color theme="1"/>
      <name val="Arial"/>
      <family val="2"/>
    </font>
    <font>
      <b/>
      <sz val="14"/>
      <color theme="1"/>
      <name val="Arial"/>
      <family val="2"/>
    </font>
    <font>
      <sz val="11"/>
      <color theme="1"/>
      <name val="Arial"/>
      <family val="2"/>
    </font>
    <font>
      <b/>
      <sz val="12"/>
      <color rgb="FF1A3A5C"/>
      <name val="Arial"/>
      <family val="2"/>
    </font>
    <font>
      <b/>
      <sz val="12"/>
      <color theme="0"/>
      <name val="Arial"/>
      <family val="2"/>
    </font>
    <font>
      <sz val="12"/>
      <color rgb="FF2F7F8D"/>
      <name val="Arial"/>
      <family val="2"/>
    </font>
    <font>
      <sz val="11"/>
      <color rgb="FF2F7F8D"/>
      <name val="Arial"/>
      <family val="2"/>
    </font>
    <font>
      <b/>
      <sz val="12"/>
      <color rgb="FF2F7F8D"/>
      <name val="Arial"/>
      <family val="2"/>
    </font>
    <font>
      <sz val="9"/>
      <color theme="1"/>
      <name val="Arial"/>
      <family val="2"/>
    </font>
    <font>
      <sz val="11"/>
      <name val="Arial"/>
      <family val="2"/>
    </font>
    <font>
      <b/>
      <sz val="11"/>
      <name val="Arial"/>
      <family val="2"/>
    </font>
    <font>
      <sz val="11"/>
      <color theme="0"/>
      <name val="Arial"/>
      <family val="2"/>
    </font>
    <font>
      <i/>
      <sz val="9"/>
      <name val="Arial"/>
      <family val="2"/>
    </font>
    <font>
      <i/>
      <sz val="11"/>
      <name val="Arial"/>
      <family val="2"/>
    </font>
    <font>
      <i/>
      <sz val="9"/>
      <color rgb="FF404040"/>
      <name val="Arial"/>
      <family val="2"/>
    </font>
    <font>
      <i/>
      <sz val="9"/>
      <color rgb="FFFF0000"/>
      <name val="Arial"/>
      <family val="2"/>
    </font>
    <font>
      <sz val="14"/>
      <color rgb="FF002060"/>
      <name val="Arial"/>
      <family val="2"/>
    </font>
    <font>
      <i/>
      <sz val="10"/>
      <color theme="1"/>
      <name val="Arial"/>
      <family val="2"/>
    </font>
    <font>
      <b/>
      <sz val="11"/>
      <color theme="0"/>
      <name val="Aptos Narrow"/>
      <family val="2"/>
      <scheme val="minor"/>
    </font>
    <font>
      <b/>
      <sz val="11"/>
      <color theme="0"/>
      <name val="Aptos Narrow"/>
      <scheme val="minor"/>
    </font>
    <font>
      <b/>
      <sz val="9"/>
      <color theme="2" tint="-0.749992370372631"/>
      <name val="Calibri"/>
      <family val="2"/>
    </font>
  </fonts>
  <fills count="56">
    <fill>
      <patternFill patternType="none"/>
    </fill>
    <fill>
      <patternFill patternType="gray125"/>
    </fill>
    <fill>
      <patternFill patternType="solid">
        <fgColor rgb="FFC9962B"/>
        <bgColor rgb="FFB85C00"/>
      </patternFill>
    </fill>
    <fill>
      <patternFill patternType="solid">
        <fgColor rgb="FF1B4F5F"/>
        <bgColor rgb="FF0C447C"/>
      </patternFill>
    </fill>
    <fill>
      <patternFill patternType="solid">
        <fgColor rgb="FF2E7D8C"/>
        <bgColor rgb="FF008080"/>
      </patternFill>
    </fill>
    <fill>
      <patternFill patternType="solid">
        <fgColor rgb="FFD6EEF2"/>
        <bgColor rgb="FFE0F0FF"/>
      </patternFill>
    </fill>
    <fill>
      <patternFill patternType="solid">
        <fgColor rgb="FFFFFFFF"/>
        <bgColor rgb="FFF7FBFC"/>
      </patternFill>
    </fill>
    <fill>
      <patternFill patternType="solid">
        <fgColor rgb="FFF5F5F5"/>
        <bgColor rgb="FFEEF6F8"/>
      </patternFill>
    </fill>
    <fill>
      <patternFill patternType="solid">
        <fgColor rgb="FFD9D9D9"/>
        <bgColor rgb="FFE8E0F0"/>
      </patternFill>
    </fill>
    <fill>
      <patternFill patternType="solid">
        <fgColor rgb="FFFFD6D6"/>
        <bgColor rgb="FFFFE8CC"/>
      </patternFill>
    </fill>
    <fill>
      <patternFill patternType="solid">
        <fgColor rgb="FFD6F0DC"/>
        <bgColor rgb="FFD6EEF2"/>
      </patternFill>
    </fill>
    <fill>
      <patternFill patternType="solid">
        <fgColor rgb="FFFFF3CD"/>
        <bgColor rgb="FFFFF9C4"/>
      </patternFill>
    </fill>
    <fill>
      <patternFill patternType="solid">
        <fgColor rgb="FFF7FBFC"/>
        <bgColor rgb="FFF5F5F5"/>
      </patternFill>
    </fill>
    <fill>
      <patternFill patternType="solid">
        <fgColor rgb="FFEEF6F8"/>
        <bgColor rgb="FFF0F4FF"/>
      </patternFill>
    </fill>
    <fill>
      <patternFill patternType="solid">
        <fgColor rgb="FFFFE8E8"/>
        <bgColor rgb="FFFFF0E0"/>
      </patternFill>
    </fill>
    <fill>
      <patternFill patternType="solid">
        <fgColor rgb="FFFFF0E0"/>
        <bgColor rgb="FFFEF0E0"/>
      </patternFill>
    </fill>
    <fill>
      <patternFill patternType="solid">
        <fgColor rgb="FFFFFBE0"/>
        <bgColor rgb="FFFFFDE7"/>
      </patternFill>
    </fill>
    <fill>
      <patternFill patternType="solid">
        <fgColor rgb="FFE8F5E8"/>
        <bgColor rgb="FFEEF6F8"/>
      </patternFill>
    </fill>
    <fill>
      <patternFill patternType="solid">
        <fgColor rgb="FFE0F0FF"/>
        <bgColor rgb="FFD6EEF2"/>
      </patternFill>
    </fill>
    <fill>
      <patternFill patternType="solid">
        <fgColor rgb="FF2E7D8C"/>
        <bgColor rgb="FF2E7D3A"/>
      </patternFill>
    </fill>
    <fill>
      <patternFill patternType="solid">
        <fgColor rgb="FF2C3E8C"/>
        <bgColor rgb="FF1F4E79"/>
      </patternFill>
    </fill>
    <fill>
      <patternFill patternType="solid">
        <fgColor rgb="FFF5F5F5"/>
        <bgColor rgb="FFF0F4FF"/>
      </patternFill>
    </fill>
    <fill>
      <patternFill patternType="solid">
        <fgColor rgb="FF1B4F5F"/>
        <bgColor rgb="FF1F4E79"/>
      </patternFill>
    </fill>
    <fill>
      <patternFill patternType="solid">
        <fgColor rgb="FFF0F4FF"/>
        <bgColor rgb="FFF5F5F5"/>
      </patternFill>
    </fill>
    <fill>
      <patternFill patternType="solid">
        <fgColor theme="0"/>
        <bgColor rgb="FFD6EEF2"/>
      </patternFill>
    </fill>
    <fill>
      <patternFill patternType="solid">
        <fgColor theme="0"/>
        <bgColor rgb="FFF0F4FF"/>
      </patternFill>
    </fill>
    <fill>
      <patternFill patternType="solid">
        <fgColor theme="0"/>
        <bgColor indexed="64"/>
      </patternFill>
    </fill>
    <fill>
      <patternFill patternType="solid">
        <fgColor rgb="FFF9F1E0"/>
        <bgColor rgb="FFD6F0DC"/>
      </patternFill>
    </fill>
    <fill>
      <patternFill patternType="solid">
        <fgColor rgb="FFF9F1E0"/>
        <bgColor rgb="FFF5F5F5"/>
      </patternFill>
    </fill>
    <fill>
      <patternFill patternType="solid">
        <fgColor rgb="FFFFFDE7"/>
        <bgColor rgb="FFFFFBE1"/>
      </patternFill>
    </fill>
    <fill>
      <patternFill patternType="solid">
        <fgColor rgb="FFA5A5A5"/>
      </patternFill>
    </fill>
    <fill>
      <patternFill patternType="solid">
        <fgColor rgb="FFFFF3CD"/>
        <bgColor rgb="FFFFF0E0"/>
      </patternFill>
    </fill>
    <fill>
      <patternFill patternType="solid">
        <fgColor rgb="FFF2F3F4"/>
      </patternFill>
    </fill>
    <fill>
      <patternFill patternType="solid">
        <fgColor rgb="FF27AE60"/>
      </patternFill>
    </fill>
    <fill>
      <patternFill patternType="solid">
        <fgColor rgb="FFE67E22"/>
      </patternFill>
    </fill>
    <fill>
      <patternFill patternType="solid">
        <fgColor rgb="FF2980B9"/>
      </patternFill>
    </fill>
    <fill>
      <patternFill patternType="solid">
        <fgColor rgb="FF2F7D8C"/>
        <bgColor indexed="64"/>
      </patternFill>
    </fill>
    <fill>
      <patternFill patternType="solid">
        <fgColor rgb="FFFFFFFF"/>
        <bgColor rgb="FFF2F2F2"/>
      </patternFill>
    </fill>
    <fill>
      <patternFill patternType="solid">
        <fgColor rgb="FFBFBFBF"/>
        <bgColor rgb="FFC0C0C0"/>
      </patternFill>
    </fill>
    <fill>
      <patternFill patternType="solid">
        <fgColor rgb="FF2F7D8C"/>
        <bgColor rgb="FFB85C00"/>
      </patternFill>
    </fill>
    <fill>
      <patternFill patternType="solid">
        <fgColor rgb="FF2F7F8D"/>
        <bgColor rgb="FF2C3E8C"/>
      </patternFill>
    </fill>
    <fill>
      <patternFill patternType="solid">
        <fgColor theme="0"/>
        <bgColor rgb="FFD6F0DC"/>
      </patternFill>
    </fill>
    <fill>
      <patternFill patternType="solid">
        <fgColor theme="0"/>
        <bgColor rgb="FFF5F5F5"/>
      </patternFill>
    </fill>
    <fill>
      <patternFill patternType="solid">
        <fgColor rgb="FF1B4F5F"/>
        <bgColor rgb="FF008080"/>
      </patternFill>
    </fill>
    <fill>
      <patternFill patternType="solid">
        <fgColor rgb="FF2F7F8D"/>
        <bgColor rgb="FF8B5E00"/>
      </patternFill>
    </fill>
    <fill>
      <patternFill patternType="solid">
        <fgColor rgb="FF1B4F5F"/>
        <bgColor rgb="FF2C3E8C"/>
      </patternFill>
    </fill>
    <fill>
      <patternFill patternType="solid">
        <fgColor rgb="FF2F7F8D"/>
        <bgColor rgb="FF1F4E79"/>
      </patternFill>
    </fill>
    <fill>
      <patternFill patternType="solid">
        <fgColor rgb="FF1B4F5F"/>
        <bgColor rgb="FFFF6600"/>
      </patternFill>
    </fill>
    <fill>
      <patternFill patternType="solid">
        <fgColor rgb="FF2F7F8D"/>
        <bgColor rgb="FFFF6600"/>
      </patternFill>
    </fill>
    <fill>
      <patternFill patternType="solid">
        <fgColor rgb="FF2F7F8D"/>
        <bgColor rgb="FF008080"/>
      </patternFill>
    </fill>
    <fill>
      <patternFill patternType="solid">
        <fgColor rgb="FF2F7F8D"/>
        <bgColor theme="4"/>
      </patternFill>
    </fill>
    <fill>
      <patternFill patternType="solid">
        <fgColor rgb="FF2F7F8D"/>
        <bgColor rgb="FF0C447C"/>
      </patternFill>
    </fill>
    <fill>
      <patternFill patternType="solid">
        <fgColor rgb="FF1B4F5F"/>
        <bgColor rgb="FF8B5E00"/>
      </patternFill>
    </fill>
    <fill>
      <patternFill patternType="solid">
        <fgColor theme="2" tint="-9.9978637043366805E-2"/>
        <bgColor indexed="64"/>
      </patternFill>
    </fill>
    <fill>
      <patternFill patternType="solid">
        <fgColor rgb="FF1B4F5F"/>
        <bgColor theme="4"/>
      </patternFill>
    </fill>
    <fill>
      <patternFill patternType="solid">
        <fgColor rgb="FFFFFF00"/>
        <bgColor indexed="64"/>
      </patternFill>
    </fill>
  </fills>
  <borders count="89">
    <border>
      <left/>
      <right/>
      <top/>
      <bottom/>
      <diagonal/>
    </border>
    <border>
      <left style="thin">
        <color rgb="FFD9D9D9"/>
      </left>
      <right style="thin">
        <color rgb="FFD9D9D9"/>
      </right>
      <top style="thin">
        <color rgb="FFD9D9D9"/>
      </top>
      <bottom style="thin">
        <color rgb="FFD9D9D9"/>
      </bottom>
      <diagonal/>
    </border>
    <border>
      <left style="medium">
        <color rgb="FF1B4F5F"/>
      </left>
      <right/>
      <top/>
      <bottom/>
      <diagonal/>
    </border>
    <border>
      <left/>
      <right style="medium">
        <color rgb="FF1B4F5F"/>
      </right>
      <top/>
      <bottom/>
      <diagonal/>
    </border>
    <border>
      <left style="medium">
        <color rgb="FF1B4F5F"/>
      </left>
      <right style="medium">
        <color rgb="FF1B4F5F"/>
      </right>
      <top/>
      <bottom/>
      <diagonal/>
    </border>
    <border>
      <left/>
      <right/>
      <top/>
      <bottom style="thin">
        <color rgb="FFD9D9D9"/>
      </bottom>
      <diagonal/>
    </border>
    <border>
      <left/>
      <right/>
      <top style="thin">
        <color rgb="FFD9D9D9"/>
      </top>
      <bottom/>
      <diagonal/>
    </border>
    <border>
      <left style="double">
        <color rgb="FF3F3F3F"/>
      </left>
      <right style="double">
        <color rgb="FF3F3F3F"/>
      </right>
      <top style="double">
        <color rgb="FF3F3F3F"/>
      </top>
      <bottom style="double">
        <color rgb="FF3F3F3F"/>
      </bottom>
      <diagonal/>
    </border>
    <border>
      <left/>
      <right/>
      <top/>
      <bottom style="medium">
        <color rgb="FFC9962B"/>
      </bottom>
      <diagonal/>
    </border>
    <border>
      <left style="medium">
        <color rgb="FF145454"/>
      </left>
      <right/>
      <top/>
      <bottom/>
      <diagonal/>
    </border>
    <border>
      <left/>
      <right style="medium">
        <color rgb="FF145454"/>
      </right>
      <top/>
      <bottom/>
      <diagonal/>
    </border>
    <border>
      <left style="medium">
        <color rgb="FF145454"/>
      </left>
      <right style="medium">
        <color rgb="FF1B4F5F"/>
      </right>
      <top/>
      <bottom/>
      <diagonal/>
    </border>
    <border>
      <left style="medium">
        <color rgb="FF1B4F5F"/>
      </left>
      <right style="medium">
        <color rgb="FF145454"/>
      </right>
      <top/>
      <bottom/>
      <diagonal/>
    </border>
    <border>
      <left style="medium">
        <color rgb="FF145454"/>
      </left>
      <right/>
      <top/>
      <bottom style="medium">
        <color rgb="FF145454"/>
      </bottom>
      <diagonal/>
    </border>
    <border>
      <left/>
      <right/>
      <top/>
      <bottom style="medium">
        <color rgb="FF145454"/>
      </bottom>
      <diagonal/>
    </border>
    <border>
      <left/>
      <right style="medium">
        <color rgb="FF145454"/>
      </right>
      <top/>
      <bottom style="medium">
        <color rgb="FF145454"/>
      </bottom>
      <diagonal/>
    </border>
    <border>
      <left style="medium">
        <color rgb="FF145454"/>
      </left>
      <right style="medium">
        <color rgb="FF1B4F5F"/>
      </right>
      <top style="medium">
        <color rgb="FF145454"/>
      </top>
      <bottom/>
      <diagonal/>
    </border>
    <border>
      <left style="medium">
        <color rgb="FF1B4F5F"/>
      </left>
      <right style="medium">
        <color rgb="FF1B4F5F"/>
      </right>
      <top style="medium">
        <color rgb="FF145454"/>
      </top>
      <bottom/>
      <diagonal/>
    </border>
    <border>
      <left style="medium">
        <color rgb="FF1B4F5F"/>
      </left>
      <right style="medium">
        <color rgb="FF145454"/>
      </right>
      <top style="medium">
        <color rgb="FF145454"/>
      </top>
      <bottom/>
      <diagonal/>
    </border>
    <border>
      <left style="medium">
        <color rgb="FF145454"/>
      </left>
      <right/>
      <top/>
      <bottom style="medium">
        <color rgb="FFC9962B"/>
      </bottom>
      <diagonal/>
    </border>
    <border>
      <left/>
      <right style="medium">
        <color rgb="FF145454"/>
      </right>
      <top/>
      <bottom style="medium">
        <color rgb="FFC9962B"/>
      </bottom>
      <diagonal/>
    </border>
    <border>
      <left style="thin">
        <color theme="0" tint="-0.14999847407452621"/>
      </left>
      <right/>
      <top/>
      <bottom/>
      <diagonal/>
    </border>
    <border>
      <left/>
      <right style="thin">
        <color theme="0" tint="-0.14999847407452621"/>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2F7D8C"/>
      </left>
      <right style="thin">
        <color rgb="FF2F7D8C"/>
      </right>
      <top style="thin">
        <color rgb="FF2F7D8C"/>
      </top>
      <bottom/>
      <diagonal/>
    </border>
    <border>
      <left/>
      <right style="hair">
        <color rgb="FF2F7F8D"/>
      </right>
      <top/>
      <bottom/>
      <diagonal/>
    </border>
    <border>
      <left/>
      <right/>
      <top/>
      <bottom style="hair">
        <color rgb="FF2F7F8D"/>
      </bottom>
      <diagonal/>
    </border>
    <border>
      <left style="hair">
        <color rgb="FF2F7F8D"/>
      </left>
      <right/>
      <top style="hair">
        <color rgb="FF2F7F8D"/>
      </top>
      <bottom/>
      <diagonal/>
    </border>
    <border>
      <left style="hair">
        <color rgb="FF2F7F8D"/>
      </left>
      <right style="hair">
        <color rgb="FF2F7F8D"/>
      </right>
      <top style="hair">
        <color rgb="FF2F7F8D"/>
      </top>
      <bottom/>
      <diagonal/>
    </border>
    <border>
      <left/>
      <right/>
      <top style="hair">
        <color rgb="FF2F7F8D"/>
      </top>
      <bottom style="hair">
        <color rgb="FF2F7F8D"/>
      </bottom>
      <diagonal/>
    </border>
    <border>
      <left style="hair">
        <color rgb="FF2F7F8D"/>
      </left>
      <right/>
      <top style="hair">
        <color rgb="FF2F7F8D"/>
      </top>
      <bottom style="hair">
        <color rgb="FF2F7F8D"/>
      </bottom>
      <diagonal/>
    </border>
    <border>
      <left/>
      <right style="hair">
        <color rgb="FF2F7F8D"/>
      </right>
      <top style="hair">
        <color rgb="FF2F7F8D"/>
      </top>
      <bottom style="hair">
        <color rgb="FF2F7F8D"/>
      </bottom>
      <diagonal/>
    </border>
    <border>
      <left style="hair">
        <color rgb="FF2F7F8D"/>
      </left>
      <right style="hair">
        <color rgb="FF2F7F8D"/>
      </right>
      <top/>
      <bottom/>
      <diagonal/>
    </border>
    <border>
      <left style="hair">
        <color theme="2" tint="-0.249977111117893"/>
      </left>
      <right style="hair">
        <color theme="2" tint="-0.249977111117893"/>
      </right>
      <top style="hair">
        <color theme="2" tint="-0.249977111117893"/>
      </top>
      <bottom style="hair">
        <color theme="2" tint="-0.249977111117893"/>
      </bottom>
      <diagonal/>
    </border>
    <border>
      <left style="hair">
        <color rgb="FF2F7F8D"/>
      </left>
      <right style="hair">
        <color rgb="FF2F7F8D"/>
      </right>
      <top/>
      <bottom style="hair">
        <color theme="2" tint="-0.249977111117893"/>
      </bottom>
      <diagonal/>
    </border>
    <border>
      <left style="hair">
        <color rgb="FF2F7F8D"/>
      </left>
      <right/>
      <top/>
      <bottom style="hair">
        <color theme="2" tint="-0.249977111117893"/>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hair">
        <color theme="1"/>
      </left>
      <right style="hair">
        <color theme="1"/>
      </right>
      <top style="hair">
        <color theme="1"/>
      </top>
      <bottom style="hair">
        <color theme="1"/>
      </bottom>
      <diagonal/>
    </border>
    <border>
      <left style="hair">
        <color theme="1"/>
      </left>
      <right style="hair">
        <color theme="1"/>
      </right>
      <top style="medium">
        <color theme="1" tint="0.499984740745262"/>
      </top>
      <bottom style="hair">
        <color theme="1"/>
      </bottom>
      <diagonal/>
    </border>
    <border>
      <left style="hair">
        <color theme="1"/>
      </left>
      <right style="medium">
        <color theme="1" tint="0.499984740745262"/>
      </right>
      <top style="medium">
        <color theme="1" tint="0.499984740745262"/>
      </top>
      <bottom style="hair">
        <color theme="1"/>
      </bottom>
      <diagonal/>
    </border>
    <border>
      <left style="hair">
        <color theme="1"/>
      </left>
      <right style="medium">
        <color theme="1" tint="0.499984740745262"/>
      </right>
      <top style="hair">
        <color theme="1"/>
      </top>
      <bottom style="hair">
        <color theme="1"/>
      </bottom>
      <diagonal/>
    </border>
    <border>
      <left style="hair">
        <color theme="1"/>
      </left>
      <right style="hair">
        <color theme="1"/>
      </right>
      <top style="hair">
        <color theme="1"/>
      </top>
      <bottom style="medium">
        <color theme="1" tint="0.499984740745262"/>
      </bottom>
      <diagonal/>
    </border>
    <border>
      <left style="hair">
        <color theme="1"/>
      </left>
      <right style="medium">
        <color theme="1" tint="0.499984740745262"/>
      </right>
      <top style="hair">
        <color theme="1"/>
      </top>
      <bottom style="medium">
        <color theme="1" tint="0.499984740745262"/>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medium">
        <color theme="1" tint="0.499984740745262"/>
      </left>
      <right style="hair">
        <color theme="1" tint="0.499984740745262"/>
      </right>
      <top style="medium">
        <color theme="1" tint="0.499984740745262"/>
      </top>
      <bottom style="hair">
        <color theme="1" tint="0.499984740745262"/>
      </bottom>
      <diagonal/>
    </border>
    <border>
      <left style="hair">
        <color theme="1" tint="0.499984740745262"/>
      </left>
      <right style="hair">
        <color theme="1" tint="0.499984740745262"/>
      </right>
      <top style="medium">
        <color theme="1" tint="0.499984740745262"/>
      </top>
      <bottom style="hair">
        <color theme="1" tint="0.499984740745262"/>
      </bottom>
      <diagonal/>
    </border>
    <border>
      <left style="hair">
        <color theme="1" tint="0.499984740745262"/>
      </left>
      <right style="medium">
        <color theme="1" tint="0.499984740745262"/>
      </right>
      <top style="medium">
        <color theme="1" tint="0.499984740745262"/>
      </top>
      <bottom style="hair">
        <color theme="1" tint="0.499984740745262"/>
      </bottom>
      <diagonal/>
    </border>
    <border>
      <left style="medium">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medium">
        <color theme="1" tint="0.499984740745262"/>
      </right>
      <top style="hair">
        <color theme="1" tint="0.499984740745262"/>
      </top>
      <bottom style="hair">
        <color theme="1" tint="0.499984740745262"/>
      </bottom>
      <diagonal/>
    </border>
    <border>
      <left style="medium">
        <color theme="1" tint="0.499984740745262"/>
      </left>
      <right style="hair">
        <color theme="1" tint="0.499984740745262"/>
      </right>
      <top style="hair">
        <color theme="1" tint="0.499984740745262"/>
      </top>
      <bottom style="medium">
        <color theme="1" tint="0.499984740745262"/>
      </bottom>
      <diagonal/>
    </border>
    <border>
      <left style="hair">
        <color theme="1" tint="0.499984740745262"/>
      </left>
      <right style="hair">
        <color theme="1" tint="0.499984740745262"/>
      </right>
      <top style="hair">
        <color theme="1" tint="0.499984740745262"/>
      </top>
      <bottom style="medium">
        <color theme="1" tint="0.499984740745262"/>
      </bottom>
      <diagonal/>
    </border>
    <border>
      <left style="hair">
        <color theme="1" tint="0.499984740745262"/>
      </left>
      <right style="medium">
        <color theme="1" tint="0.499984740745262"/>
      </right>
      <top style="hair">
        <color theme="1" tint="0.499984740745262"/>
      </top>
      <bottom style="medium">
        <color theme="1" tint="0.499984740745262"/>
      </bottom>
      <diagonal/>
    </border>
    <border>
      <left style="medium">
        <color theme="1" tint="0.499984740745262"/>
      </left>
      <right style="hair">
        <color theme="1"/>
      </right>
      <top style="medium">
        <color theme="1" tint="0.499984740745262"/>
      </top>
      <bottom style="hair">
        <color theme="1"/>
      </bottom>
      <diagonal/>
    </border>
    <border>
      <left style="medium">
        <color theme="1" tint="0.499984740745262"/>
      </left>
      <right style="hair">
        <color theme="1"/>
      </right>
      <top style="hair">
        <color theme="1"/>
      </top>
      <bottom style="hair">
        <color theme="1"/>
      </bottom>
      <diagonal/>
    </border>
    <border>
      <left style="medium">
        <color theme="1" tint="0.499984740745262"/>
      </left>
      <right style="hair">
        <color theme="1"/>
      </right>
      <top style="hair">
        <color theme="1"/>
      </top>
      <bottom style="medium">
        <color theme="1" tint="0.499984740745262"/>
      </bottom>
      <diagonal/>
    </border>
    <border>
      <left/>
      <right style="thin">
        <color theme="4"/>
      </right>
      <top style="thin">
        <color theme="4"/>
      </top>
      <bottom/>
      <diagonal/>
    </border>
    <border>
      <left/>
      <right/>
      <top style="thin">
        <color theme="4"/>
      </top>
      <bottom/>
      <diagonal/>
    </border>
    <border>
      <left style="thin">
        <color theme="1"/>
      </left>
      <right style="thin">
        <color theme="1"/>
      </right>
      <top style="thin">
        <color theme="1"/>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theme="1"/>
      </left>
      <right/>
      <top/>
      <bottom/>
      <diagonal/>
    </border>
    <border>
      <left style="hair">
        <color theme="1" tint="0.499984740745262"/>
      </left>
      <right/>
      <top style="hair">
        <color theme="1" tint="0.499984740745262"/>
      </top>
      <bottom style="hair">
        <color theme="1" tint="0.499984740745262"/>
      </bottom>
      <diagonal/>
    </border>
    <border>
      <left/>
      <right style="hair">
        <color theme="1" tint="0.499984740745262"/>
      </right>
      <top style="hair">
        <color theme="1" tint="0.499984740745262"/>
      </top>
      <bottom style="hair">
        <color theme="1" tint="0.499984740745262"/>
      </bottom>
      <diagonal/>
    </border>
  </borders>
  <cellStyleXfs count="5">
    <xf numFmtId="0" fontId="0" fillId="0" borderId="0"/>
    <xf numFmtId="0" fontId="22" fillId="30" borderId="7" applyNumberFormat="0" applyAlignment="0" applyProtection="0"/>
    <xf numFmtId="0" fontId="23" fillId="0" borderId="0" applyNumberFormat="0" applyFill="0" applyBorder="0" applyAlignment="0" applyProtection="0"/>
    <xf numFmtId="0" fontId="29" fillId="0" borderId="0"/>
    <xf numFmtId="9" fontId="31" fillId="0" borderId="0" applyFont="0" applyFill="0" applyBorder="0" applyAlignment="0" applyProtection="0"/>
  </cellStyleXfs>
  <cellXfs count="433">
    <xf numFmtId="0" fontId="0" fillId="0" borderId="0" xfId="0"/>
    <xf numFmtId="0" fontId="0" fillId="2" borderId="0" xfId="0" applyFill="1"/>
    <xf numFmtId="0" fontId="3" fillId="3" borderId="1" xfId="0" applyFont="1" applyFill="1" applyBorder="1" applyAlignment="1">
      <alignment horizontal="center" vertical="center"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1" fillId="3" borderId="0" xfId="0" applyFont="1" applyFill="1" applyAlignment="1">
      <alignment horizontal="left" vertical="center"/>
    </xf>
    <xf numFmtId="0" fontId="2" fillId="19" borderId="0" xfId="0" applyFont="1" applyFill="1" applyAlignment="1">
      <alignment horizontal="left" vertical="center"/>
    </xf>
    <xf numFmtId="0" fontId="0" fillId="0" borderId="0" xfId="0" applyAlignment="1">
      <alignment horizontal="center"/>
    </xf>
    <xf numFmtId="0" fontId="25" fillId="29" borderId="0" xfId="0" applyFont="1" applyFill="1" applyAlignment="1">
      <alignment horizontal="center" vertical="center" wrapText="1"/>
    </xf>
    <xf numFmtId="0" fontId="0" fillId="0" borderId="0" xfId="0" applyAlignment="1">
      <alignment horizontal="center" vertical="center"/>
    </xf>
    <xf numFmtId="0" fontId="5" fillId="12" borderId="0" xfId="0" applyFont="1" applyFill="1" applyAlignment="1">
      <alignment horizontal="left" vertical="center" wrapText="1"/>
    </xf>
    <xf numFmtId="0" fontId="18" fillId="8" borderId="0" xfId="0" applyFont="1" applyFill="1" applyAlignment="1">
      <alignment horizontal="center" vertical="center"/>
    </xf>
    <xf numFmtId="0" fontId="8" fillId="13" borderId="0" xfId="0" applyFont="1" applyFill="1" applyAlignment="1">
      <alignment horizontal="left" vertical="center" wrapText="1"/>
    </xf>
    <xf numFmtId="0" fontId="0" fillId="0" borderId="0" xfId="0" applyAlignment="1">
      <alignment vertical="center"/>
    </xf>
    <xf numFmtId="0" fontId="1" fillId="0" borderId="0" xfId="0" applyFont="1" applyAlignment="1">
      <alignment horizontal="left" vertical="center"/>
    </xf>
    <xf numFmtId="0" fontId="21" fillId="0" borderId="0" xfId="0" applyFont="1" applyAlignment="1">
      <alignment wrapText="1"/>
    </xf>
    <xf numFmtId="0" fontId="0" fillId="0" borderId="0" xfId="0" applyAlignment="1">
      <alignment wrapText="1"/>
    </xf>
    <xf numFmtId="0" fontId="2" fillId="3" borderId="0" xfId="0" applyFont="1" applyFill="1" applyAlignment="1">
      <alignment horizontal="left" vertical="center"/>
    </xf>
    <xf numFmtId="0" fontId="3" fillId="0" borderId="0" xfId="0" applyFont="1" applyAlignment="1">
      <alignment horizontal="center" vertical="center"/>
    </xf>
    <xf numFmtId="0" fontId="3" fillId="0" borderId="0" xfId="0" applyFont="1" applyAlignment="1">
      <alignment vertical="center" wrapText="1"/>
    </xf>
    <xf numFmtId="0" fontId="1" fillId="3" borderId="0" xfId="0" applyFont="1" applyFill="1" applyAlignment="1">
      <alignment vertical="center"/>
    </xf>
    <xf numFmtId="0" fontId="28" fillId="0" borderId="0" xfId="0" applyFont="1"/>
    <xf numFmtId="165" fontId="28" fillId="0" borderId="0" xfId="0" applyNumberFormat="1" applyFont="1"/>
    <xf numFmtId="0" fontId="5" fillId="5" borderId="0" xfId="0" applyFont="1" applyFill="1" applyAlignment="1">
      <alignment horizontal="left" vertical="center"/>
    </xf>
    <xf numFmtId="0" fontId="0" fillId="0" borderId="9" xfId="0" applyBorder="1"/>
    <xf numFmtId="0" fontId="3" fillId="3" borderId="9" xfId="0" applyFont="1" applyFill="1" applyBorder="1" applyAlignment="1">
      <alignment horizontal="center" vertical="center"/>
    </xf>
    <xf numFmtId="0" fontId="4" fillId="5" borderId="9" xfId="0" applyFont="1" applyFill="1" applyBorder="1" applyAlignment="1">
      <alignment horizontal="center" vertical="center"/>
    </xf>
    <xf numFmtId="0" fontId="4" fillId="6" borderId="9" xfId="0" applyFont="1" applyFill="1" applyBorder="1" applyAlignment="1">
      <alignment horizontal="center" vertical="center"/>
    </xf>
    <xf numFmtId="0" fontId="5" fillId="6" borderId="0" xfId="0" applyFont="1" applyFill="1" applyAlignment="1">
      <alignment horizontal="left" vertical="center"/>
    </xf>
    <xf numFmtId="0" fontId="9" fillId="10" borderId="9" xfId="0" applyFont="1" applyFill="1" applyBorder="1" applyAlignment="1">
      <alignment horizontal="center" vertical="center"/>
    </xf>
    <xf numFmtId="0" fontId="12" fillId="9" borderId="9" xfId="0" applyFont="1" applyFill="1" applyBorder="1" applyAlignment="1">
      <alignment horizontal="center" vertical="center"/>
    </xf>
    <xf numFmtId="0" fontId="4" fillId="6" borderId="13" xfId="0" applyFont="1" applyFill="1" applyBorder="1" applyAlignment="1">
      <alignment horizontal="center" vertical="center"/>
    </xf>
    <xf numFmtId="0" fontId="33" fillId="0" borderId="0" xfId="3" applyFont="1"/>
    <xf numFmtId="0" fontId="33" fillId="0" borderId="0" xfId="3" applyFont="1" applyAlignment="1">
      <alignment horizontal="left"/>
    </xf>
    <xf numFmtId="0" fontId="36" fillId="0" borderId="0" xfId="3" applyFont="1" applyAlignment="1">
      <alignment horizontal="center" vertical="center" wrapText="1"/>
    </xf>
    <xf numFmtId="0" fontId="36" fillId="0" borderId="0" xfId="3" applyFont="1" applyAlignment="1">
      <alignment horizontal="left" vertical="center" wrapText="1"/>
    </xf>
    <xf numFmtId="0" fontId="37" fillId="0" borderId="0" xfId="3" applyFont="1"/>
    <xf numFmtId="0" fontId="38" fillId="0" borderId="0" xfId="3" applyFont="1" applyAlignment="1">
      <alignment horizontal="center" vertical="center" wrapText="1"/>
    </xf>
    <xf numFmtId="0" fontId="33" fillId="0" borderId="0" xfId="3" applyFont="1" applyAlignment="1">
      <alignment horizontal="center"/>
    </xf>
    <xf numFmtId="0" fontId="32" fillId="0" borderId="0" xfId="3" applyFont="1" applyAlignment="1">
      <alignment horizontal="center" vertical="center" wrapText="1"/>
    </xf>
    <xf numFmtId="9" fontId="38" fillId="0" borderId="0" xfId="3" applyNumberFormat="1" applyFont="1" applyAlignment="1">
      <alignment horizontal="center"/>
    </xf>
    <xf numFmtId="0" fontId="0" fillId="0" borderId="0" xfId="0" applyAlignment="1">
      <alignment horizontal="left"/>
    </xf>
    <xf numFmtId="0" fontId="32" fillId="0" borderId="0" xfId="0" applyFont="1" applyAlignment="1">
      <alignment horizontal="center" vertical="center" wrapText="1"/>
    </xf>
    <xf numFmtId="0" fontId="43" fillId="0" borderId="0" xfId="3" applyFont="1" applyAlignment="1">
      <alignment horizontal="center" vertical="center" wrapText="1"/>
    </xf>
    <xf numFmtId="0" fontId="44" fillId="0" borderId="0" xfId="3" applyFont="1" applyAlignment="1">
      <alignment horizontal="left" vertical="center" wrapText="1"/>
    </xf>
    <xf numFmtId="0" fontId="45" fillId="0" borderId="0" xfId="3" applyFont="1"/>
    <xf numFmtId="0" fontId="32" fillId="0" borderId="0" xfId="3" applyFont="1" applyAlignment="1">
      <alignment horizontal="left" vertical="center" wrapText="1"/>
    </xf>
    <xf numFmtId="0" fontId="46" fillId="0" borderId="0" xfId="0" applyFont="1"/>
    <xf numFmtId="0" fontId="5" fillId="12" borderId="0" xfId="0" applyFont="1" applyFill="1" applyAlignment="1">
      <alignment horizontal="center" vertical="center" wrapText="1"/>
    </xf>
    <xf numFmtId="167" fontId="0" fillId="0" borderId="0" xfId="0" applyNumberFormat="1"/>
    <xf numFmtId="167" fontId="20" fillId="5" borderId="0" xfId="0" applyNumberFormat="1" applyFont="1" applyFill="1" applyAlignment="1">
      <alignment horizontal="center" vertical="center"/>
    </xf>
    <xf numFmtId="167" fontId="1" fillId="0" borderId="0" xfId="0" applyNumberFormat="1" applyFont="1" applyAlignment="1">
      <alignment horizontal="left" vertical="center"/>
    </xf>
    <xf numFmtId="0" fontId="14" fillId="0" borderId="0" xfId="0" applyFont="1" applyAlignment="1">
      <alignment vertical="center" wrapText="1"/>
    </xf>
    <xf numFmtId="0" fontId="14" fillId="13" borderId="0" xfId="0" applyFont="1" applyFill="1" applyAlignment="1">
      <alignment horizontal="left" vertical="center" wrapText="1"/>
    </xf>
    <xf numFmtId="0" fontId="0" fillId="0" borderId="0" xfId="0" applyAlignment="1">
      <alignment horizontal="left" vertical="top" wrapText="1"/>
    </xf>
    <xf numFmtId="0" fontId="46" fillId="0" borderId="0" xfId="0" applyFont="1" applyAlignment="1">
      <alignment horizontal="center"/>
    </xf>
    <xf numFmtId="0" fontId="0" fillId="0" borderId="0" xfId="0" applyAlignment="1">
      <alignment horizontal="left" vertical="top"/>
    </xf>
    <xf numFmtId="0" fontId="50" fillId="0" borderId="0" xfId="0" applyFont="1"/>
    <xf numFmtId="164" fontId="0" fillId="0" borderId="0" xfId="0" applyNumberFormat="1"/>
    <xf numFmtId="164" fontId="50" fillId="0" borderId="0" xfId="0" applyNumberFormat="1" applyFont="1"/>
    <xf numFmtId="0" fontId="0" fillId="0" borderId="10" xfId="0" applyBorder="1" applyAlignment="1">
      <alignment horizontal="left"/>
    </xf>
    <xf numFmtId="0" fontId="3" fillId="3" borderId="10" xfId="0" applyFont="1" applyFill="1" applyBorder="1" applyAlignment="1">
      <alignment horizontal="left" vertical="center"/>
    </xf>
    <xf numFmtId="0" fontId="6" fillId="5" borderId="10" xfId="0" applyFont="1" applyFill="1" applyBorder="1" applyAlignment="1">
      <alignment horizontal="left" vertical="center"/>
    </xf>
    <xf numFmtId="0" fontId="6" fillId="6" borderId="10" xfId="0" applyFont="1" applyFill="1" applyBorder="1" applyAlignment="1">
      <alignment horizontal="left" vertical="center"/>
    </xf>
    <xf numFmtId="0" fontId="3" fillId="3" borderId="12" xfId="0" applyFont="1" applyFill="1" applyBorder="1" applyAlignment="1">
      <alignment horizontal="left" vertical="center"/>
    </xf>
    <xf numFmtId="0" fontId="6" fillId="6" borderId="15" xfId="0" applyFont="1" applyFill="1" applyBorder="1" applyAlignment="1">
      <alignment horizontal="left" vertical="center"/>
    </xf>
    <xf numFmtId="0" fontId="3" fillId="3" borderId="0" xfId="0" applyFont="1" applyFill="1" applyAlignment="1">
      <alignment horizontal="left" vertical="center"/>
    </xf>
    <xf numFmtId="0" fontId="3" fillId="3" borderId="2" xfId="0" applyFont="1" applyFill="1" applyBorder="1" applyAlignment="1">
      <alignment horizontal="left" vertical="center"/>
    </xf>
    <xf numFmtId="0" fontId="5" fillId="6" borderId="14" xfId="0" applyFont="1" applyFill="1" applyBorder="1" applyAlignment="1">
      <alignment horizontal="left" vertical="center"/>
    </xf>
    <xf numFmtId="0" fontId="46" fillId="0" borderId="23" xfId="0" applyFont="1" applyBorder="1" applyAlignment="1">
      <alignment horizontal="left"/>
    </xf>
    <xf numFmtId="0" fontId="46" fillId="0" borderId="28" xfId="0" applyFont="1" applyBorder="1" applyAlignment="1">
      <alignment horizontal="center"/>
    </xf>
    <xf numFmtId="0" fontId="0" fillId="0" borderId="25" xfId="0" applyBorder="1" applyAlignment="1">
      <alignment horizontal="center"/>
    </xf>
    <xf numFmtId="12" fontId="0" fillId="0" borderId="25" xfId="0" applyNumberFormat="1" applyBorder="1" applyAlignment="1">
      <alignment horizontal="center"/>
    </xf>
    <xf numFmtId="12" fontId="0" fillId="0" borderId="27" xfId="0" applyNumberFormat="1" applyBorder="1" applyAlignment="1">
      <alignment horizontal="center"/>
    </xf>
    <xf numFmtId="0" fontId="0" fillId="0" borderId="24" xfId="0" applyBorder="1" applyAlignment="1">
      <alignment horizontal="left"/>
    </xf>
    <xf numFmtId="0" fontId="0" fillId="0" borderId="26" xfId="0" applyBorder="1" applyAlignment="1">
      <alignment horizontal="left"/>
    </xf>
    <xf numFmtId="0" fontId="25" fillId="29" borderId="0" xfId="0" applyFont="1" applyFill="1" applyAlignment="1">
      <alignment horizontal="left" vertical="center" wrapText="1"/>
    </xf>
    <xf numFmtId="0" fontId="51" fillId="0" borderId="0" xfId="0" applyFont="1"/>
    <xf numFmtId="0" fontId="51" fillId="2" borderId="0" xfId="0" applyFont="1" applyFill="1"/>
    <xf numFmtId="0" fontId="51" fillId="0" borderId="0" xfId="0" applyFont="1" applyAlignment="1">
      <alignment horizontal="left"/>
    </xf>
    <xf numFmtId="0" fontId="51" fillId="0" borderId="0" xfId="0" applyFont="1" applyAlignment="1">
      <alignment horizontal="center"/>
    </xf>
    <xf numFmtId="0" fontId="54" fillId="38" borderId="0" xfId="0" applyFont="1" applyFill="1" applyAlignment="1">
      <alignment horizontal="center"/>
    </xf>
    <xf numFmtId="164" fontId="52" fillId="37" borderId="0" xfId="0" applyNumberFormat="1" applyFont="1" applyFill="1" applyAlignment="1">
      <alignment horizontal="center"/>
    </xf>
    <xf numFmtId="164" fontId="52" fillId="37" borderId="33" xfId="0" applyNumberFormat="1" applyFont="1" applyFill="1" applyBorder="1" applyAlignment="1">
      <alignment horizontal="center"/>
    </xf>
    <xf numFmtId="0" fontId="54" fillId="38" borderId="33" xfId="0" applyFont="1" applyFill="1" applyBorder="1" applyAlignment="1">
      <alignment horizontal="center"/>
    </xf>
    <xf numFmtId="0" fontId="52" fillId="37" borderId="34" xfId="0" applyFont="1" applyFill="1" applyBorder="1" applyAlignment="1">
      <alignment horizontal="left"/>
    </xf>
    <xf numFmtId="164" fontId="52" fillId="37" borderId="35" xfId="0" applyNumberFormat="1" applyFont="1" applyFill="1" applyBorder="1" applyAlignment="1">
      <alignment horizontal="center"/>
    </xf>
    <xf numFmtId="164" fontId="52" fillId="37" borderId="36" xfId="0" applyNumberFormat="1" applyFont="1" applyFill="1" applyBorder="1" applyAlignment="1">
      <alignment horizontal="center"/>
    </xf>
    <xf numFmtId="164" fontId="51" fillId="0" borderId="0" xfId="4" applyNumberFormat="1" applyFont="1" applyAlignment="1">
      <alignment horizontal="left"/>
    </xf>
    <xf numFmtId="164" fontId="51" fillId="0" borderId="0" xfId="4" applyNumberFormat="1" applyFont="1" applyAlignment="1">
      <alignment horizontal="center"/>
    </xf>
    <xf numFmtId="0" fontId="53" fillId="37" borderId="29" xfId="0" applyFont="1" applyFill="1" applyBorder="1" applyAlignment="1">
      <alignment horizontal="left"/>
    </xf>
    <xf numFmtId="0" fontId="54" fillId="37" borderId="30" xfId="0" applyFont="1" applyFill="1" applyBorder="1" applyAlignment="1">
      <alignment horizontal="center"/>
    </xf>
    <xf numFmtId="0" fontId="54" fillId="37" borderId="31" xfId="0" applyFont="1" applyFill="1" applyBorder="1" applyAlignment="1">
      <alignment horizontal="center"/>
    </xf>
    <xf numFmtId="0" fontId="54" fillId="37" borderId="32" xfId="0" applyFont="1" applyFill="1" applyBorder="1" applyAlignment="1">
      <alignment horizontal="left"/>
    </xf>
    <xf numFmtId="164" fontId="52" fillId="0" borderId="0" xfId="0" applyNumberFormat="1" applyFont="1" applyAlignment="1">
      <alignment horizontal="center"/>
    </xf>
    <xf numFmtId="164" fontId="52" fillId="0" borderId="33" xfId="0" applyNumberFormat="1" applyFont="1" applyBorder="1" applyAlignment="1">
      <alignment horizontal="center"/>
    </xf>
    <xf numFmtId="0" fontId="54" fillId="37" borderId="34" xfId="0" applyFont="1" applyFill="1" applyBorder="1" applyAlignment="1">
      <alignment horizontal="left"/>
    </xf>
    <xf numFmtId="164" fontId="51" fillId="0" borderId="0" xfId="4" applyNumberFormat="1" applyFont="1" applyBorder="1" applyAlignment="1">
      <alignment horizontal="center"/>
    </xf>
    <xf numFmtId="164" fontId="51" fillId="0" borderId="33" xfId="4" applyNumberFormat="1" applyFont="1" applyBorder="1" applyAlignment="1">
      <alignment horizontal="center"/>
    </xf>
    <xf numFmtId="164" fontId="51" fillId="0" borderId="36" xfId="4" applyNumberFormat="1" applyFont="1" applyBorder="1" applyAlignment="1">
      <alignment horizontal="center"/>
    </xf>
    <xf numFmtId="2" fontId="54" fillId="37" borderId="31" xfId="4" applyNumberFormat="1" applyFont="1" applyFill="1" applyBorder="1" applyAlignment="1">
      <alignment horizontal="center"/>
    </xf>
    <xf numFmtId="0" fontId="53" fillId="0" borderId="31" xfId="0" applyFont="1" applyBorder="1" applyAlignment="1">
      <alignment horizontal="center"/>
    </xf>
    <xf numFmtId="0" fontId="48" fillId="0" borderId="0" xfId="0" applyFont="1" applyAlignment="1">
      <alignment horizontal="left" vertical="center" wrapText="1"/>
    </xf>
    <xf numFmtId="0" fontId="49" fillId="0" borderId="0" xfId="0" applyFont="1" applyAlignment="1">
      <alignment horizontal="center" vertical="center" wrapText="1"/>
    </xf>
    <xf numFmtId="0" fontId="14" fillId="0" borderId="0" xfId="0" applyFont="1" applyAlignment="1">
      <alignment horizontal="left" vertical="center" wrapText="1"/>
    </xf>
    <xf numFmtId="0" fontId="55" fillId="0" borderId="0" xfId="0" applyFont="1"/>
    <xf numFmtId="10" fontId="51" fillId="0" borderId="0" xfId="4" applyNumberFormat="1" applyFont="1" applyBorder="1" applyAlignment="1">
      <alignment horizontal="center"/>
    </xf>
    <xf numFmtId="0" fontId="48" fillId="0" borderId="0" xfId="0" applyFont="1" applyAlignment="1">
      <alignment horizontal="center" vertical="center" wrapText="1"/>
    </xf>
    <xf numFmtId="0" fontId="0" fillId="0" borderId="0" xfId="0" applyAlignment="1">
      <alignment horizontal="left" wrapText="1"/>
    </xf>
    <xf numFmtId="0" fontId="56" fillId="0" borderId="0" xfId="0" applyFont="1" applyAlignment="1">
      <alignment horizontal="left"/>
    </xf>
    <xf numFmtId="164" fontId="51" fillId="0" borderId="35" xfId="4" applyNumberFormat="1" applyFont="1" applyBorder="1" applyAlignment="1">
      <alignment horizontal="center"/>
    </xf>
    <xf numFmtId="10" fontId="51" fillId="0" borderId="35" xfId="4" applyNumberFormat="1" applyFont="1" applyBorder="1" applyAlignment="1">
      <alignment horizontal="center"/>
    </xf>
    <xf numFmtId="0" fontId="39" fillId="0" borderId="0" xfId="3" applyFont="1" applyAlignment="1">
      <alignment horizontal="center" vertical="center" wrapText="1"/>
    </xf>
    <xf numFmtId="0" fontId="32" fillId="0" borderId="0" xfId="3" applyFont="1" applyAlignment="1">
      <alignment horizontal="right" vertical="center" wrapText="1"/>
    </xf>
    <xf numFmtId="0" fontId="33" fillId="0" borderId="0" xfId="3" applyFont="1" applyAlignment="1">
      <alignment horizontal="right"/>
    </xf>
    <xf numFmtId="9" fontId="38" fillId="0" borderId="0" xfId="4" applyFont="1" applyFill="1" applyAlignment="1">
      <alignment horizontal="right"/>
    </xf>
    <xf numFmtId="9" fontId="35" fillId="0" borderId="0" xfId="4" applyFont="1" applyFill="1" applyBorder="1" applyAlignment="1">
      <alignment horizontal="center" vertical="center" wrapText="1"/>
    </xf>
    <xf numFmtId="0" fontId="46" fillId="0" borderId="0" xfId="0" applyFont="1" applyAlignment="1">
      <alignment horizontal="left" vertical="top"/>
    </xf>
    <xf numFmtId="0" fontId="3" fillId="40" borderId="0" xfId="0" applyFont="1" applyFill="1" applyAlignment="1">
      <alignment horizontal="center" vertical="center" wrapText="1"/>
    </xf>
    <xf numFmtId="0" fontId="0" fillId="0" borderId="38" xfId="0" applyBorder="1"/>
    <xf numFmtId="0" fontId="3" fillId="40" borderId="45" xfId="0" applyFont="1" applyFill="1" applyBorder="1" applyAlignment="1">
      <alignment horizontal="center" vertical="center" wrapText="1"/>
    </xf>
    <xf numFmtId="0" fontId="3" fillId="40" borderId="41" xfId="0" applyFont="1" applyFill="1" applyBorder="1" applyAlignment="1">
      <alignment horizontal="center" vertical="center" wrapText="1"/>
    </xf>
    <xf numFmtId="0" fontId="27" fillId="31" borderId="46" xfId="0" applyFont="1" applyFill="1" applyBorder="1" applyAlignment="1">
      <alignment horizontal="center" vertical="center" wrapText="1"/>
    </xf>
    <xf numFmtId="0" fontId="60" fillId="0" borderId="46" xfId="0" applyFont="1" applyBorder="1" applyAlignment="1">
      <alignment horizontal="left" vertical="center" wrapText="1"/>
    </xf>
    <xf numFmtId="0" fontId="27" fillId="0" borderId="46" xfId="0" applyFont="1" applyBorder="1" applyAlignment="1">
      <alignment horizontal="center" vertical="center" wrapText="1"/>
    </xf>
    <xf numFmtId="0" fontId="58" fillId="0" borderId="46" xfId="0" applyFont="1" applyBorder="1" applyAlignment="1">
      <alignment horizontal="center" vertical="center"/>
    </xf>
    <xf numFmtId="0" fontId="4" fillId="0" borderId="46" xfId="0" applyFont="1" applyBorder="1" applyAlignment="1">
      <alignment horizontal="center" vertical="center"/>
    </xf>
    <xf numFmtId="0" fontId="61" fillId="0" borderId="46" xfId="0" applyFont="1" applyBorder="1" applyAlignment="1">
      <alignment horizontal="center" vertical="center"/>
    </xf>
    <xf numFmtId="0" fontId="62" fillId="0" borderId="46" xfId="0" applyFont="1" applyBorder="1" applyAlignment="1">
      <alignment horizontal="center" vertical="center"/>
    </xf>
    <xf numFmtId="0" fontId="65" fillId="0" borderId="0" xfId="0" applyFont="1" applyAlignment="1">
      <alignment horizontal="center"/>
    </xf>
    <xf numFmtId="0" fontId="43" fillId="0" borderId="0" xfId="3" applyFont="1" applyAlignment="1">
      <alignment vertical="center" wrapText="1"/>
    </xf>
    <xf numFmtId="0" fontId="41" fillId="0" borderId="0" xfId="3" applyFont="1" applyAlignment="1">
      <alignment vertical="center" wrapText="1"/>
    </xf>
    <xf numFmtId="0" fontId="67" fillId="0" borderId="0" xfId="3" applyFont="1" applyAlignment="1">
      <alignment horizontal="left" vertical="center" wrapText="1"/>
    </xf>
    <xf numFmtId="0" fontId="64" fillId="0" borderId="0" xfId="3" applyFont="1"/>
    <xf numFmtId="0" fontId="64" fillId="0" borderId="0" xfId="3" applyFont="1" applyAlignment="1">
      <alignment horizontal="right"/>
    </xf>
    <xf numFmtId="0" fontId="64" fillId="0" borderId="0" xfId="0" applyFont="1" applyAlignment="1">
      <alignment horizontal="left"/>
    </xf>
    <xf numFmtId="0" fontId="64" fillId="0" borderId="0" xfId="0" applyFont="1" applyAlignment="1">
      <alignment horizontal="center"/>
    </xf>
    <xf numFmtId="0" fontId="64" fillId="0" borderId="0" xfId="0" pivotButton="1" applyFont="1" applyAlignment="1">
      <alignment horizontal="center" wrapText="1"/>
    </xf>
    <xf numFmtId="0" fontId="64" fillId="0" borderId="0" xfId="0" pivotButton="1" applyFont="1" applyAlignment="1">
      <alignment horizontal="center" vertical="center" wrapText="1"/>
    </xf>
    <xf numFmtId="0" fontId="0" fillId="0" borderId="0" xfId="0" applyAlignment="1">
      <alignment horizontal="center" vertical="center" wrapText="1"/>
    </xf>
    <xf numFmtId="0" fontId="33" fillId="0" borderId="0" xfId="3" applyFont="1" applyAlignment="1">
      <alignment horizontal="center" vertical="center" wrapText="1"/>
    </xf>
    <xf numFmtId="0" fontId="64" fillId="0" borderId="0" xfId="0" pivotButton="1" applyFont="1" applyAlignment="1">
      <alignment horizontal="left" vertical="center" wrapText="1"/>
    </xf>
    <xf numFmtId="0" fontId="70" fillId="0" borderId="0" xfId="0" applyFont="1" applyAlignment="1">
      <alignment vertical="center" wrapText="1"/>
    </xf>
    <xf numFmtId="0" fontId="69" fillId="0" borderId="0" xfId="0" applyFont="1" applyAlignment="1">
      <alignment horizontal="left" vertical="center" wrapText="1"/>
    </xf>
    <xf numFmtId="0" fontId="70" fillId="0" borderId="0" xfId="0" applyFont="1" applyAlignment="1">
      <alignment horizontal="left" vertical="center" wrapText="1"/>
    </xf>
    <xf numFmtId="0" fontId="32" fillId="0" borderId="0" xfId="0" applyFont="1" applyAlignment="1">
      <alignment horizontal="left" vertical="center" wrapText="1"/>
    </xf>
    <xf numFmtId="0" fontId="37" fillId="0" borderId="0" xfId="3" applyFont="1" applyAlignment="1">
      <alignment horizontal="left"/>
    </xf>
    <xf numFmtId="10" fontId="34" fillId="0" borderId="0" xfId="4" applyNumberFormat="1" applyFont="1" applyFill="1" applyAlignment="1">
      <alignment horizontal="left"/>
    </xf>
    <xf numFmtId="0" fontId="65" fillId="0" borderId="0" xfId="0" applyFont="1" applyAlignment="1">
      <alignment horizontal="left" vertical="top" wrapText="1"/>
    </xf>
    <xf numFmtId="0" fontId="53" fillId="37" borderId="49" xfId="0" applyFont="1" applyFill="1" applyBorder="1" applyAlignment="1">
      <alignment horizontal="left"/>
    </xf>
    <xf numFmtId="0" fontId="54" fillId="37" borderId="52" xfId="0" applyFont="1" applyFill="1" applyBorder="1" applyAlignment="1">
      <alignment horizontal="left"/>
    </xf>
    <xf numFmtId="0" fontId="54" fillId="37" borderId="54" xfId="0" applyFont="1" applyFill="1" applyBorder="1" applyAlignment="1">
      <alignment horizontal="left"/>
    </xf>
    <xf numFmtId="10" fontId="51" fillId="0" borderId="55" xfId="4" applyNumberFormat="1" applyFont="1" applyBorder="1" applyAlignment="1">
      <alignment horizontal="center"/>
    </xf>
    <xf numFmtId="10" fontId="50" fillId="0" borderId="0" xfId="4" applyNumberFormat="1" applyFont="1" applyBorder="1" applyAlignment="1">
      <alignment horizontal="center"/>
    </xf>
    <xf numFmtId="2" fontId="54" fillId="37" borderId="0" xfId="4" applyNumberFormat="1" applyFont="1" applyFill="1" applyBorder="1" applyAlignment="1">
      <alignment horizontal="center"/>
    </xf>
    <xf numFmtId="0" fontId="2" fillId="0" borderId="0" xfId="0" applyFont="1" applyAlignment="1">
      <alignment horizontal="left" vertical="center"/>
    </xf>
    <xf numFmtId="2" fontId="54" fillId="0" borderId="0" xfId="4" applyNumberFormat="1" applyFont="1" applyFill="1" applyBorder="1" applyAlignment="1">
      <alignment horizontal="center"/>
    </xf>
    <xf numFmtId="164" fontId="51" fillId="0" borderId="0" xfId="4" applyNumberFormat="1" applyFont="1" applyFill="1" applyBorder="1" applyAlignment="1">
      <alignment horizontal="center"/>
    </xf>
    <xf numFmtId="0" fontId="51" fillId="0" borderId="0" xfId="0" applyFont="1" applyAlignment="1">
      <alignment wrapText="1"/>
    </xf>
    <xf numFmtId="0" fontId="72" fillId="0" borderId="0" xfId="0" applyFont="1" applyAlignment="1">
      <alignment wrapText="1"/>
    </xf>
    <xf numFmtId="0" fontId="3" fillId="40" borderId="0" xfId="0" applyFont="1" applyFill="1" applyAlignment="1">
      <alignment vertical="center" wrapText="1"/>
    </xf>
    <xf numFmtId="0" fontId="3" fillId="44" borderId="0" xfId="0" applyFont="1" applyFill="1" applyAlignment="1">
      <alignment vertical="center" wrapText="1"/>
    </xf>
    <xf numFmtId="0" fontId="3" fillId="40" borderId="0" xfId="0" applyFont="1" applyFill="1" applyAlignment="1">
      <alignment horizontal="left" vertical="center" wrapText="1"/>
    </xf>
    <xf numFmtId="0" fontId="13" fillId="40" borderId="0" xfId="0" applyFont="1" applyFill="1" applyAlignment="1">
      <alignment horizontal="left" vertical="center"/>
    </xf>
    <xf numFmtId="0" fontId="3" fillId="45" borderId="0" xfId="0" applyFont="1" applyFill="1" applyAlignment="1">
      <alignment vertical="center" wrapText="1"/>
    </xf>
    <xf numFmtId="0" fontId="73" fillId="20" borderId="0" xfId="0" applyFont="1" applyFill="1"/>
    <xf numFmtId="0" fontId="73" fillId="0" borderId="0" xfId="0" applyFont="1"/>
    <xf numFmtId="0" fontId="73" fillId="0" borderId="0" xfId="0" applyFont="1" applyAlignment="1">
      <alignment horizontal="center"/>
    </xf>
    <xf numFmtId="0" fontId="74" fillId="0" borderId="0" xfId="0" applyFont="1" applyAlignment="1">
      <alignment horizontal="left" vertical="center"/>
    </xf>
    <xf numFmtId="0" fontId="75" fillId="22" borderId="0" xfId="0" applyFont="1" applyFill="1" applyAlignment="1">
      <alignment horizontal="left"/>
    </xf>
    <xf numFmtId="0" fontId="75" fillId="0" borderId="0" xfId="0" applyFont="1" applyAlignment="1">
      <alignment horizontal="left"/>
    </xf>
    <xf numFmtId="0" fontId="75" fillId="0" borderId="0" xfId="0" applyFont="1"/>
    <xf numFmtId="0" fontId="75" fillId="45" borderId="0" xfId="0" applyFont="1" applyFill="1"/>
    <xf numFmtId="0" fontId="73" fillId="24" borderId="0" xfId="0" applyFont="1" applyFill="1"/>
    <xf numFmtId="0" fontId="73" fillId="26" borderId="0" xfId="0" applyFont="1" applyFill="1"/>
    <xf numFmtId="0" fontId="75" fillId="22" borderId="0" xfId="0" applyFont="1" applyFill="1"/>
    <xf numFmtId="0" fontId="56" fillId="0" borderId="0" xfId="0" applyFont="1"/>
    <xf numFmtId="165" fontId="73" fillId="0" borderId="57" xfId="0" applyNumberFormat="1" applyFont="1" applyBorder="1" applyAlignment="1">
      <alignment horizontal="center"/>
    </xf>
    <xf numFmtId="165" fontId="74" fillId="42" borderId="0" xfId="0" applyNumberFormat="1" applyFont="1" applyFill="1" applyAlignment="1">
      <alignment horizontal="center" vertical="center"/>
    </xf>
    <xf numFmtId="0" fontId="74" fillId="41" borderId="0" xfId="0" applyFont="1" applyFill="1" applyAlignment="1">
      <alignment horizontal="center" vertical="center"/>
    </xf>
    <xf numFmtId="165" fontId="73" fillId="26" borderId="0" xfId="0" applyNumberFormat="1" applyFont="1" applyFill="1"/>
    <xf numFmtId="1" fontId="73" fillId="0" borderId="57" xfId="0" applyNumberFormat="1" applyFont="1" applyBorder="1" applyAlignment="1">
      <alignment horizontal="center" vertical="center"/>
    </xf>
    <xf numFmtId="165" fontId="73" fillId="0" borderId="57" xfId="0" applyNumberFormat="1" applyFont="1" applyBorder="1" applyAlignment="1">
      <alignment horizontal="center" vertical="center"/>
    </xf>
    <xf numFmtId="0" fontId="73" fillId="0" borderId="57" xfId="0" applyFont="1" applyBorder="1" applyAlignment="1">
      <alignment horizontal="center" vertical="center"/>
    </xf>
    <xf numFmtId="2" fontId="73" fillId="0" borderId="57" xfId="0" applyNumberFormat="1" applyFont="1" applyBorder="1" applyAlignment="1">
      <alignment horizontal="center" vertical="center"/>
    </xf>
    <xf numFmtId="0" fontId="73" fillId="0" borderId="57" xfId="0" applyFont="1" applyBorder="1" applyAlignment="1">
      <alignment horizontal="left" vertical="center"/>
    </xf>
    <xf numFmtId="164" fontId="73" fillId="0" borderId="57" xfId="0" applyNumberFormat="1" applyFont="1" applyBorder="1" applyAlignment="1">
      <alignment horizontal="center" vertical="center"/>
    </xf>
    <xf numFmtId="0" fontId="73" fillId="0" borderId="0" xfId="0" applyFont="1" applyAlignment="1">
      <alignment horizontal="center" vertical="center" wrapText="1"/>
    </xf>
    <xf numFmtId="0" fontId="74" fillId="0" borderId="0" xfId="1" applyFont="1" applyFill="1" applyBorder="1" applyAlignment="1">
      <alignment horizontal="center" vertical="center" wrapText="1"/>
    </xf>
    <xf numFmtId="0" fontId="77" fillId="0" borderId="0" xfId="0" applyFont="1" applyAlignment="1">
      <alignment horizontal="left" vertical="center"/>
    </xf>
    <xf numFmtId="0" fontId="77" fillId="21" borderId="0" xfId="0" applyFont="1" applyFill="1" applyAlignment="1">
      <alignment horizontal="left" vertical="center"/>
    </xf>
    <xf numFmtId="0" fontId="73" fillId="24" borderId="0" xfId="0" applyFont="1" applyFill="1" applyAlignment="1">
      <alignment horizontal="left" vertical="center"/>
    </xf>
    <xf numFmtId="165" fontId="73" fillId="25" borderId="0" xfId="0" applyNumberFormat="1" applyFont="1" applyFill="1" applyAlignment="1">
      <alignment horizontal="center" vertical="center"/>
    </xf>
    <xf numFmtId="0" fontId="56" fillId="46" borderId="57" xfId="0" applyFont="1" applyFill="1" applyBorder="1" applyAlignment="1">
      <alignment horizontal="center" vertical="center" wrapText="1"/>
    </xf>
    <xf numFmtId="0" fontId="56" fillId="40" borderId="57" xfId="0" applyFont="1" applyFill="1" applyBorder="1" applyAlignment="1">
      <alignment horizontal="center" vertical="center" wrapText="1"/>
    </xf>
    <xf numFmtId="0" fontId="56" fillId="44" borderId="57" xfId="0" applyFont="1" applyFill="1" applyBorder="1" applyAlignment="1">
      <alignment horizontal="center" vertical="center" wrapText="1"/>
    </xf>
    <xf numFmtId="1" fontId="73" fillId="41" borderId="0" xfId="0" applyNumberFormat="1" applyFont="1" applyFill="1" applyAlignment="1">
      <alignment horizontal="center" vertical="center"/>
    </xf>
    <xf numFmtId="164" fontId="74" fillId="42" borderId="0" xfId="0" applyNumberFormat="1" applyFont="1" applyFill="1" applyAlignment="1">
      <alignment horizontal="center" vertical="center"/>
    </xf>
    <xf numFmtId="0" fontId="75" fillId="20" borderId="0" xfId="0" applyFont="1" applyFill="1" applyAlignment="1">
      <alignment horizontal="left" vertical="center"/>
    </xf>
    <xf numFmtId="0" fontId="73" fillId="0" borderId="0" xfId="0" applyFont="1" applyAlignment="1">
      <alignment horizontal="left" vertical="center"/>
    </xf>
    <xf numFmtId="0" fontId="75" fillId="22" borderId="0" xfId="0" applyFont="1" applyFill="1" applyAlignment="1">
      <alignment horizontal="left" vertical="center"/>
    </xf>
    <xf numFmtId="0" fontId="75" fillId="45" borderId="0" xfId="0" applyFont="1" applyFill="1" applyAlignment="1">
      <alignment horizontal="left" vertical="center"/>
    </xf>
    <xf numFmtId="0" fontId="75" fillId="0" borderId="0" xfId="0" applyFont="1" applyAlignment="1">
      <alignment horizontal="left" vertical="center"/>
    </xf>
    <xf numFmtId="0" fontId="75" fillId="46" borderId="57" xfId="0" applyFont="1" applyFill="1" applyBorder="1" applyAlignment="1">
      <alignment horizontal="center" vertical="center" wrapText="1"/>
    </xf>
    <xf numFmtId="0" fontId="73" fillId="41" borderId="0" xfId="0" applyFont="1" applyFill="1" applyAlignment="1">
      <alignment horizontal="left" vertical="center"/>
    </xf>
    <xf numFmtId="0" fontId="75" fillId="47" borderId="0" xfId="0" applyFont="1" applyFill="1" applyAlignment="1">
      <alignment horizontal="left" vertical="center"/>
    </xf>
    <xf numFmtId="0" fontId="75" fillId="47" borderId="0" xfId="0" applyFont="1" applyFill="1"/>
    <xf numFmtId="0" fontId="0" fillId="0" borderId="52" xfId="0" applyBorder="1"/>
    <xf numFmtId="0" fontId="0" fillId="0" borderId="53" xfId="0" applyBorder="1"/>
    <xf numFmtId="0" fontId="4" fillId="0" borderId="52" xfId="0" applyFont="1" applyBorder="1" applyAlignment="1">
      <alignment horizontal="left" vertical="center"/>
    </xf>
    <xf numFmtId="0" fontId="5" fillId="5" borderId="0" xfId="0" applyFont="1" applyFill="1" applyAlignment="1">
      <alignment horizontal="left" vertical="center" wrapText="1"/>
    </xf>
    <xf numFmtId="0" fontId="5" fillId="5" borderId="53" xfId="0" applyFont="1" applyFill="1" applyBorder="1" applyAlignment="1">
      <alignment horizontal="left" vertical="center"/>
    </xf>
    <xf numFmtId="15" fontId="5" fillId="5" borderId="0" xfId="0" applyNumberFormat="1" applyFont="1" applyFill="1" applyAlignment="1">
      <alignment horizontal="left" vertical="center"/>
    </xf>
    <xf numFmtId="0" fontId="78" fillId="5" borderId="53" xfId="0" applyFont="1" applyFill="1" applyBorder="1" applyAlignment="1">
      <alignment horizontal="left" vertical="center" wrapText="1"/>
    </xf>
    <xf numFmtId="0" fontId="5" fillId="0" borderId="52" xfId="0" applyFont="1" applyBorder="1" applyAlignment="1">
      <alignment horizontal="left" vertical="center" wrapText="1"/>
    </xf>
    <xf numFmtId="0" fontId="5" fillId="0" borderId="0" xfId="0" applyFont="1" applyAlignment="1">
      <alignment horizontal="left" vertical="center" wrapText="1"/>
    </xf>
    <xf numFmtId="0" fontId="5" fillId="5" borderId="52" xfId="0" applyFont="1" applyFill="1" applyBorder="1" applyAlignment="1">
      <alignment horizontal="left" vertical="center" wrapText="1"/>
    </xf>
    <xf numFmtId="0" fontId="76" fillId="5" borderId="53" xfId="0" applyFont="1" applyFill="1" applyBorder="1" applyAlignment="1">
      <alignment vertical="center" wrapText="1"/>
    </xf>
    <xf numFmtId="0" fontId="3" fillId="3" borderId="52" xfId="0" applyFont="1" applyFill="1" applyBorder="1" applyAlignment="1">
      <alignment horizontal="center" vertical="center"/>
    </xf>
    <xf numFmtId="0" fontId="3" fillId="3" borderId="0" xfId="0" applyFont="1" applyFill="1" applyAlignment="1">
      <alignment horizontal="center" vertical="center"/>
    </xf>
    <xf numFmtId="0" fontId="3" fillId="3" borderId="53" xfId="0" applyFont="1" applyFill="1" applyBorder="1" applyAlignment="1">
      <alignment horizontal="center" vertical="center"/>
    </xf>
    <xf numFmtId="0" fontId="76" fillId="0" borderId="53" xfId="0" applyFont="1" applyBorder="1" applyAlignment="1">
      <alignment vertical="center"/>
    </xf>
    <xf numFmtId="0" fontId="5" fillId="0" borderId="54" xfId="0" applyFont="1" applyBorder="1" applyAlignment="1">
      <alignment horizontal="left" vertical="center" wrapText="1"/>
    </xf>
    <xf numFmtId="0" fontId="5" fillId="0" borderId="55" xfId="0" applyFont="1" applyBorder="1" applyAlignment="1">
      <alignment horizontal="left" vertical="center" wrapText="1"/>
    </xf>
    <xf numFmtId="0" fontId="76" fillId="0" borderId="56" xfId="0" applyFont="1" applyBorder="1" applyAlignment="1">
      <alignment vertical="center"/>
    </xf>
    <xf numFmtId="0" fontId="54" fillId="37" borderId="51" xfId="0" applyFont="1" applyFill="1" applyBorder="1" applyAlignment="1">
      <alignment horizontal="center"/>
    </xf>
    <xf numFmtId="168" fontId="51" fillId="0" borderId="53" xfId="4" applyNumberFormat="1" applyFont="1" applyBorder="1" applyAlignment="1">
      <alignment horizontal="center"/>
    </xf>
    <xf numFmtId="168" fontId="51" fillId="0" borderId="56" xfId="4" applyNumberFormat="1" applyFont="1" applyBorder="1" applyAlignment="1">
      <alignment horizontal="center"/>
    </xf>
    <xf numFmtId="165" fontId="51" fillId="0" borderId="53" xfId="4" applyNumberFormat="1" applyFont="1" applyBorder="1" applyAlignment="1">
      <alignment horizontal="center"/>
    </xf>
    <xf numFmtId="165" fontId="51" fillId="0" borderId="56" xfId="4" applyNumberFormat="1" applyFont="1" applyBorder="1" applyAlignment="1">
      <alignment horizontal="center"/>
    </xf>
    <xf numFmtId="0" fontId="51" fillId="0" borderId="0" xfId="0" applyFont="1" applyAlignment="1">
      <alignment horizontal="left" vertical="center"/>
    </xf>
    <xf numFmtId="0" fontId="53" fillId="37" borderId="29" xfId="0" applyFont="1" applyFill="1" applyBorder="1" applyAlignment="1">
      <alignment horizontal="left" vertical="center"/>
    </xf>
    <xf numFmtId="0" fontId="53" fillId="37" borderId="49" xfId="0" applyFont="1" applyFill="1" applyBorder="1" applyAlignment="1">
      <alignment horizontal="left" vertical="center"/>
    </xf>
    <xf numFmtId="0" fontId="54" fillId="37" borderId="30" xfId="0" applyFont="1" applyFill="1" applyBorder="1" applyAlignment="1">
      <alignment horizontal="center" vertical="center" wrapText="1"/>
    </xf>
    <xf numFmtId="0" fontId="53" fillId="0" borderId="31" xfId="0" applyFont="1" applyBorder="1" applyAlignment="1">
      <alignment horizontal="center" vertical="center" wrapText="1"/>
    </xf>
    <xf numFmtId="165" fontId="50" fillId="0" borderId="33" xfId="4" applyNumberFormat="1" applyFont="1" applyBorder="1" applyAlignment="1">
      <alignment horizontal="center"/>
    </xf>
    <xf numFmtId="165" fontId="50" fillId="0" borderId="36" xfId="4" applyNumberFormat="1" applyFont="1" applyBorder="1" applyAlignment="1">
      <alignment horizontal="center"/>
    </xf>
    <xf numFmtId="165" fontId="50" fillId="0" borderId="53" xfId="4" applyNumberFormat="1" applyFont="1" applyBorder="1" applyAlignment="1">
      <alignment horizontal="center"/>
    </xf>
    <xf numFmtId="165" fontId="50" fillId="0" borderId="56" xfId="4" applyNumberFormat="1" applyFont="1" applyBorder="1" applyAlignment="1">
      <alignment horizontal="center"/>
    </xf>
    <xf numFmtId="0" fontId="58" fillId="5" borderId="52" xfId="0" applyFont="1" applyFill="1" applyBorder="1" applyAlignment="1">
      <alignment horizontal="left" vertical="center"/>
    </xf>
    <xf numFmtId="0" fontId="78" fillId="0" borderId="53" xfId="0" applyFont="1" applyBorder="1" applyAlignment="1">
      <alignment horizontal="left" vertical="center" wrapText="1"/>
    </xf>
    <xf numFmtId="0" fontId="79" fillId="5" borderId="53" xfId="0" applyFont="1" applyFill="1" applyBorder="1" applyAlignment="1">
      <alignment horizontal="left" vertical="center" wrapText="1"/>
    </xf>
    <xf numFmtId="0" fontId="1" fillId="0" borderId="0" xfId="0" applyFont="1" applyAlignment="1">
      <alignment horizontal="center" vertical="center"/>
    </xf>
    <xf numFmtId="0" fontId="66" fillId="0" borderId="63" xfId="0" applyFont="1" applyBorder="1" applyAlignment="1">
      <alignment horizontal="left" vertical="top" wrapText="1"/>
    </xf>
    <xf numFmtId="0" fontId="66" fillId="0" borderId="63" xfId="0" applyFont="1" applyBorder="1" applyAlignment="1">
      <alignment vertical="top" wrapText="1"/>
    </xf>
    <xf numFmtId="0" fontId="68" fillId="50" borderId="63" xfId="0" applyFont="1" applyFill="1" applyBorder="1" applyAlignment="1">
      <alignment horizontal="left" vertical="top" wrapText="1"/>
    </xf>
    <xf numFmtId="0" fontId="68" fillId="50" borderId="63" xfId="0" applyFont="1" applyFill="1" applyBorder="1" applyAlignment="1">
      <alignment horizontal="center"/>
    </xf>
    <xf numFmtId="10" fontId="66" fillId="0" borderId="63" xfId="0" applyNumberFormat="1" applyFont="1" applyBorder="1" applyAlignment="1">
      <alignment horizontal="center"/>
    </xf>
    <xf numFmtId="0" fontId="66" fillId="0" borderId="63" xfId="3" applyFont="1" applyBorder="1" applyAlignment="1">
      <alignment horizontal="left" vertical="top" wrapText="1"/>
    </xf>
    <xf numFmtId="165" fontId="73" fillId="21" borderId="63" xfId="0" applyNumberFormat="1" applyFont="1" applyFill="1" applyBorder="1" applyAlignment="1">
      <alignment horizontal="center" vertical="center"/>
    </xf>
    <xf numFmtId="165" fontId="73" fillId="27" borderId="63" xfId="0" applyNumberFormat="1" applyFont="1" applyFill="1" applyBorder="1" applyAlignment="1">
      <alignment horizontal="center" vertical="center"/>
    </xf>
    <xf numFmtId="165" fontId="73" fillId="28" borderId="63" xfId="0" applyNumberFormat="1" applyFont="1" applyFill="1" applyBorder="1" applyAlignment="1">
      <alignment horizontal="center" vertical="center"/>
    </xf>
    <xf numFmtId="165" fontId="73" fillId="23" borderId="63" xfId="0" applyNumberFormat="1" applyFont="1" applyFill="1" applyBorder="1" applyAlignment="1">
      <alignment horizontal="center" vertical="center"/>
    </xf>
    <xf numFmtId="0" fontId="75" fillId="46" borderId="64" xfId="0" applyFont="1" applyFill="1" applyBorder="1" applyAlignment="1">
      <alignment horizontal="center" vertical="center" wrapText="1"/>
    </xf>
    <xf numFmtId="0" fontId="56" fillId="46" borderId="65" xfId="0" applyFont="1" applyFill="1" applyBorder="1" applyAlignment="1">
      <alignment horizontal="center" vertical="center" wrapText="1"/>
    </xf>
    <xf numFmtId="0" fontId="56" fillId="46" borderId="66" xfId="0" applyFont="1" applyFill="1" applyBorder="1" applyAlignment="1">
      <alignment horizontal="center" vertical="center" wrapText="1"/>
    </xf>
    <xf numFmtId="0" fontId="73" fillId="0" borderId="67" xfId="0" applyFont="1" applyBorder="1" applyAlignment="1">
      <alignment horizontal="left" vertical="center"/>
    </xf>
    <xf numFmtId="165" fontId="73" fillId="27" borderId="68" xfId="0" applyNumberFormat="1" applyFont="1" applyFill="1" applyBorder="1" applyAlignment="1">
      <alignment horizontal="center" vertical="center"/>
    </xf>
    <xf numFmtId="165" fontId="73" fillId="21" borderId="68" xfId="0" applyNumberFormat="1" applyFont="1" applyFill="1" applyBorder="1" applyAlignment="1">
      <alignment horizontal="center" vertical="center"/>
    </xf>
    <xf numFmtId="0" fontId="73" fillId="0" borderId="69" xfId="0" applyFont="1" applyBorder="1" applyAlignment="1">
      <alignment horizontal="left" vertical="center"/>
    </xf>
    <xf numFmtId="165" fontId="73" fillId="23" borderId="70" xfId="0" applyNumberFormat="1" applyFont="1" applyFill="1" applyBorder="1" applyAlignment="1">
      <alignment horizontal="center" vertical="center"/>
    </xf>
    <xf numFmtId="165" fontId="73" fillId="23" borderId="71" xfId="0" applyNumberFormat="1" applyFont="1" applyFill="1" applyBorder="1" applyAlignment="1">
      <alignment horizontal="center" vertical="center"/>
    </xf>
    <xf numFmtId="165" fontId="73" fillId="23" borderId="68" xfId="0" applyNumberFormat="1" applyFont="1" applyFill="1" applyBorder="1" applyAlignment="1">
      <alignment horizontal="center" vertical="center"/>
    </xf>
    <xf numFmtId="165" fontId="73" fillId="21" borderId="69" xfId="0" applyNumberFormat="1" applyFont="1" applyFill="1" applyBorder="1" applyAlignment="1">
      <alignment horizontal="left" vertical="center"/>
    </xf>
    <xf numFmtId="165" fontId="73" fillId="21" borderId="70" xfId="0" applyNumberFormat="1" applyFont="1" applyFill="1" applyBorder="1" applyAlignment="1">
      <alignment horizontal="center" vertical="center"/>
    </xf>
    <xf numFmtId="165" fontId="73" fillId="21" borderId="71" xfId="0" applyNumberFormat="1" applyFont="1" applyFill="1" applyBorder="1" applyAlignment="1">
      <alignment horizontal="center" vertical="center"/>
    </xf>
    <xf numFmtId="0" fontId="75" fillId="40" borderId="64" xfId="0" applyFont="1" applyFill="1" applyBorder="1" applyAlignment="1">
      <alignment horizontal="center" vertical="center" wrapText="1"/>
    </xf>
    <xf numFmtId="0" fontId="56" fillId="40" borderId="65" xfId="0" applyFont="1" applyFill="1" applyBorder="1" applyAlignment="1">
      <alignment horizontal="center" vertical="center" wrapText="1"/>
    </xf>
    <xf numFmtId="0" fontId="56" fillId="40" borderId="66" xfId="0" applyFont="1" applyFill="1" applyBorder="1" applyAlignment="1">
      <alignment horizontal="center" vertical="center" wrapText="1"/>
    </xf>
    <xf numFmtId="165" fontId="73" fillId="21" borderId="70" xfId="0" applyNumberFormat="1" applyFont="1" applyFill="1" applyBorder="1" applyAlignment="1">
      <alignment horizontal="left" vertical="center"/>
    </xf>
    <xf numFmtId="0" fontId="75" fillId="48" borderId="64" xfId="0" applyFont="1" applyFill="1" applyBorder="1" applyAlignment="1">
      <alignment horizontal="center" vertical="center" wrapText="1"/>
    </xf>
    <xf numFmtId="0" fontId="56" fillId="48" borderId="65" xfId="0" applyFont="1" applyFill="1" applyBorder="1" applyAlignment="1">
      <alignment horizontal="center" vertical="center" wrapText="1"/>
    </xf>
    <xf numFmtId="0" fontId="56" fillId="48" borderId="66" xfId="0" applyFont="1" applyFill="1" applyBorder="1" applyAlignment="1">
      <alignment horizontal="center" vertical="center" wrapText="1"/>
    </xf>
    <xf numFmtId="0" fontId="73" fillId="0" borderId="64" xfId="0" applyFont="1" applyBorder="1" applyAlignment="1">
      <alignment horizontal="left" vertical="center" wrapText="1"/>
    </xf>
    <xf numFmtId="165" fontId="73" fillId="23" borderId="66" xfId="0" applyNumberFormat="1" applyFont="1" applyFill="1" applyBorder="1" applyAlignment="1">
      <alignment horizontal="center" vertical="center"/>
    </xf>
    <xf numFmtId="1" fontId="73" fillId="23" borderId="68" xfId="0" applyNumberFormat="1" applyFont="1" applyFill="1" applyBorder="1" applyAlignment="1">
      <alignment horizontal="center" vertical="center"/>
    </xf>
    <xf numFmtId="0" fontId="74" fillId="10" borderId="71" xfId="0" applyFont="1" applyFill="1" applyBorder="1" applyAlignment="1">
      <alignment horizontal="center" vertical="center" wrapText="1"/>
    </xf>
    <xf numFmtId="0" fontId="56" fillId="44" borderId="72" xfId="0" applyFont="1" applyFill="1" applyBorder="1" applyAlignment="1">
      <alignment horizontal="center" vertical="center" wrapText="1"/>
    </xf>
    <xf numFmtId="0" fontId="56" fillId="44" borderId="58" xfId="0" applyFont="1" applyFill="1" applyBorder="1" applyAlignment="1">
      <alignment horizontal="center" vertical="center" wrapText="1"/>
    </xf>
    <xf numFmtId="0" fontId="56" fillId="44" borderId="59" xfId="0" applyFont="1" applyFill="1" applyBorder="1" applyAlignment="1">
      <alignment horizontal="center" vertical="center" wrapText="1"/>
    </xf>
    <xf numFmtId="0" fontId="73" fillId="0" borderId="73" xfId="0" applyFont="1" applyBorder="1" applyAlignment="1">
      <alignment horizontal="left" vertical="center"/>
    </xf>
    <xf numFmtId="166" fontId="73" fillId="0" borderId="60" xfId="0" applyNumberFormat="1" applyFont="1" applyBorder="1" applyAlignment="1">
      <alignment horizontal="center" vertical="center"/>
    </xf>
    <xf numFmtId="0" fontId="73" fillId="0" borderId="74" xfId="0" applyFont="1" applyBorder="1" applyAlignment="1">
      <alignment horizontal="left" vertical="center"/>
    </xf>
    <xf numFmtId="0" fontId="73" fillId="0" borderId="61" xfId="0" applyFont="1" applyBorder="1"/>
    <xf numFmtId="165" fontId="73" fillId="0" borderId="61" xfId="0" applyNumberFormat="1" applyFont="1" applyBorder="1" applyAlignment="1">
      <alignment horizontal="center" vertical="center"/>
    </xf>
    <xf numFmtId="0" fontId="73" fillId="0" borderId="62" xfId="0" applyFont="1" applyBorder="1"/>
    <xf numFmtId="0" fontId="80" fillId="0" borderId="0" xfId="0" applyFont="1" applyAlignment="1">
      <alignment wrapText="1"/>
    </xf>
    <xf numFmtId="0" fontId="80" fillId="0" borderId="0" xfId="3" applyFont="1" applyAlignment="1">
      <alignment horizontal="left" vertical="top" wrapText="1"/>
    </xf>
    <xf numFmtId="10" fontId="80" fillId="0" borderId="0" xfId="0" applyNumberFormat="1" applyFont="1" applyAlignment="1">
      <alignment horizontal="center"/>
    </xf>
    <xf numFmtId="0" fontId="80" fillId="0" borderId="0" xfId="0" applyFont="1" applyAlignment="1">
      <alignment horizontal="left" vertical="top" wrapText="1"/>
    </xf>
    <xf numFmtId="0" fontId="80" fillId="0" borderId="0" xfId="3" applyFont="1" applyAlignment="1">
      <alignment wrapText="1"/>
    </xf>
    <xf numFmtId="10" fontId="80" fillId="0" borderId="0" xfId="0" applyNumberFormat="1" applyFont="1" applyAlignment="1">
      <alignment horizontal="left" vertical="top" wrapText="1"/>
    </xf>
    <xf numFmtId="0" fontId="72" fillId="18" borderId="0" xfId="0" applyFont="1" applyFill="1" applyAlignment="1">
      <alignment horizontal="left" vertical="center" wrapText="1"/>
    </xf>
    <xf numFmtId="0" fontId="72" fillId="17" borderId="0" xfId="0" applyFont="1" applyFill="1" applyAlignment="1">
      <alignment horizontal="left" vertical="center" wrapText="1"/>
    </xf>
    <xf numFmtId="0" fontId="72" fillId="16" borderId="0" xfId="0" applyFont="1" applyFill="1" applyAlignment="1">
      <alignment horizontal="left" vertical="center" wrapText="1"/>
    </xf>
    <xf numFmtId="0" fontId="72" fillId="15" borderId="0" xfId="0" applyFont="1" applyFill="1" applyAlignment="1">
      <alignment horizontal="left" vertical="center" wrapText="1"/>
    </xf>
    <xf numFmtId="0" fontId="72" fillId="14" borderId="0" xfId="0" applyFont="1" applyFill="1" applyAlignment="1">
      <alignment horizontal="left" vertical="center" wrapText="1"/>
    </xf>
    <xf numFmtId="0" fontId="72" fillId="5" borderId="1" xfId="0" applyFont="1" applyFill="1" applyBorder="1" applyAlignment="1">
      <alignment horizontal="left" vertical="top"/>
    </xf>
    <xf numFmtId="0" fontId="72" fillId="6" borderId="1" xfId="0" applyFont="1" applyFill="1" applyBorder="1" applyAlignment="1">
      <alignment horizontal="left" vertical="top"/>
    </xf>
    <xf numFmtId="0" fontId="3" fillId="51" borderId="0" xfId="0" applyFont="1" applyFill="1" applyAlignment="1">
      <alignment horizontal="center" vertical="center" wrapText="1"/>
    </xf>
    <xf numFmtId="0" fontId="3" fillId="51" borderId="0" xfId="0" applyFont="1" applyFill="1" applyAlignment="1">
      <alignment horizontal="left" vertical="center" wrapText="1"/>
    </xf>
    <xf numFmtId="167" fontId="3" fillId="51" borderId="0" xfId="0" applyNumberFormat="1" applyFont="1" applyFill="1" applyAlignment="1">
      <alignment horizontal="center" vertical="center" wrapText="1"/>
    </xf>
    <xf numFmtId="167" fontId="3" fillId="51" borderId="0" xfId="0" applyNumberFormat="1" applyFont="1" applyFill="1" applyAlignment="1">
      <alignment horizontal="left" vertical="center" wrapText="1"/>
    </xf>
    <xf numFmtId="0" fontId="3" fillId="52" borderId="0" xfId="0" applyFont="1" applyFill="1" applyAlignment="1">
      <alignment vertical="center" wrapText="1"/>
    </xf>
    <xf numFmtId="0" fontId="3" fillId="3" borderId="77" xfId="0" applyFont="1" applyFill="1" applyBorder="1" applyAlignment="1">
      <alignment horizontal="left" vertical="center" wrapText="1"/>
    </xf>
    <xf numFmtId="0" fontId="0" fillId="2" borderId="0" xfId="0" applyFill="1" applyAlignment="1">
      <alignment vertical="top"/>
    </xf>
    <xf numFmtId="0" fontId="0" fillId="0" borderId="0" xfId="0" applyAlignment="1">
      <alignment vertical="top"/>
    </xf>
    <xf numFmtId="0" fontId="40" fillId="0" borderId="0" xfId="0"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48" fillId="0" borderId="0" xfId="0" applyFont="1" applyAlignment="1">
      <alignment horizontal="left" vertical="top" wrapText="1"/>
    </xf>
    <xf numFmtId="0" fontId="4" fillId="0" borderId="77" xfId="0" applyFont="1" applyBorder="1" applyAlignment="1">
      <alignment horizontal="left" vertical="top"/>
    </xf>
    <xf numFmtId="0" fontId="40" fillId="0" borderId="0" xfId="0" applyFont="1" applyAlignment="1">
      <alignment horizontal="left" vertical="top"/>
    </xf>
    <xf numFmtId="0" fontId="47" fillId="5" borderId="37" xfId="0" applyFont="1" applyFill="1" applyBorder="1" applyAlignment="1">
      <alignment vertical="top" wrapText="1"/>
    </xf>
    <xf numFmtId="0" fontId="48" fillId="0" borderId="0" xfId="0" applyFont="1" applyAlignment="1">
      <alignment vertical="top" wrapText="1"/>
    </xf>
    <xf numFmtId="0" fontId="63" fillId="3" borderId="78" xfId="0" applyFont="1" applyFill="1" applyBorder="1" applyAlignment="1">
      <alignment horizontal="center" vertical="top" wrapText="1"/>
    </xf>
    <xf numFmtId="0" fontId="3" fillId="3" borderId="79" xfId="0" applyFont="1" applyFill="1" applyBorder="1" applyAlignment="1">
      <alignment horizontal="center" vertical="top" wrapText="1"/>
    </xf>
    <xf numFmtId="0" fontId="3" fillId="3" borderId="79" xfId="0" applyFont="1" applyFill="1" applyBorder="1" applyAlignment="1">
      <alignment vertical="top" wrapText="1"/>
    </xf>
    <xf numFmtId="0" fontId="58" fillId="0" borderId="81" xfId="0" applyFont="1" applyBorder="1" applyAlignment="1">
      <alignment horizontal="center" vertical="top"/>
    </xf>
    <xf numFmtId="0" fontId="6" fillId="0" borderId="77" xfId="0" applyFont="1" applyBorder="1" applyAlignment="1">
      <alignment vertical="top"/>
    </xf>
    <xf numFmtId="0" fontId="6" fillId="0" borderId="77" xfId="0" applyFont="1" applyBorder="1" applyAlignment="1">
      <alignment vertical="top" wrapText="1"/>
    </xf>
    <xf numFmtId="0" fontId="6" fillId="0" borderId="82" xfId="0" applyFont="1" applyBorder="1" applyAlignment="1">
      <alignment vertical="top" wrapText="1"/>
    </xf>
    <xf numFmtId="0" fontId="40" fillId="0" borderId="81" xfId="0" applyFont="1" applyBorder="1" applyAlignment="1">
      <alignment horizontal="center" vertical="top"/>
    </xf>
    <xf numFmtId="0" fontId="58" fillId="0" borderId="83" xfId="0" applyFont="1" applyBorder="1" applyAlignment="1">
      <alignment horizontal="center" vertical="top"/>
    </xf>
    <xf numFmtId="0" fontId="4" fillId="0" borderId="84" xfId="0" applyFont="1" applyBorder="1" applyAlignment="1">
      <alignment horizontal="left" vertical="top"/>
    </xf>
    <xf numFmtId="0" fontId="6" fillId="0" borderId="84" xfId="0" applyFont="1" applyBorder="1" applyAlignment="1">
      <alignment vertical="top"/>
    </xf>
    <xf numFmtId="0" fontId="6" fillId="0" borderId="84" xfId="0" applyFont="1" applyBorder="1" applyAlignment="1">
      <alignment vertical="top" wrapText="1"/>
    </xf>
    <xf numFmtId="0" fontId="6" fillId="0" borderId="85" xfId="0" applyFont="1" applyBorder="1" applyAlignment="1">
      <alignment vertical="top" wrapText="1"/>
    </xf>
    <xf numFmtId="0" fontId="59" fillId="0" borderId="0" xfId="3" applyFont="1" applyAlignment="1">
      <alignment horizontal="center" vertical="top"/>
    </xf>
    <xf numFmtId="0" fontId="59" fillId="0" borderId="0" xfId="3" applyFont="1" applyAlignment="1">
      <alignment vertical="top"/>
    </xf>
    <xf numFmtId="0" fontId="84" fillId="0" borderId="77" xfId="0" applyFont="1" applyBorder="1" applyAlignment="1">
      <alignment horizontal="center" vertical="top" wrapText="1"/>
    </xf>
    <xf numFmtId="0" fontId="3" fillId="3" borderId="77" xfId="0" applyFont="1" applyFill="1" applyBorder="1" applyAlignment="1">
      <alignment horizontal="center" vertical="center" wrapText="1"/>
    </xf>
    <xf numFmtId="0" fontId="82" fillId="54" borderId="76" xfId="3" applyFont="1" applyFill="1" applyBorder="1" applyAlignment="1">
      <alignment horizontal="left" vertical="top" wrapText="1"/>
    </xf>
    <xf numFmtId="0" fontId="83" fillId="54" borderId="76" xfId="3" applyFont="1" applyFill="1" applyBorder="1" applyAlignment="1">
      <alignment horizontal="left" vertical="top" wrapText="1"/>
    </xf>
    <xf numFmtId="0" fontId="82" fillId="54" borderId="75" xfId="3" applyFont="1" applyFill="1" applyBorder="1" applyAlignment="1">
      <alignment horizontal="left" vertical="top" wrapText="1"/>
    </xf>
    <xf numFmtId="0" fontId="3" fillId="3" borderId="77" xfId="0" applyFont="1" applyFill="1" applyBorder="1" applyAlignment="1">
      <alignment vertical="center" wrapText="1"/>
    </xf>
    <xf numFmtId="0" fontId="48" fillId="0" borderId="0" xfId="0" applyFont="1" applyAlignment="1">
      <alignment vertical="center" wrapText="1"/>
    </xf>
    <xf numFmtId="0" fontId="6" fillId="55" borderId="77" xfId="0" applyFont="1" applyFill="1" applyBorder="1" applyAlignment="1">
      <alignment vertical="top"/>
    </xf>
    <xf numFmtId="165" fontId="0" fillId="0" borderId="0" xfId="0" applyNumberFormat="1"/>
    <xf numFmtId="165" fontId="0" fillId="0" borderId="0" xfId="4" applyNumberFormat="1" applyFont="1" applyAlignment="1">
      <alignment horizontal="center"/>
    </xf>
    <xf numFmtId="0" fontId="7" fillId="0" borderId="0" xfId="0" applyFont="1" applyAlignment="1">
      <alignment horizontal="center" vertical="center"/>
    </xf>
    <xf numFmtId="0" fontId="2" fillId="4" borderId="52" xfId="0" applyFont="1" applyFill="1" applyBorder="1" applyAlignment="1">
      <alignment horizontal="left" vertical="center"/>
    </xf>
    <xf numFmtId="0" fontId="2" fillId="4" borderId="0" xfId="0" applyFont="1" applyFill="1" applyAlignment="1">
      <alignment horizontal="left" vertical="center"/>
    </xf>
    <xf numFmtId="0" fontId="2" fillId="4" borderId="53" xfId="0" applyFont="1" applyFill="1" applyBorder="1" applyAlignment="1">
      <alignment horizontal="left" vertical="center"/>
    </xf>
    <xf numFmtId="0" fontId="10" fillId="3" borderId="49" xfId="0" applyFont="1" applyFill="1" applyBorder="1" applyAlignment="1">
      <alignment horizontal="left" vertical="center"/>
    </xf>
    <xf numFmtId="0" fontId="10" fillId="3" borderId="50" xfId="0" applyFont="1" applyFill="1" applyBorder="1" applyAlignment="1">
      <alignment horizontal="left" vertical="center"/>
    </xf>
    <xf numFmtId="0" fontId="10" fillId="3" borderId="51" xfId="0" applyFont="1" applyFill="1" applyBorder="1" applyAlignment="1">
      <alignment horizontal="left" vertical="center"/>
    </xf>
    <xf numFmtId="0" fontId="11" fillId="0" borderId="52" xfId="0" applyFont="1" applyBorder="1" applyAlignment="1">
      <alignment horizontal="left" vertical="center"/>
    </xf>
    <xf numFmtId="0" fontId="11" fillId="0" borderId="0" xfId="0" applyFont="1" applyAlignment="1">
      <alignment horizontal="left" vertical="center"/>
    </xf>
    <xf numFmtId="0" fontId="11" fillId="0" borderId="53" xfId="0" applyFont="1" applyBorder="1" applyAlignment="1">
      <alignment horizontal="left" vertical="center"/>
    </xf>
    <xf numFmtId="0" fontId="2" fillId="49" borderId="52" xfId="0" applyFont="1" applyFill="1" applyBorder="1" applyAlignment="1">
      <alignment horizontal="left" vertical="center"/>
    </xf>
    <xf numFmtId="0" fontId="2" fillId="49" borderId="0" xfId="0" applyFont="1" applyFill="1" applyAlignment="1">
      <alignment horizontal="left" vertical="center"/>
    </xf>
    <xf numFmtId="0" fontId="2" fillId="49" borderId="53" xfId="0" applyFont="1" applyFill="1" applyBorder="1" applyAlignment="1">
      <alignment horizontal="left" vertical="center"/>
    </xf>
    <xf numFmtId="0" fontId="5" fillId="7" borderId="52" xfId="0" applyFont="1" applyFill="1" applyBorder="1" applyAlignment="1">
      <alignment horizontal="left" vertical="top" wrapText="1"/>
    </xf>
    <xf numFmtId="0" fontId="5" fillId="7" borderId="0" xfId="0" applyFont="1" applyFill="1" applyAlignment="1">
      <alignment horizontal="left" vertical="top" wrapText="1"/>
    </xf>
    <xf numFmtId="0" fontId="5" fillId="7" borderId="53" xfId="0" applyFont="1" applyFill="1" applyBorder="1" applyAlignment="1">
      <alignment horizontal="left" vertical="top" wrapText="1"/>
    </xf>
    <xf numFmtId="0" fontId="16" fillId="7" borderId="0" xfId="0" applyFont="1" applyFill="1" applyAlignment="1">
      <alignment horizontal="center" vertical="center" wrapText="1"/>
    </xf>
    <xf numFmtId="0" fontId="6" fillId="0" borderId="6" xfId="0" applyFont="1" applyBorder="1" applyAlignment="1">
      <alignment horizontal="left" vertical="center"/>
    </xf>
    <xf numFmtId="0" fontId="2" fillId="19" borderId="5" xfId="0" applyFont="1" applyFill="1" applyBorder="1" applyAlignment="1">
      <alignment horizontal="left" vertical="center"/>
    </xf>
    <xf numFmtId="0" fontId="10" fillId="3" borderId="9" xfId="0" applyFont="1" applyFill="1" applyBorder="1" applyAlignment="1">
      <alignment horizontal="center" vertical="center" wrapText="1"/>
    </xf>
    <xf numFmtId="0" fontId="10" fillId="3" borderId="0" xfId="0" applyFont="1" applyFill="1" applyAlignment="1">
      <alignment horizontal="center" vertical="center" wrapText="1"/>
    </xf>
    <xf numFmtId="0" fontId="49" fillId="13" borderId="0" xfId="0" applyFont="1" applyFill="1" applyAlignment="1">
      <alignment horizontal="center" vertical="center" wrapText="1"/>
    </xf>
    <xf numFmtId="0" fontId="48" fillId="5" borderId="0" xfId="0" applyFont="1" applyFill="1" applyAlignment="1">
      <alignment horizontal="left" vertical="center" wrapText="1"/>
    </xf>
    <xf numFmtId="0" fontId="47" fillId="5" borderId="0" xfId="0" applyFont="1" applyFill="1" applyAlignment="1">
      <alignment horizontal="left" vertical="center" wrapText="1"/>
    </xf>
    <xf numFmtId="0" fontId="1" fillId="3" borderId="0" xfId="0" applyFont="1" applyFill="1" applyAlignment="1">
      <alignment horizontal="left" vertical="center"/>
    </xf>
    <xf numFmtId="0" fontId="19" fillId="5" borderId="0" xfId="0" applyFont="1" applyFill="1" applyAlignment="1">
      <alignment horizontal="left" vertical="center" wrapText="1"/>
    </xf>
    <xf numFmtId="0" fontId="56" fillId="39" borderId="0" xfId="0" applyFont="1" applyFill="1" applyAlignment="1">
      <alignment horizontal="left" wrapText="1"/>
    </xf>
    <xf numFmtId="0" fontId="56" fillId="39" borderId="0" xfId="0" applyFont="1" applyFill="1" applyAlignment="1">
      <alignment horizontal="left"/>
    </xf>
    <xf numFmtId="0" fontId="66" fillId="0" borderId="63" xfId="0" applyFont="1" applyBorder="1" applyAlignment="1">
      <alignment horizontal="left" vertical="top" wrapText="1"/>
    </xf>
    <xf numFmtId="0" fontId="66" fillId="0" borderId="87" xfId="0" applyFont="1" applyBorder="1" applyAlignment="1">
      <alignment horizontal="center" vertical="top" wrapText="1"/>
    </xf>
    <xf numFmtId="0" fontId="66" fillId="0" borderId="88" xfId="0" applyFont="1" applyBorder="1" applyAlignment="1">
      <alignment horizontal="center" vertical="top" wrapText="1"/>
    </xf>
    <xf numFmtId="0" fontId="68" fillId="50" borderId="63" xfId="0" applyFont="1" applyFill="1" applyBorder="1" applyAlignment="1">
      <alignment horizontal="left" vertical="top" wrapText="1"/>
    </xf>
    <xf numFmtId="0" fontId="66" fillId="0" borderId="63" xfId="0" applyFont="1" applyBorder="1" applyAlignment="1">
      <alignment horizontal="center" vertical="top" wrapText="1"/>
    </xf>
    <xf numFmtId="0" fontId="48" fillId="5" borderId="0" xfId="0" applyFont="1" applyFill="1" applyAlignment="1">
      <alignment horizontal="center" vertical="center" wrapText="1"/>
    </xf>
    <xf numFmtId="0" fontId="81" fillId="11" borderId="0" xfId="0" applyFont="1" applyFill="1" applyAlignment="1">
      <alignment horizontal="center" vertical="center" wrapText="1"/>
    </xf>
    <xf numFmtId="0" fontId="72" fillId="29" borderId="39" xfId="0" applyFont="1" applyFill="1" applyBorder="1" applyAlignment="1">
      <alignment horizontal="center" vertical="center" wrapText="1"/>
    </xf>
    <xf numFmtId="0" fontId="2" fillId="3" borderId="40" xfId="0" applyFont="1" applyFill="1" applyBorder="1" applyAlignment="1">
      <alignment horizontal="center" vertical="center"/>
    </xf>
    <xf numFmtId="0" fontId="2" fillId="3" borderId="48" xfId="0" applyFont="1" applyFill="1" applyBorder="1" applyAlignment="1">
      <alignment horizontal="center" vertical="center"/>
    </xf>
    <xf numFmtId="0" fontId="2" fillId="3" borderId="42" xfId="0" applyFont="1" applyFill="1" applyBorder="1" applyAlignment="1">
      <alignment horizontal="center" vertical="center"/>
    </xf>
    <xf numFmtId="0" fontId="2" fillId="3" borderId="44" xfId="0" applyFont="1" applyFill="1" applyBorder="1" applyAlignment="1">
      <alignment horizontal="center" vertical="center"/>
    </xf>
    <xf numFmtId="0" fontId="2" fillId="3" borderId="43" xfId="0" applyFont="1" applyFill="1" applyBorder="1" applyAlignment="1">
      <alignment horizontal="center" vertical="center"/>
    </xf>
    <xf numFmtId="0" fontId="2" fillId="3" borderId="41" xfId="0" applyFont="1" applyFill="1" applyBorder="1" applyAlignment="1">
      <alignment horizontal="center" vertical="center"/>
    </xf>
    <xf numFmtId="0" fontId="2" fillId="3" borderId="47" xfId="0" applyFont="1" applyFill="1" applyBorder="1" applyAlignment="1">
      <alignment horizontal="center" vertical="center"/>
    </xf>
    <xf numFmtId="0" fontId="23" fillId="29" borderId="39" xfId="2" applyFill="1" applyBorder="1" applyAlignment="1">
      <alignment horizontal="center" vertical="center" wrapText="1"/>
    </xf>
    <xf numFmtId="0" fontId="24" fillId="29" borderId="39" xfId="0" applyFont="1" applyFill="1" applyBorder="1" applyAlignment="1">
      <alignment horizontal="center" vertical="center" wrapText="1"/>
    </xf>
    <xf numFmtId="0" fontId="26" fillId="43" borderId="0" xfId="0" applyFont="1" applyFill="1" applyAlignment="1">
      <alignment horizontal="center" vertical="center"/>
    </xf>
    <xf numFmtId="0" fontId="43" fillId="34" borderId="22" xfId="3" applyFont="1" applyFill="1" applyBorder="1" applyAlignment="1">
      <alignment horizontal="left" vertical="top" wrapText="1"/>
    </xf>
    <xf numFmtId="0" fontId="32" fillId="36" borderId="0" xfId="3" applyFont="1" applyFill="1" applyAlignment="1">
      <alignment horizontal="center" vertical="center" wrapText="1"/>
    </xf>
    <xf numFmtId="0" fontId="39" fillId="0" borderId="0" xfId="3" applyFont="1" applyAlignment="1">
      <alignment horizontal="center" vertical="center" wrapText="1"/>
    </xf>
    <xf numFmtId="0" fontId="32" fillId="0" borderId="0" xfId="0" applyFont="1" applyAlignment="1">
      <alignment horizontal="center" vertical="center" wrapText="1"/>
    </xf>
    <xf numFmtId="0" fontId="41" fillId="32" borderId="21" xfId="3" applyFont="1" applyFill="1" applyBorder="1" applyAlignment="1">
      <alignment horizontal="left" vertical="top" wrapText="1"/>
    </xf>
    <xf numFmtId="0" fontId="69" fillId="5" borderId="0" xfId="0" applyFont="1" applyFill="1" applyAlignment="1">
      <alignment horizontal="left" vertical="center" wrapText="1"/>
    </xf>
    <xf numFmtId="0" fontId="70" fillId="5" borderId="0" xfId="0" applyFont="1" applyFill="1" applyAlignment="1">
      <alignment horizontal="left" vertical="center" wrapText="1"/>
    </xf>
    <xf numFmtId="0" fontId="71" fillId="5" borderId="0" xfId="0" applyFont="1" applyFill="1" applyAlignment="1">
      <alignment horizontal="left" vertical="center" wrapText="1"/>
    </xf>
    <xf numFmtId="0" fontId="41" fillId="21" borderId="0" xfId="0" applyFont="1" applyFill="1" applyAlignment="1">
      <alignment horizontal="left" vertical="top" wrapText="1"/>
    </xf>
    <xf numFmtId="0" fontId="43" fillId="33" borderId="0" xfId="3" applyFont="1" applyFill="1" applyAlignment="1">
      <alignment horizontal="left" vertical="top" wrapText="1"/>
    </xf>
    <xf numFmtId="0" fontId="41" fillId="32" borderId="0" xfId="3" applyFont="1" applyFill="1" applyAlignment="1">
      <alignment horizontal="left" vertical="top" wrapText="1"/>
    </xf>
    <xf numFmtId="0" fontId="43" fillId="35" borderId="0" xfId="3" applyFont="1" applyFill="1" applyAlignment="1">
      <alignment horizontal="left" vertical="top" wrapText="1"/>
    </xf>
    <xf numFmtId="0" fontId="2" fillId="3" borderId="0" xfId="0" applyFont="1" applyFill="1" applyAlignment="1">
      <alignment horizontal="left" vertical="center"/>
    </xf>
    <xf numFmtId="0" fontId="73" fillId="12" borderId="0" xfId="0" applyFont="1" applyFill="1" applyAlignment="1">
      <alignment horizontal="center" vertical="center" wrapText="1"/>
    </xf>
    <xf numFmtId="0" fontId="5" fillId="9" borderId="3" xfId="0" applyFont="1" applyFill="1" applyBorder="1" applyAlignment="1">
      <alignment horizontal="left" vertical="center"/>
    </xf>
    <xf numFmtId="0" fontId="5" fillId="9" borderId="10" xfId="0" applyFont="1" applyFill="1" applyBorder="1" applyAlignment="1">
      <alignment horizontal="left" vertical="center"/>
    </xf>
    <xf numFmtId="0" fontId="2" fillId="4" borderId="11" xfId="0" applyFont="1" applyFill="1" applyBorder="1" applyAlignment="1">
      <alignment horizontal="left" vertical="center"/>
    </xf>
    <xf numFmtId="0" fontId="2" fillId="4" borderId="4" xfId="0" applyFont="1" applyFill="1" applyBorder="1" applyAlignment="1">
      <alignment horizontal="left" vertical="center"/>
    </xf>
    <xf numFmtId="0" fontId="2" fillId="4" borderId="12" xfId="0" applyFont="1" applyFill="1" applyBorder="1" applyAlignment="1">
      <alignment horizontal="left" vertical="center"/>
    </xf>
    <xf numFmtId="0" fontId="10" fillId="3" borderId="16" xfId="0" applyFont="1" applyFill="1" applyBorder="1" applyAlignment="1">
      <alignment horizontal="left" vertical="center" wrapText="1"/>
    </xf>
    <xf numFmtId="0" fontId="10" fillId="3" borderId="17" xfId="0" applyFont="1" applyFill="1" applyBorder="1" applyAlignment="1">
      <alignment horizontal="left" vertical="center" wrapText="1"/>
    </xf>
    <xf numFmtId="0" fontId="10" fillId="3" borderId="18" xfId="0" applyFont="1" applyFill="1" applyBorder="1" applyAlignment="1">
      <alignment horizontal="left" vertical="center" wrapText="1"/>
    </xf>
    <xf numFmtId="0" fontId="11" fillId="0" borderId="19" xfId="0" applyFont="1" applyBorder="1" applyAlignment="1">
      <alignment horizontal="left" vertical="center" wrapText="1"/>
    </xf>
    <xf numFmtId="0" fontId="11" fillId="0" borderId="8" xfId="0" applyFont="1" applyBorder="1" applyAlignment="1">
      <alignment horizontal="left" vertical="center" wrapText="1"/>
    </xf>
    <xf numFmtId="0" fontId="11" fillId="0" borderId="20" xfId="0" applyFont="1" applyBorder="1" applyAlignment="1">
      <alignment horizontal="left" vertical="center" wrapText="1"/>
    </xf>
    <xf numFmtId="0" fontId="5" fillId="10" borderId="0" xfId="0" applyFont="1" applyFill="1" applyAlignment="1">
      <alignment horizontal="left" vertical="center"/>
    </xf>
    <xf numFmtId="0" fontId="5" fillId="10" borderId="10" xfId="0" applyFont="1" applyFill="1" applyBorder="1" applyAlignment="1">
      <alignment horizontal="left" vertical="center"/>
    </xf>
    <xf numFmtId="0" fontId="17" fillId="3" borderId="0" xfId="0" applyFont="1" applyFill="1" applyAlignment="1">
      <alignment horizontal="left" vertical="top"/>
    </xf>
    <xf numFmtId="0" fontId="6" fillId="0" borderId="85" xfId="0" applyFont="1" applyBorder="1" applyAlignment="1">
      <alignment horizontal="left" vertical="top" wrapText="1"/>
    </xf>
    <xf numFmtId="0" fontId="6" fillId="0" borderId="83" xfId="0" applyFont="1" applyBorder="1" applyAlignment="1">
      <alignment horizontal="left" vertical="top" wrapText="1"/>
    </xf>
    <xf numFmtId="0" fontId="6" fillId="0" borderId="80" xfId="0" applyFont="1" applyBorder="1" applyAlignment="1">
      <alignment horizontal="left" vertical="top" wrapText="1"/>
    </xf>
    <xf numFmtId="0" fontId="6" fillId="0" borderId="78" xfId="0" applyFont="1" applyBorder="1" applyAlignment="1">
      <alignment horizontal="left" vertical="top" wrapText="1"/>
    </xf>
    <xf numFmtId="0" fontId="48" fillId="53" borderId="86" xfId="0" applyFont="1" applyFill="1" applyBorder="1" applyAlignment="1">
      <alignment horizontal="center" vertical="center" wrapText="1"/>
    </xf>
    <xf numFmtId="0" fontId="48" fillId="5" borderId="0" xfId="0" applyFont="1" applyFill="1" applyAlignment="1">
      <alignment horizontal="left" vertical="top" wrapText="1"/>
    </xf>
    <xf numFmtId="0" fontId="48" fillId="5" borderId="0" xfId="0" applyFont="1" applyFill="1" applyAlignment="1">
      <alignment horizontal="left" vertical="top"/>
    </xf>
    <xf numFmtId="0" fontId="6" fillId="0" borderId="82" xfId="0" applyFont="1" applyBorder="1" applyAlignment="1">
      <alignment horizontal="left" vertical="top" wrapText="1"/>
    </xf>
    <xf numFmtId="0" fontId="6" fillId="0" borderId="81" xfId="0" applyFont="1" applyBorder="1" applyAlignment="1">
      <alignment horizontal="left" vertical="top" wrapText="1"/>
    </xf>
    <xf numFmtId="0" fontId="3" fillId="3" borderId="77" xfId="0" applyFont="1" applyFill="1" applyBorder="1" applyAlignment="1">
      <alignment horizontal="left" vertical="center" wrapText="1"/>
    </xf>
    <xf numFmtId="0" fontId="64" fillId="0" borderId="0" xfId="0" applyFont="1" applyFill="1" applyAlignment="1">
      <alignment horizontal="center"/>
    </xf>
    <xf numFmtId="0" fontId="64" fillId="0" borderId="0" xfId="0" applyFont="1" applyFill="1" applyAlignment="1">
      <alignment horizontal="left"/>
    </xf>
    <xf numFmtId="165" fontId="64" fillId="0" borderId="0" xfId="0" applyNumberFormat="1" applyFont="1" applyAlignment="1">
      <alignment horizontal="left"/>
    </xf>
    <xf numFmtId="172" fontId="64" fillId="0" borderId="0" xfId="0" applyNumberFormat="1" applyFont="1" applyAlignment="1">
      <alignment horizontal="left"/>
    </xf>
    <xf numFmtId="172" fontId="0" fillId="0" borderId="0" xfId="0" applyNumberFormat="1"/>
    <xf numFmtId="172" fontId="0" fillId="0" borderId="0" xfId="0" applyNumberFormat="1" applyAlignment="1">
      <alignment horizontal="center"/>
    </xf>
    <xf numFmtId="0" fontId="36" fillId="53" borderId="0" xfId="3" applyFont="1" applyFill="1" applyAlignment="1">
      <alignment horizontal="center" vertical="center" wrapText="1"/>
    </xf>
  </cellXfs>
  <cellStyles count="5">
    <cellStyle name="Check Cell" xfId="1" builtinId="23"/>
    <cellStyle name="Hyperlink" xfId="2" builtinId="8"/>
    <cellStyle name="Normal" xfId="0" builtinId="0"/>
    <cellStyle name="Normal 2" xfId="3" xr:uid="{1B831CB3-DA30-544C-B7B7-2CD820F4941B}"/>
    <cellStyle name="Percent" xfId="4" builtinId="5"/>
  </cellStyles>
  <dxfs count="25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numFmt numFmtId="165" formatCode="0.0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72" formatCode="0.00000"/>
    </dxf>
    <dxf>
      <numFmt numFmtId="172" formatCode="0.00000"/>
    </dxf>
    <dxf>
      <numFmt numFmtId="172" formatCode="0.00000"/>
    </dxf>
    <dxf>
      <numFmt numFmtId="172" formatCode="0.00000"/>
    </dxf>
    <dxf>
      <numFmt numFmtId="172" formatCode="0.00000"/>
    </dxf>
    <dxf>
      <numFmt numFmtId="172" formatCode="0.00000"/>
    </dxf>
    <dxf>
      <numFmt numFmtId="165" formatCode="0.0000"/>
    </dxf>
    <dxf>
      <numFmt numFmtId="165" formatCode="0.0000"/>
    </dxf>
    <dxf>
      <numFmt numFmtId="165" formatCode="0.0000"/>
    </dxf>
    <dxf>
      <numFmt numFmtId="165" formatCode="0.0000"/>
    </dxf>
    <dxf>
      <numFmt numFmtId="165" formatCode="0.0000"/>
    </dxf>
    <dxf>
      <numFmt numFmtId="165" formatCode="0.0000"/>
    </dxf>
    <dxf>
      <numFmt numFmtId="165" formatCode="0.0000"/>
    </dxf>
    <dxf>
      <numFmt numFmtId="165" formatCode="0.0000"/>
    </dxf>
    <dxf>
      <numFmt numFmtId="165" formatCode="0.0000"/>
    </dxf>
    <dxf>
      <numFmt numFmtId="165" formatCode="0.0000"/>
    </dxf>
    <dxf>
      <numFmt numFmtId="165" formatCode="0.0000"/>
    </dxf>
    <dxf>
      <numFmt numFmtId="165" formatCode="0.0000"/>
    </dxf>
    <dxf>
      <numFmt numFmtId="172" formatCode="0.00000"/>
    </dxf>
    <dxf>
      <numFmt numFmtId="172" formatCode="0.00000"/>
    </dxf>
    <dxf>
      <numFmt numFmtId="172" formatCode="0.00000"/>
    </dxf>
    <dxf>
      <numFmt numFmtId="172" formatCode="0.00000"/>
    </dxf>
    <dxf>
      <numFmt numFmtId="172" formatCode="0.00000"/>
    </dxf>
    <dxf>
      <numFmt numFmtId="172" formatCode="0.00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0"/>
        <i val="0"/>
      </font>
      <fill>
        <patternFill>
          <fgColor auto="1"/>
          <bgColor theme="0" tint="-0.149937437055574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theme="0" tint="-0.499984740745262"/>
      </font>
      <fill>
        <patternFill>
          <bgColor theme="0" tint="-0.24994659260841701"/>
        </patternFill>
      </fill>
    </dxf>
    <dxf>
      <fill>
        <patternFill>
          <bgColor rgb="FFB9CDE5"/>
        </patternFill>
      </fill>
    </dxf>
    <dxf>
      <fill>
        <patternFill>
          <bgColor rgb="FFB9CDE5"/>
        </patternFill>
      </fill>
    </dxf>
    <dxf>
      <fill>
        <patternFill>
          <bgColor rgb="FFB9CDE5"/>
        </patternFill>
      </fill>
    </dxf>
    <dxf>
      <fill>
        <patternFill>
          <bgColor rgb="FFB9CDE5"/>
        </patternFill>
      </fill>
    </dxf>
    <dxf>
      <fill>
        <patternFill>
          <bgColor rgb="FFB9CDE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color rgb="FF0C447C"/>
      </font>
      <fill>
        <patternFill>
          <bgColor rgb="FFDFF0FF"/>
        </patternFill>
      </fill>
    </dxf>
    <dxf>
      <font>
        <b/>
        <color rgb="FF2F7D3A"/>
      </font>
      <fill>
        <patternFill>
          <bgColor rgb="FFE8F6E8"/>
        </patternFill>
      </fill>
    </dxf>
    <dxf>
      <font>
        <b/>
        <color rgb="FF5F5E59"/>
      </font>
      <fill>
        <patternFill>
          <bgColor rgb="FFFFFBE1"/>
        </patternFill>
      </fill>
    </dxf>
    <dxf>
      <font>
        <b/>
        <color rgb="FF844F0B"/>
      </font>
      <fill>
        <patternFill>
          <bgColor rgb="FFFFF1E1"/>
        </patternFill>
      </fill>
    </dxf>
    <dxf>
      <font>
        <b/>
        <color rgb="FF8B0000"/>
      </font>
      <fill>
        <patternFill>
          <bgColor rgb="FFFFE9E8"/>
        </patternFill>
      </fill>
    </dxf>
    <dxf>
      <font>
        <i/>
        <strike val="0"/>
        <color rgb="FF808080"/>
      </font>
      <fill>
        <patternFill>
          <bgColor rgb="FFFFFDE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i/>
        <strike val="0"/>
        <color rgb="FF808080"/>
      </font>
      <fill>
        <patternFill>
          <bgColor rgb="FFFFFDE7"/>
        </patternFill>
      </fill>
    </dxf>
    <dxf>
      <font>
        <i/>
        <strike val="0"/>
        <color rgb="FF808080"/>
      </font>
      <fill>
        <patternFill>
          <bgColor rgb="FFFFFDE7"/>
        </patternFill>
      </fill>
    </dxf>
    <dxf>
      <font>
        <i/>
        <strike val="0"/>
        <color rgb="FF808080"/>
      </font>
      <fill>
        <patternFill>
          <bgColor rgb="FFFFFDE7"/>
        </patternFill>
      </fill>
    </dxf>
    <dxf>
      <font>
        <i/>
        <strike val="0"/>
        <color rgb="FF808080"/>
      </font>
      <fill>
        <patternFill>
          <bgColor rgb="FFFFFDE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i/>
        <strike val="0"/>
        <color rgb="FF808080"/>
      </font>
      <fill>
        <patternFill>
          <bgColor rgb="FFFFFDE7"/>
        </patternFill>
      </fill>
    </dxf>
    <dxf>
      <font>
        <i/>
        <strike val="0"/>
        <color rgb="FF808080"/>
      </font>
      <fill>
        <patternFill>
          <bgColor rgb="FFFFFDE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i/>
        <strike val="0"/>
        <color rgb="FF808080"/>
      </font>
      <fill>
        <patternFill>
          <bgColor rgb="FFFFFDE7"/>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i/>
        <strike val="0"/>
        <color rgb="FF808080"/>
      </font>
      <fill>
        <patternFill>
          <bgColor rgb="FFFFFDE7"/>
        </patternFill>
      </fill>
    </dxf>
    <dxf>
      <font>
        <i/>
        <strike val="0"/>
        <color rgb="FF808080"/>
      </font>
      <fill>
        <patternFill>
          <bgColor rgb="FFFFFDE7"/>
        </patternFill>
      </fill>
    </dxf>
    <dxf>
      <font>
        <i/>
        <strike val="0"/>
        <color rgb="FF808080"/>
      </font>
      <fill>
        <patternFill>
          <bgColor rgb="FFFFFDE7"/>
        </patternFill>
      </fill>
    </dxf>
    <dxf>
      <font>
        <i/>
        <strike val="0"/>
        <color rgb="FF808080"/>
      </font>
      <fill>
        <patternFill>
          <bgColor rgb="FFFFFDE7"/>
        </patternFill>
      </fill>
    </dxf>
    <dxf>
      <font>
        <i/>
        <strike val="0"/>
        <color rgb="FF808080"/>
      </font>
      <fill>
        <patternFill>
          <bgColor rgb="FFFFFDE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val="0"/>
        <i/>
        <strike val="0"/>
        <condense val="0"/>
        <extend val="0"/>
        <outline val="0"/>
        <shadow val="0"/>
        <u val="none"/>
        <vertAlign val="baseline"/>
        <sz val="9"/>
        <color rgb="FF555555"/>
        <name val="Arial"/>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theme="1"/>
        </left>
        <right/>
        <top style="thin">
          <color theme="1"/>
        </top>
        <bottom style="thin">
          <color theme="1"/>
        </bottom>
      </border>
    </dxf>
    <dxf>
      <font>
        <b val="0"/>
        <i/>
        <strike val="0"/>
        <condense val="0"/>
        <extend val="0"/>
        <outline val="0"/>
        <shadow val="0"/>
        <u val="none"/>
        <vertAlign val="baseline"/>
        <sz val="9"/>
        <color rgb="FF555555"/>
        <name val="Arial"/>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strike val="0"/>
        <condense val="0"/>
        <extend val="0"/>
        <outline val="0"/>
        <shadow val="0"/>
        <u val="none"/>
        <vertAlign val="baseline"/>
        <sz val="9"/>
        <color rgb="FF555555"/>
        <name val="Arial"/>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strike val="0"/>
        <condense val="0"/>
        <extend val="0"/>
        <outline val="0"/>
        <shadow val="0"/>
        <u val="none"/>
        <vertAlign val="baseline"/>
        <sz val="9"/>
        <color rgb="FF555555"/>
        <name val="Arial"/>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strike val="0"/>
        <condense val="0"/>
        <extend val="0"/>
        <outline val="0"/>
        <shadow val="0"/>
        <u val="none"/>
        <vertAlign val="baseline"/>
        <sz val="9"/>
        <color rgb="FF555555"/>
        <name val="Arial"/>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strike val="0"/>
        <condense val="0"/>
        <extend val="0"/>
        <outline val="0"/>
        <shadow val="0"/>
        <u val="none"/>
        <vertAlign val="baseline"/>
        <sz val="9"/>
        <color rgb="FF555555"/>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theme="1"/>
        </right>
        <top style="thin">
          <color theme="1"/>
        </top>
        <bottom style="thin">
          <color theme="1"/>
        </bottom>
      </border>
    </dxf>
    <dxf>
      <font>
        <b/>
        <i val="0"/>
        <strike val="0"/>
        <condense val="0"/>
        <extend val="0"/>
        <outline val="0"/>
        <shadow val="0"/>
        <u val="none"/>
        <vertAlign val="baseline"/>
        <sz val="9"/>
        <color rgb="FF1B4F5F"/>
        <name val="Arial"/>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center" vertical="top" textRotation="0" wrapText="0" indent="0" justifyLastLine="0" shrinkToFit="0" readingOrder="0"/>
      <border diagonalUp="0" diagonalDown="0" outline="0">
        <left/>
        <right/>
        <top style="thin">
          <color theme="1"/>
        </top>
        <bottom style="thin">
          <color theme="1"/>
        </bottom>
      </border>
    </dxf>
    <dxf>
      <border>
        <top style="thin">
          <color theme="1"/>
        </top>
      </border>
    </dxf>
    <dxf>
      <border diagonalUp="0" diagonalDown="0">
        <left style="thin">
          <color theme="1"/>
        </left>
        <right style="thin">
          <color theme="1"/>
        </right>
        <top style="thin">
          <color theme="1"/>
        </top>
        <bottom style="thin">
          <color theme="1"/>
        </bottom>
      </border>
    </dxf>
    <dxf>
      <fill>
        <patternFill patternType="none">
          <fgColor indexed="64"/>
          <bgColor auto="1"/>
        </patternFill>
      </fill>
      <alignment vertical="top" textRotation="0" indent="0" justifyLastLine="0" shrinkToFit="0" readingOrder="0"/>
    </dxf>
    <dxf>
      <border>
        <bottom style="thin">
          <color theme="1"/>
        </bottom>
      </border>
    </dxf>
    <dxf>
      <font>
        <b/>
        <i val="0"/>
        <strike val="0"/>
        <condense val="0"/>
        <extend val="0"/>
        <outline val="0"/>
        <shadow val="0"/>
        <u val="none"/>
        <vertAlign val="baseline"/>
        <sz val="9"/>
        <color rgb="FFFFFFFF"/>
        <name val="Arial"/>
        <family val="2"/>
        <scheme val="none"/>
      </font>
      <fill>
        <patternFill patternType="solid">
          <fgColor rgb="FF0C447C"/>
          <bgColor rgb="FF1B4F5F"/>
        </patternFill>
      </fill>
      <alignment horizontal="center"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4"/>
        <color rgb="FF002060"/>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4"/>
        <color rgb="FF002060"/>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4"/>
        <color rgb="FF00206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4"/>
        <color rgb="FF002060"/>
        <name val="Arial"/>
        <family val="2"/>
        <scheme val="none"/>
      </font>
      <alignment horizontal="general" vertical="bottom" textRotation="0" wrapText="1" indent="0" justifyLastLine="0" shrinkToFit="0" readingOrder="0"/>
    </dxf>
    <dxf>
      <font>
        <strike val="0"/>
        <outline val="0"/>
        <shadow val="0"/>
        <u val="none"/>
        <vertAlign val="baseline"/>
        <sz val="14"/>
        <color rgb="FF002060"/>
        <name val="Arial"/>
        <family val="2"/>
        <scheme val="none"/>
      </font>
    </dxf>
    <dxf>
      <numFmt numFmtId="165" formatCode="0.0000"/>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vertical="center"/>
    </dxf>
    <dxf>
      <alignment horizontal="left"/>
    </dxf>
    <dxf>
      <alignment horizontal="center"/>
    </dxf>
    <dxf>
      <alignment horizontal="center"/>
    </dxf>
    <dxf>
      <alignment vertical="center"/>
    </dxf>
    <dxf>
      <alignment vertical="center"/>
    </dxf>
    <dxf>
      <alignment vertical="center"/>
    </dxf>
    <dxf>
      <alignment vertical="center"/>
    </dxf>
    <dxf>
      <font>
        <sz val="12"/>
      </font>
    </dxf>
    <dxf>
      <font>
        <sz val="12"/>
      </font>
    </dxf>
    <dxf>
      <font>
        <sz val="12"/>
      </font>
    </dxf>
    <dxf>
      <font>
        <sz val="12"/>
      </font>
    </dxf>
    <dxf>
      <font>
        <name val="Arial"/>
      </font>
    </dxf>
    <dxf>
      <font>
        <name val="Arial"/>
      </font>
    </dxf>
    <dxf>
      <font>
        <name val="Arial"/>
      </font>
    </dxf>
    <dxf>
      <font>
        <name val="Arial"/>
      </font>
    </dxf>
    <dxf>
      <alignment horizontal="left"/>
    </dxf>
    <dxf>
      <alignment horizontal="left"/>
    </dxf>
    <dxf>
      <alignment horizontal="center"/>
    </dxf>
    <dxf>
      <alignment horizontal="center"/>
    </dxf>
    <dxf>
      <alignment vertical="center"/>
    </dxf>
  </dxfs>
  <tableStyles count="0" defaultTableStyle="TableStyleMedium2" defaultPivotStyle="PivotStyleLight16"/>
  <colors>
    <indexedColors>
      <rgbColor rgb="FF000000"/>
      <rgbColor rgb="FFFFFFFF"/>
      <rgbColor rgb="FFFF0000"/>
      <rgbColor rgb="FF00FF00"/>
      <rgbColor rgb="FF0000FF"/>
      <rgbColor rgb="FFFFFBE0"/>
      <rgbColor rgb="FFFF00FF"/>
      <rgbColor rgb="FFF0F4FF"/>
      <rgbColor rgb="FF8B0000"/>
      <rgbColor rgb="FF2E7D3A"/>
      <rgbColor rgb="FF000080"/>
      <rgbColor rgb="FF7D6000"/>
      <rgbColor rgb="FF800080"/>
      <rgbColor rgb="FF555555"/>
      <rgbColor rgb="FFCCCCCC"/>
      <rgbColor rgb="FF888888"/>
      <rgbColor rgb="FFFFE8E8"/>
      <rgbColor rgb="FF5B3A8A"/>
      <rgbColor rgb="FFFFF9C4"/>
      <rgbColor rgb="FFD6EEF2"/>
      <rgbColor rgb="FF660066"/>
      <rgbColor rgb="FFF5F5F5"/>
      <rgbColor rgb="FF0C447C"/>
      <rgbColor rgb="FFD9D9D9"/>
      <rgbColor rgb="FF000080"/>
      <rgbColor rgb="FFFF00FF"/>
      <rgbColor rgb="FFFFF0E0"/>
      <rgbColor rgb="FFF7FBFC"/>
      <rgbColor rgb="FF800080"/>
      <rgbColor rgb="FF8B5E00"/>
      <rgbColor rgb="FF008080"/>
      <rgbColor rgb="FF0000FF"/>
      <rgbColor rgb="FFFFFDE7"/>
      <rgbColor rgb="FFE0F0FF"/>
      <rgbColor rgb="FFD6F0DC"/>
      <rgbColor rgb="FFFFF3CD"/>
      <rgbColor rgb="FFC8E6FA"/>
      <rgbColor rgb="FFFFE8CC"/>
      <rgbColor rgb="FFE8E0F0"/>
      <rgbColor rgb="FFFFD6D6"/>
      <rgbColor rgb="FF3366FF"/>
      <rgbColor rgb="FFEEF6F8"/>
      <rgbColor rgb="FFE8F5E8"/>
      <rgbColor rgb="FFFEF0E0"/>
      <rgbColor rgb="FFC9962B"/>
      <rgbColor rgb="FFB85C00"/>
      <rgbColor rgb="FF5F5E5A"/>
      <rgbColor rgb="FFAAAAAA"/>
      <rgbColor rgb="FF003E6B"/>
      <rgbColor rgb="FF2E7D8C"/>
      <rgbColor rgb="FF003300"/>
      <rgbColor rgb="FF1B4F5F"/>
      <rgbColor rgb="FF8B4500"/>
      <rgbColor rgb="FF854F0B"/>
      <rgbColor rgb="FF2C3E8C"/>
      <rgbColor rgb="FF404040"/>
      <rgbColor rgb="00003366"/>
      <rgbColor rgb="00339966"/>
      <rgbColor rgb="00003300"/>
      <rgbColor rgb="00333300"/>
      <rgbColor rgb="00993300"/>
      <rgbColor rgb="00993366"/>
      <rgbColor rgb="00333399"/>
      <rgbColor rgb="00333333"/>
    </indexedColors>
    <mruColors>
      <color rgb="FF1B4F5F"/>
      <color rgb="FFDED6D1"/>
      <color rgb="FFC76B00"/>
      <color rgb="FF2F7F8D"/>
      <color rgb="FFCED7DB"/>
      <color rgb="FFCCDFDE"/>
      <color rgb="FFFFFDE7"/>
      <color rgb="FF2F7D8C"/>
      <color rgb="FF854F0B"/>
      <color rgb="FF8A79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319873</xdr:colOff>
      <xdr:row>2</xdr:row>
      <xdr:rowOff>163285</xdr:rowOff>
    </xdr:from>
    <xdr:to>
      <xdr:col>7</xdr:col>
      <xdr:colOff>1824823</xdr:colOff>
      <xdr:row>51</xdr:row>
      <xdr:rowOff>168728</xdr:rowOff>
    </xdr:to>
    <xdr:pic>
      <xdr:nvPicPr>
        <xdr:cNvPr id="2" name="Picture 1">
          <a:extLst>
            <a:ext uri="{FF2B5EF4-FFF2-40B4-BE49-F238E27FC236}">
              <a16:creationId xmlns:a16="http://schemas.microsoft.com/office/drawing/2014/main" id="{E88989C8-D3C6-9548-8653-55D588D02D7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136"/>
        <a:stretch>
          <a:fillRect/>
        </a:stretch>
      </xdr:blipFill>
      <xdr:spPr>
        <a:xfrm>
          <a:off x="555730" y="870856"/>
          <a:ext cx="15656379" cy="97844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17</xdr:row>
      <xdr:rowOff>0</xdr:rowOff>
    </xdr:from>
    <xdr:to>
      <xdr:col>12</xdr:col>
      <xdr:colOff>304800</xdr:colOff>
      <xdr:row>18</xdr:row>
      <xdr:rowOff>108858</xdr:rowOff>
    </xdr:to>
    <xdr:sp macro="" textlink="">
      <xdr:nvSpPr>
        <xdr:cNvPr id="2049" name="AutoShape 1" descr="Generated image">
          <a:extLst>
            <a:ext uri="{FF2B5EF4-FFF2-40B4-BE49-F238E27FC236}">
              <a16:creationId xmlns:a16="http://schemas.microsoft.com/office/drawing/2014/main" id="{FC6A2786-9A4C-C180-822E-67B254A24D37}"/>
            </a:ext>
          </a:extLst>
        </xdr:cNvPr>
        <xdr:cNvSpPr>
          <a:spLocks noChangeAspect="1" noChangeArrowheads="1"/>
        </xdr:cNvSpPr>
      </xdr:nvSpPr>
      <xdr:spPr bwMode="auto">
        <a:xfrm>
          <a:off x="15887700" y="595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308425</xdr:colOff>
      <xdr:row>3</xdr:row>
      <xdr:rowOff>18143</xdr:rowOff>
    </xdr:from>
    <xdr:to>
      <xdr:col>9</xdr:col>
      <xdr:colOff>239602</xdr:colOff>
      <xdr:row>30</xdr:row>
      <xdr:rowOff>96213</xdr:rowOff>
    </xdr:to>
    <xdr:pic>
      <xdr:nvPicPr>
        <xdr:cNvPr id="5" name="Picture 4">
          <a:extLst>
            <a:ext uri="{FF2B5EF4-FFF2-40B4-BE49-F238E27FC236}">
              <a16:creationId xmlns:a16="http://schemas.microsoft.com/office/drawing/2014/main" id="{427A0ADF-E09C-8FF3-22D6-05AF510B08D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1730" b="16142"/>
        <a:stretch>
          <a:fillRect/>
        </a:stretch>
      </xdr:blipFill>
      <xdr:spPr>
        <a:xfrm>
          <a:off x="2444334" y="845567"/>
          <a:ext cx="11751126" cy="57545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 K" refreshedDate="46293.540625810187" missingItemsLimit="0" createdVersion="8" refreshedVersion="8" minRefreshableVersion="3" recordCount="10" xr:uid="{3BD62F21-AF85-DC44-99F9-680A02C18E2F}">
  <cacheSource type="worksheet">
    <worksheetSource ref="B69:U79" sheet="1.7 AHP Calculations"/>
  </cacheSource>
  <cacheFields count="20">
    <cacheField name="EA Smell Instance" numFmtId="0">
      <sharedItems containsBlank="1" count="6">
        <s v="Cyclic Dependency"/>
        <s v="Shared Persistency"/>
        <s v="Feature Envy"/>
        <s v="Stovepipe System"/>
        <s v="Vendor Lock-In"/>
        <m/>
      </sharedItems>
    </cacheField>
    <cacheField name="Scope" numFmtId="1">
      <sharedItems containsMixedTypes="1" containsNumber="1" containsInteger="1" minValue="3" maxValue="5"/>
    </cacheField>
    <cacheField name="Restructuring Complexity" numFmtId="1">
      <sharedItems containsMixedTypes="1" containsNumber="1" containsInteger="1" minValue="3" maxValue="5"/>
    </cacheField>
    <cacheField name="Evolution Constraint" numFmtId="1">
      <sharedItems containsMixedTypes="1" containsNumber="1" containsInteger="1" minValue="3" maxValue="5"/>
    </cacheField>
    <cacheField name="Governance Overhead" numFmtId="1">
      <sharedItems containsMixedTypes="1" containsNumber="1" containsInteger="1" minValue="2" maxValue="5"/>
    </cacheField>
    <cacheField name="Reliability Impact" numFmtId="1">
      <sharedItems containsMixedTypes="1" containsNumber="1" containsInteger="1" minValue="2" maxValue="4"/>
    </cacheField>
    <cacheField name="Scope Intensity Priority" numFmtId="0">
      <sharedItems containsMixedTypes="1" containsNumber="1" minValue="8.5534816047010409E-2" maxValue="0.34263523973481935"/>
    </cacheField>
    <cacheField name="Restructuring Complexity Intensity Priority" numFmtId="165">
      <sharedItems containsMixedTypes="1" containsNumber="1" minValue="8.5643476075709837E-2" maxValue="0.47573088037749484"/>
    </cacheField>
    <cacheField name="Evolution Constraint Intensity Priority" numFmtId="165">
      <sharedItems containsMixedTypes="1" containsNumber="1" minValue="0.15959482588812723" maxValue="1"/>
    </cacheField>
    <cacheField name="Governance Overhead Intensity Priority" numFmtId="165">
      <sharedItems containsMixedTypes="1" containsNumber="1" minValue="0.11414867794803181" maxValue="1"/>
    </cacheField>
    <cacheField name="Reliability Impact Intensity Priority" numFmtId="165">
      <sharedItems containsMixedTypes="1" containsNumber="1" minValue="8.7469293011482249E-2" maxValue="0.54226591791739931"/>
    </cacheField>
    <cacheField name="Scope Intensity Priority * Weight" numFmtId="164">
      <sharedItems containsMixedTypes="1" containsNumber="1" minValue="2.1383704011752602E-2" maxValue="8.5658809933704838E-2"/>
    </cacheField>
    <cacheField name="Restructuring Complexity Internsity Priority * Weight" numFmtId="164">
      <sharedItems containsMixedTypes="1" containsNumber="1" minValue="2.1410869018927459E-2" maxValue="0.11893272009437371"/>
    </cacheField>
    <cacheField name="Evolution Constraint Intensity Priority * Weight" numFmtId="164">
      <sharedItems containsMixedTypes="1" containsNumber="1" minValue="2.6599137648021205E-2" maxValue="0.16666666666666666"/>
    </cacheField>
    <cacheField name="Governance Overhead Intensity Priority * Weight" numFmtId="164">
      <sharedItems containsMixedTypes="1" containsNumber="1" minValue="1.9024779658005302E-2" maxValue="0.16666666666666666"/>
    </cacheField>
    <cacheField name="Reliability Impact Intensity Priority * Weight" numFmtId="164">
      <sharedItems containsMixedTypes="1" containsNumber="1" minValue="1.4578215501913707E-2" maxValue="9.0377652986233209E-2"/>
    </cacheField>
    <cacheField name="Weighted Score / Total" numFmtId="165">
      <sharedItems containsMixedTypes="1" containsNumber="1" minValue="0.23876931575032423" maxValue="0.50089602784278153" count="6">
        <n v="0.23876931575032423"/>
        <n v="0.48673056421940364"/>
        <n v="0.26479366283601874"/>
        <n v="0.29722902437676069"/>
        <n v="0.50089602784278153"/>
        <s v=""/>
      </sharedItems>
    </cacheField>
    <cacheField name="Rank" numFmtId="1">
      <sharedItems containsMixedTypes="1" containsNumber="1" containsInteger="1" minValue="1" maxValue="5" count="6">
        <n v="5"/>
        <n v="2"/>
        <n v="4"/>
        <n v="3"/>
        <n v="1"/>
        <s v=""/>
      </sharedItems>
    </cacheField>
    <cacheField name="Priority" numFmtId="165">
      <sharedItems containsMixedTypes="1" containsNumber="1" minValue="0.1335086295873299" maxValue="0.28007762233969546" count="6">
        <n v="0.1335086295873299"/>
        <n v="0.27215695786954236"/>
        <n v="0.14806022682417619"/>
        <n v="0.16619656337925617"/>
        <n v="0.28007762233969546"/>
        <s v=""/>
      </sharedItems>
    </cacheField>
    <cacheField name="Scope Rating / Intensity Priority" numFmtId="0">
      <sharedItems/>
    </cacheField>
  </cacheFields>
  <extLst>
    <ext xmlns:x14="http://schemas.microsoft.com/office/spreadsheetml/2009/9/main" uri="{725AE2AE-9491-48be-B2B4-4EB974FC3084}">
      <x14:pivotCacheDefinition pivotCacheId="5994330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 K" refreshedDate="46293.541113310188" missingItemsLimit="0" createdVersion="8" refreshedVersion="8" minRefreshableVersion="3" recordCount="10" xr:uid="{D287197E-75AD-964F-8729-5211B42AF3A6}">
  <cacheSource type="worksheet">
    <worksheetSource ref="B69:Y79" sheet="1.7 AHP Calculations"/>
  </cacheSource>
  <cacheFields count="24">
    <cacheField name="EA Smell Instance" numFmtId="0">
      <sharedItems containsBlank="1" count="6">
        <s v="Cyclic Dependency"/>
        <s v="Shared Persistency"/>
        <s v="Feature Envy"/>
        <s v="Stovepipe System"/>
        <s v="Vendor Lock-In"/>
        <m/>
      </sharedItems>
    </cacheField>
    <cacheField name="Scope" numFmtId="1">
      <sharedItems containsMixedTypes="1" containsNumber="1" containsInteger="1" minValue="3" maxValue="5" count="4">
        <n v="4"/>
        <n v="5"/>
        <n v="3"/>
        <s v=""/>
      </sharedItems>
    </cacheField>
    <cacheField name="Restructuring Complexity" numFmtId="1">
      <sharedItems containsMixedTypes="1" containsNumber="1" containsInteger="1" minValue="3" maxValue="5"/>
    </cacheField>
    <cacheField name="Evolution Constraint" numFmtId="1">
      <sharedItems containsMixedTypes="1" containsNumber="1" containsInteger="1" minValue="3" maxValue="5"/>
    </cacheField>
    <cacheField name="Governance Overhead" numFmtId="1">
      <sharedItems containsMixedTypes="1" containsNumber="1" containsInteger="1" minValue="2" maxValue="5"/>
    </cacheField>
    <cacheField name="Reliability Impact" numFmtId="1">
      <sharedItems containsMixedTypes="1" containsNumber="1" containsInteger="1" minValue="2" maxValue="4"/>
    </cacheField>
    <cacheField name="Scope Intensity Priority" numFmtId="0">
      <sharedItems containsMixedTypes="1" containsNumber="1" minValue="8.5534816047010409E-2" maxValue="0.34263523973481935"/>
    </cacheField>
    <cacheField name="Restructuring Complexity Intensity Priority" numFmtId="165">
      <sharedItems containsMixedTypes="1" containsNumber="1" minValue="8.5643476075709837E-2" maxValue="0.47573088037749484"/>
    </cacheField>
    <cacheField name="Evolution Constraint Intensity Priority" numFmtId="165">
      <sharedItems containsMixedTypes="1" containsNumber="1" minValue="0.15959482588812723" maxValue="1"/>
    </cacheField>
    <cacheField name="Governance Overhead Intensity Priority" numFmtId="165">
      <sharedItems containsMixedTypes="1" containsNumber="1" minValue="0.11414867794803181" maxValue="1"/>
    </cacheField>
    <cacheField name="Reliability Impact Intensity Priority" numFmtId="165">
      <sharedItems containsMixedTypes="1" containsNumber="1" minValue="8.7469293011482249E-2" maxValue="0.54226591791739931"/>
    </cacheField>
    <cacheField name="Scope Intensity Priority * Weight" numFmtId="164">
      <sharedItems containsMixedTypes="1" containsNumber="1" minValue="2.1383704011752602E-2" maxValue="8.5658809933704838E-2"/>
    </cacheField>
    <cacheField name="Restructuring Complexity Internsity Priority * Weight" numFmtId="164">
      <sharedItems containsMixedTypes="1" containsNumber="1" minValue="2.1410869018927459E-2" maxValue="0.11893272009437371"/>
    </cacheField>
    <cacheField name="Evolution Constraint Intensity Priority * Weight" numFmtId="164">
      <sharedItems containsMixedTypes="1" containsNumber="1" minValue="2.6599137648021205E-2" maxValue="0.16666666666666666"/>
    </cacheField>
    <cacheField name="Governance Overhead Intensity Priority * Weight" numFmtId="164">
      <sharedItems containsMixedTypes="1" containsNumber="1" minValue="1.9024779658005302E-2" maxValue="0.16666666666666666"/>
    </cacheField>
    <cacheField name="Reliability Impact Intensity Priority * Weight" numFmtId="164">
      <sharedItems containsMixedTypes="1" containsNumber="1" minValue="1.4578215501913707E-2" maxValue="9.0377652986233209E-2"/>
    </cacheField>
    <cacheField name="Weighted Score / Total" numFmtId="165">
      <sharedItems containsMixedTypes="1" containsNumber="1" minValue="0.23876931575032423" maxValue="0.50089602784278153"/>
    </cacheField>
    <cacheField name="Rank" numFmtId="1">
      <sharedItems containsMixedTypes="1" containsNumber="1" containsInteger="1" minValue="1" maxValue="5"/>
    </cacheField>
    <cacheField name="Priority" numFmtId="165">
      <sharedItems containsMixedTypes="1" containsNumber="1" minValue="0.1335086295873299" maxValue="0.28007762233969546"/>
    </cacheField>
    <cacheField name="Scope Rating / Intensity Priority" numFmtId="0">
      <sharedItems count="4">
        <s v="4 (0.2231)"/>
        <s v="5 (0.0855)"/>
        <s v="3 (0.3426)"/>
        <s v=""/>
      </sharedItems>
    </cacheField>
    <cacheField name="Restructuring Complexity Rating / Intensity Priority" numFmtId="0">
      <sharedItems count="4">
        <s v="4 (0.1963)"/>
        <s v="3 (0.4757)"/>
        <s v="5 (0.0856)"/>
        <s v=""/>
      </sharedItems>
    </cacheField>
    <cacheField name="Evolution Constraint Rating / Intensity Priority" numFmtId="0">
      <sharedItems count="4">
        <s v="4 (0.4076)"/>
        <s v="5 (1.0000)"/>
        <s v="3 (0.1596)"/>
        <s v=""/>
      </sharedItems>
    </cacheField>
    <cacheField name="Governance Overhead Rating / Intensity Priority" numFmtId="0">
      <sharedItems count="5">
        <s v="3 (0.2044)"/>
        <s v="4 (0.5362)"/>
        <s v="2 (0.1141)"/>
        <s v="5 (1.0000)"/>
        <s v=""/>
      </sharedItems>
    </cacheField>
    <cacheField name="Operational Reliability Rating / Intensity Priority" numFmtId="0">
      <sharedItems count="4">
        <s v="3 (0.1915)"/>
        <s v="4 (0.5423)"/>
        <s v="2 (0.0875)"/>
        <s v=""/>
      </sharedItems>
    </cacheField>
  </cacheFields>
  <extLst>
    <ext xmlns:x14="http://schemas.microsoft.com/office/spreadsheetml/2009/9/main" uri="{725AE2AE-9491-48be-B2B4-4EB974FC3084}">
      <x14:pivotCacheDefinition pivotCacheId="880612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4"/>
    <n v="4"/>
    <n v="4"/>
    <n v="3"/>
    <n v="3"/>
    <n v="0.22309669001715018"/>
    <n v="0.19626433492283854"/>
    <n v="0.40764892884380116"/>
    <n v="0.20441776208938081"/>
    <n v="0.19150766615878043"/>
    <n v="5.5774172504287546E-2"/>
    <n v="4.9066083730709635E-2"/>
    <n v="6.7941488140633527E-2"/>
    <n v="3.4069627014896797E-2"/>
    <n v="3.1917944359796738E-2"/>
    <x v="0"/>
    <x v="0"/>
    <x v="0"/>
    <s v="4 (0.2231)"/>
  </r>
  <r>
    <x v="1"/>
    <n v="5"/>
    <n v="3"/>
    <n v="5"/>
    <n v="4"/>
    <n v="4"/>
    <n v="8.5534816047010409E-2"/>
    <n v="0.47573088037749484"/>
    <n v="1"/>
    <n v="0.5362189227622649"/>
    <n v="0.54226591791739931"/>
    <n v="2.1383704011752602E-2"/>
    <n v="0.11893272009437371"/>
    <n v="0.16666666666666666"/>
    <n v="8.9369820460377475E-2"/>
    <n v="9.0377652986233209E-2"/>
    <x v="1"/>
    <x v="1"/>
    <x v="1"/>
    <s v="5 (0.0855)"/>
  </r>
  <r>
    <x v="2"/>
    <n v="3"/>
    <n v="3"/>
    <n v="3"/>
    <n v="2"/>
    <n v="2"/>
    <n v="0.34263523973481935"/>
    <n v="0.47573088037749484"/>
    <n v="0.15959482588812723"/>
    <n v="0.11414867794803181"/>
    <n v="8.7469293011482249E-2"/>
    <n v="8.5658809933704838E-2"/>
    <n v="0.11893272009437371"/>
    <n v="2.6599137648021205E-2"/>
    <n v="1.9024779658005302E-2"/>
    <n v="1.4578215501913707E-2"/>
    <x v="2"/>
    <x v="2"/>
    <x v="2"/>
    <s v="3 (0.3426)"/>
  </r>
  <r>
    <x v="3"/>
    <n v="4"/>
    <n v="4"/>
    <n v="4"/>
    <n v="3"/>
    <n v="4"/>
    <n v="0.22309669001715018"/>
    <n v="0.19626433492283854"/>
    <n v="0.40764892884380116"/>
    <n v="0.20441776208938081"/>
    <n v="0.54226591791739931"/>
    <n v="5.5774172504287546E-2"/>
    <n v="4.9066083730709635E-2"/>
    <n v="6.7941488140633527E-2"/>
    <n v="3.4069627014896797E-2"/>
    <n v="9.0377652986233209E-2"/>
    <x v="3"/>
    <x v="3"/>
    <x v="3"/>
    <s v="4 (0.2231)"/>
  </r>
  <r>
    <x v="4"/>
    <n v="4"/>
    <n v="5"/>
    <n v="5"/>
    <n v="5"/>
    <n v="4"/>
    <n v="0.22309669001715018"/>
    <n v="8.5643476075709837E-2"/>
    <n v="1"/>
    <n v="1"/>
    <n v="0.54226591791739931"/>
    <n v="5.5774172504287546E-2"/>
    <n v="2.1410869018927459E-2"/>
    <n v="0.16666666666666666"/>
    <n v="0.16666666666666666"/>
    <n v="9.0377652986233209E-2"/>
    <x v="4"/>
    <x v="4"/>
    <x v="4"/>
    <s v="4 (0.2231)"/>
  </r>
  <r>
    <x v="5"/>
    <s v=""/>
    <s v=""/>
    <s v=""/>
    <s v=""/>
    <s v=""/>
    <s v=""/>
    <s v=""/>
    <s v=""/>
    <s v=""/>
    <s v=""/>
    <s v=""/>
    <s v=""/>
    <s v=""/>
    <s v=""/>
    <s v=""/>
    <x v="5"/>
    <x v="5"/>
    <x v="5"/>
    <s v=""/>
  </r>
  <r>
    <x v="5"/>
    <s v=""/>
    <s v=""/>
    <s v=""/>
    <s v=""/>
    <s v=""/>
    <s v=""/>
    <s v=""/>
    <s v=""/>
    <s v=""/>
    <s v=""/>
    <s v=""/>
    <s v=""/>
    <s v=""/>
    <s v=""/>
    <s v=""/>
    <x v="5"/>
    <x v="5"/>
    <x v="5"/>
    <s v=""/>
  </r>
  <r>
    <x v="5"/>
    <s v=""/>
    <s v=""/>
    <s v=""/>
    <s v=""/>
    <s v=""/>
    <s v=""/>
    <s v=""/>
    <s v=""/>
    <s v=""/>
    <s v=""/>
    <s v=""/>
    <s v=""/>
    <s v=""/>
    <s v=""/>
    <s v=""/>
    <x v="5"/>
    <x v="5"/>
    <x v="5"/>
    <s v=""/>
  </r>
  <r>
    <x v="5"/>
    <s v=""/>
    <s v=""/>
    <s v=""/>
    <s v=""/>
    <s v=""/>
    <s v=""/>
    <s v=""/>
    <s v=""/>
    <s v=""/>
    <s v=""/>
    <s v=""/>
    <s v=""/>
    <s v=""/>
    <s v=""/>
    <s v=""/>
    <x v="5"/>
    <x v="5"/>
    <x v="5"/>
    <s v=""/>
  </r>
  <r>
    <x v="5"/>
    <s v=""/>
    <s v=""/>
    <s v=""/>
    <s v=""/>
    <s v=""/>
    <s v=""/>
    <s v=""/>
    <s v=""/>
    <s v=""/>
    <s v=""/>
    <s v=""/>
    <s v=""/>
    <s v=""/>
    <s v=""/>
    <s v=""/>
    <x v="5"/>
    <x v="5"/>
    <x v="5"/>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4"/>
    <n v="4"/>
    <n v="3"/>
    <n v="3"/>
    <n v="0.22309669001715018"/>
    <n v="0.19626433492283854"/>
    <n v="0.40764892884380116"/>
    <n v="0.20441776208938081"/>
    <n v="0.19150766615878043"/>
    <n v="5.5774172504287546E-2"/>
    <n v="4.9066083730709635E-2"/>
    <n v="6.7941488140633527E-2"/>
    <n v="3.4069627014896797E-2"/>
    <n v="3.1917944359796738E-2"/>
    <n v="0.23876931575032423"/>
    <n v="5"/>
    <n v="0.1335086295873299"/>
    <x v="0"/>
    <x v="0"/>
    <x v="0"/>
    <x v="0"/>
    <x v="0"/>
  </r>
  <r>
    <x v="1"/>
    <x v="1"/>
    <n v="3"/>
    <n v="5"/>
    <n v="4"/>
    <n v="4"/>
    <n v="8.5534816047010409E-2"/>
    <n v="0.47573088037749484"/>
    <n v="1"/>
    <n v="0.5362189227622649"/>
    <n v="0.54226591791739931"/>
    <n v="2.1383704011752602E-2"/>
    <n v="0.11893272009437371"/>
    <n v="0.16666666666666666"/>
    <n v="8.9369820460377475E-2"/>
    <n v="9.0377652986233209E-2"/>
    <n v="0.48673056421940364"/>
    <n v="2"/>
    <n v="0.27215695786954236"/>
    <x v="1"/>
    <x v="1"/>
    <x v="1"/>
    <x v="1"/>
    <x v="1"/>
  </r>
  <r>
    <x v="2"/>
    <x v="2"/>
    <n v="3"/>
    <n v="3"/>
    <n v="2"/>
    <n v="2"/>
    <n v="0.34263523973481935"/>
    <n v="0.47573088037749484"/>
    <n v="0.15959482588812723"/>
    <n v="0.11414867794803181"/>
    <n v="8.7469293011482249E-2"/>
    <n v="8.5658809933704838E-2"/>
    <n v="0.11893272009437371"/>
    <n v="2.6599137648021205E-2"/>
    <n v="1.9024779658005302E-2"/>
    <n v="1.4578215501913707E-2"/>
    <n v="0.26479366283601874"/>
    <n v="4"/>
    <n v="0.14806022682417619"/>
    <x v="2"/>
    <x v="1"/>
    <x v="2"/>
    <x v="2"/>
    <x v="2"/>
  </r>
  <r>
    <x v="3"/>
    <x v="0"/>
    <n v="4"/>
    <n v="4"/>
    <n v="3"/>
    <n v="4"/>
    <n v="0.22309669001715018"/>
    <n v="0.19626433492283854"/>
    <n v="0.40764892884380116"/>
    <n v="0.20441776208938081"/>
    <n v="0.54226591791739931"/>
    <n v="5.5774172504287546E-2"/>
    <n v="4.9066083730709635E-2"/>
    <n v="6.7941488140633527E-2"/>
    <n v="3.4069627014896797E-2"/>
    <n v="9.0377652986233209E-2"/>
    <n v="0.29722902437676069"/>
    <n v="3"/>
    <n v="0.16619656337925617"/>
    <x v="0"/>
    <x v="0"/>
    <x v="0"/>
    <x v="0"/>
    <x v="1"/>
  </r>
  <r>
    <x v="4"/>
    <x v="0"/>
    <n v="5"/>
    <n v="5"/>
    <n v="5"/>
    <n v="4"/>
    <n v="0.22309669001715018"/>
    <n v="8.5643476075709837E-2"/>
    <n v="1"/>
    <n v="1"/>
    <n v="0.54226591791739931"/>
    <n v="5.5774172504287546E-2"/>
    <n v="2.1410869018927459E-2"/>
    <n v="0.16666666666666666"/>
    <n v="0.16666666666666666"/>
    <n v="9.0377652986233209E-2"/>
    <n v="0.50089602784278153"/>
    <n v="1"/>
    <n v="0.28007762233969546"/>
    <x v="0"/>
    <x v="2"/>
    <x v="1"/>
    <x v="3"/>
    <x v="1"/>
  </r>
  <r>
    <x v="5"/>
    <x v="3"/>
    <s v=""/>
    <s v=""/>
    <s v=""/>
    <s v=""/>
    <s v=""/>
    <s v=""/>
    <s v=""/>
    <s v=""/>
    <s v=""/>
    <s v=""/>
    <s v=""/>
    <s v=""/>
    <s v=""/>
    <s v=""/>
    <s v=""/>
    <s v=""/>
    <s v=""/>
    <x v="3"/>
    <x v="3"/>
    <x v="3"/>
    <x v="4"/>
    <x v="3"/>
  </r>
  <r>
    <x v="5"/>
    <x v="3"/>
    <s v=""/>
    <s v=""/>
    <s v=""/>
    <s v=""/>
    <s v=""/>
    <s v=""/>
    <s v=""/>
    <s v=""/>
    <s v=""/>
    <s v=""/>
    <s v=""/>
    <s v=""/>
    <s v=""/>
    <s v=""/>
    <s v=""/>
    <s v=""/>
    <s v=""/>
    <x v="3"/>
    <x v="3"/>
    <x v="3"/>
    <x v="4"/>
    <x v="3"/>
  </r>
  <r>
    <x v="5"/>
    <x v="3"/>
    <s v=""/>
    <s v=""/>
    <s v=""/>
    <s v=""/>
    <s v=""/>
    <s v=""/>
    <s v=""/>
    <s v=""/>
    <s v=""/>
    <s v=""/>
    <s v=""/>
    <s v=""/>
    <s v=""/>
    <s v=""/>
    <s v=""/>
    <s v=""/>
    <s v=""/>
    <x v="3"/>
    <x v="3"/>
    <x v="3"/>
    <x v="4"/>
    <x v="3"/>
  </r>
  <r>
    <x v="5"/>
    <x v="3"/>
    <s v=""/>
    <s v=""/>
    <s v=""/>
    <s v=""/>
    <s v=""/>
    <s v=""/>
    <s v=""/>
    <s v=""/>
    <s v=""/>
    <s v=""/>
    <s v=""/>
    <s v=""/>
    <s v=""/>
    <s v=""/>
    <s v=""/>
    <s v=""/>
    <s v=""/>
    <x v="3"/>
    <x v="3"/>
    <x v="3"/>
    <x v="4"/>
    <x v="3"/>
  </r>
  <r>
    <x v="5"/>
    <x v="3"/>
    <s v=""/>
    <s v=""/>
    <s v=""/>
    <s v=""/>
    <s v=""/>
    <s v=""/>
    <s v=""/>
    <s v=""/>
    <s v=""/>
    <s v=""/>
    <s v=""/>
    <s v=""/>
    <s v=""/>
    <s v=""/>
    <s v=""/>
    <s v=""/>
    <s v=""/>
    <x v="3"/>
    <x v="3"/>
    <x v="3"/>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9D94D9-9F89-1144-8FE0-CB067173F980}" name="EA Smell Priority Summary" cacheId="25" applyNumberFormats="0" applyBorderFormats="0" applyFontFormats="0" applyPatternFormats="0" applyAlignmentFormats="0" applyWidthHeightFormats="1" dataCaption="Values" updatedVersion="8" minRefreshableVersion="3" showDrill="0" rowGrandTotals="0" itemPrintTitles="1" createdVersion="8" indent="0" compact="0" compactData="0" multipleFieldFilters="0">
  <location ref="E66:H72" firstHeaderRow="1" firstDataRow="1" firstDataCol="4"/>
  <pivotFields count="20">
    <pivotField axis="axisRow" compact="0" outline="0" showAll="0" defaultSubtotal="0">
      <items count="6">
        <item x="0"/>
        <item x="2"/>
        <item x="1"/>
        <item x="3"/>
        <item x="4"/>
        <item x="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6">
        <item x="5"/>
        <item x="0"/>
        <item x="1"/>
        <item x="2"/>
        <item x="3"/>
        <item x="4"/>
      </items>
    </pivotField>
    <pivotField axis="axisRow" compact="0" outline="0" showAll="0" defaultSubtotal="0">
      <items count="6">
        <item x="4"/>
        <item x="1"/>
        <item x="3"/>
        <item x="2"/>
        <item x="0"/>
        <item x="5"/>
      </items>
    </pivotField>
    <pivotField name="Normalized Priority" axis="axisRow" compact="0" outline="0" showAll="0" defaultSubtotal="0">
      <items count="6">
        <item x="5"/>
        <item x="0"/>
        <item x="1"/>
        <item x="2"/>
        <item x="3"/>
        <item x="4"/>
      </items>
    </pivotField>
    <pivotField compact="0" outline="0" showAll="0"/>
  </pivotFields>
  <rowFields count="4">
    <field x="17"/>
    <field x="0"/>
    <field x="16"/>
    <field x="18"/>
  </rowFields>
  <rowItems count="6">
    <i>
      <x/>
      <x v="4"/>
      <x v="5"/>
      <x v="5"/>
    </i>
    <i>
      <x v="1"/>
      <x v="2"/>
      <x v="2"/>
      <x v="2"/>
    </i>
    <i>
      <x v="2"/>
      <x v="3"/>
      <x v="4"/>
      <x v="4"/>
    </i>
    <i>
      <x v="3"/>
      <x v="1"/>
      <x v="3"/>
      <x v="3"/>
    </i>
    <i>
      <x v="4"/>
      <x/>
      <x v="1"/>
      <x v="1"/>
    </i>
    <i>
      <x v="5"/>
      <x v="5"/>
      <x/>
      <x/>
    </i>
  </rowItems>
  <colItems count="1">
    <i/>
  </colItems>
  <formats count="74">
    <format dxfId="227">
      <pivotArea type="all" dataOnly="0" outline="0" fieldPosition="0"/>
    </format>
    <format dxfId="226">
      <pivotArea field="17" type="button" dataOnly="0" labelOnly="1" outline="0" axis="axisRow" fieldPosition="0"/>
    </format>
    <format dxfId="225">
      <pivotArea field="0" type="button" dataOnly="0" labelOnly="1" outline="0" axis="axisRow" fieldPosition="1"/>
    </format>
    <format dxfId="224">
      <pivotArea field="16" type="button" dataOnly="0" labelOnly="1" outline="0" axis="axisRow" fieldPosition="2"/>
    </format>
    <format dxfId="223">
      <pivotArea field="18" type="button" dataOnly="0" labelOnly="1" outline="0" axis="axisRow" fieldPosition="3"/>
    </format>
    <format dxfId="222">
      <pivotArea dataOnly="0" labelOnly="1" outline="0" fieldPosition="0">
        <references count="1">
          <reference field="17" count="0"/>
        </references>
      </pivotArea>
    </format>
    <format dxfId="221">
      <pivotArea dataOnly="0" labelOnly="1" outline="0" fieldPosition="0">
        <references count="2">
          <reference field="0" count="1">
            <x v="4"/>
          </reference>
          <reference field="17" count="1" selected="0">
            <x v="0"/>
          </reference>
        </references>
      </pivotArea>
    </format>
    <format dxfId="220">
      <pivotArea dataOnly="0" labelOnly="1" outline="0" fieldPosition="0">
        <references count="2">
          <reference field="0" count="1">
            <x v="2"/>
          </reference>
          <reference field="17" count="1" selected="0">
            <x v="1"/>
          </reference>
        </references>
      </pivotArea>
    </format>
    <format dxfId="219">
      <pivotArea dataOnly="0" labelOnly="1" outline="0" fieldPosition="0">
        <references count="2">
          <reference field="0" count="1">
            <x v="3"/>
          </reference>
          <reference field="17" count="1" selected="0">
            <x v="2"/>
          </reference>
        </references>
      </pivotArea>
    </format>
    <format dxfId="218">
      <pivotArea dataOnly="0" labelOnly="1" outline="0" fieldPosition="0">
        <references count="2">
          <reference field="0" count="1">
            <x v="0"/>
          </reference>
          <reference field="17" count="1" selected="0">
            <x v="3"/>
          </reference>
        </references>
      </pivotArea>
    </format>
    <format dxfId="217">
      <pivotArea dataOnly="0" labelOnly="1" outline="0" fieldPosition="0">
        <references count="2">
          <reference field="0" count="1">
            <x v="1"/>
          </reference>
          <reference field="17" count="1" selected="0">
            <x v="4"/>
          </reference>
        </references>
      </pivotArea>
    </format>
    <format dxfId="216">
      <pivotArea type="all" dataOnly="0" outline="0" fieldPosition="0"/>
    </format>
    <format dxfId="215">
      <pivotArea field="17" type="button" dataOnly="0" labelOnly="1" outline="0" axis="axisRow" fieldPosition="0"/>
    </format>
    <format dxfId="214">
      <pivotArea field="0" type="button" dataOnly="0" labelOnly="1" outline="0" axis="axisRow" fieldPosition="1"/>
    </format>
    <format dxfId="213">
      <pivotArea field="16" type="button" dataOnly="0" labelOnly="1" outline="0" axis="axisRow" fieldPosition="2"/>
    </format>
    <format dxfId="212">
      <pivotArea field="18" type="button" dataOnly="0" labelOnly="1" outline="0" axis="axisRow" fieldPosition="3"/>
    </format>
    <format dxfId="211">
      <pivotArea dataOnly="0" labelOnly="1" outline="0" fieldPosition="0">
        <references count="1">
          <reference field="17" count="0"/>
        </references>
      </pivotArea>
    </format>
    <format dxfId="210">
      <pivotArea dataOnly="0" labelOnly="1" outline="0" fieldPosition="0">
        <references count="2">
          <reference field="0" count="1">
            <x v="4"/>
          </reference>
          <reference field="17" count="1" selected="0">
            <x v="0"/>
          </reference>
        </references>
      </pivotArea>
    </format>
    <format dxfId="209">
      <pivotArea dataOnly="0" labelOnly="1" outline="0" fieldPosition="0">
        <references count="2">
          <reference field="0" count="1">
            <x v="2"/>
          </reference>
          <reference field="17" count="1" selected="0">
            <x v="1"/>
          </reference>
        </references>
      </pivotArea>
    </format>
    <format dxfId="208">
      <pivotArea dataOnly="0" labelOnly="1" outline="0" fieldPosition="0">
        <references count="2">
          <reference field="0" count="1">
            <x v="3"/>
          </reference>
          <reference field="17" count="1" selected="0">
            <x v="2"/>
          </reference>
        </references>
      </pivotArea>
    </format>
    <format dxfId="207">
      <pivotArea dataOnly="0" labelOnly="1" outline="0" fieldPosition="0">
        <references count="2">
          <reference field="0" count="1">
            <x v="0"/>
          </reference>
          <reference field="17" count="1" selected="0">
            <x v="3"/>
          </reference>
        </references>
      </pivotArea>
    </format>
    <format dxfId="206">
      <pivotArea dataOnly="0" labelOnly="1" outline="0" fieldPosition="0">
        <references count="2">
          <reference field="0" count="1">
            <x v="1"/>
          </reference>
          <reference field="17" count="1" selected="0">
            <x v="4"/>
          </reference>
        </references>
      </pivotArea>
    </format>
    <format dxfId="205">
      <pivotArea type="all" dataOnly="0" outline="0" fieldPosition="0"/>
    </format>
    <format dxfId="204">
      <pivotArea field="17" type="button" dataOnly="0" labelOnly="1" outline="0" axis="axisRow" fieldPosition="0"/>
    </format>
    <format dxfId="203">
      <pivotArea field="0" type="button" dataOnly="0" labelOnly="1" outline="0" axis="axisRow" fieldPosition="1"/>
    </format>
    <format dxfId="202">
      <pivotArea field="16" type="button" dataOnly="0" labelOnly="1" outline="0" axis="axisRow" fieldPosition="2"/>
    </format>
    <format dxfId="201">
      <pivotArea field="18" type="button" dataOnly="0" labelOnly="1" outline="0" axis="axisRow" fieldPosition="3"/>
    </format>
    <format dxfId="200">
      <pivotArea dataOnly="0" labelOnly="1" outline="0" fieldPosition="0">
        <references count="1">
          <reference field="17" count="0"/>
        </references>
      </pivotArea>
    </format>
    <format dxfId="199">
      <pivotArea dataOnly="0" labelOnly="1" outline="0" fieldPosition="0">
        <references count="2">
          <reference field="0" count="1">
            <x v="4"/>
          </reference>
          <reference field="17" count="1" selected="0">
            <x v="0"/>
          </reference>
        </references>
      </pivotArea>
    </format>
    <format dxfId="198">
      <pivotArea dataOnly="0" labelOnly="1" outline="0" fieldPosition="0">
        <references count="2">
          <reference field="0" count="1">
            <x v="2"/>
          </reference>
          <reference field="17" count="1" selected="0">
            <x v="1"/>
          </reference>
        </references>
      </pivotArea>
    </format>
    <format dxfId="197">
      <pivotArea dataOnly="0" labelOnly="1" outline="0" fieldPosition="0">
        <references count="2">
          <reference field="0" count="1">
            <x v="3"/>
          </reference>
          <reference field="17" count="1" selected="0">
            <x v="2"/>
          </reference>
        </references>
      </pivotArea>
    </format>
    <format dxfId="196">
      <pivotArea dataOnly="0" labelOnly="1" outline="0" fieldPosition="0">
        <references count="2">
          <reference field="0" count="1">
            <x v="0"/>
          </reference>
          <reference field="17" count="1" selected="0">
            <x v="3"/>
          </reference>
        </references>
      </pivotArea>
    </format>
    <format dxfId="195">
      <pivotArea dataOnly="0" labelOnly="1" outline="0" fieldPosition="0">
        <references count="2">
          <reference field="0" count="1">
            <x v="1"/>
          </reference>
          <reference field="17" count="1" selected="0">
            <x v="4"/>
          </reference>
        </references>
      </pivotArea>
    </format>
    <format dxfId="194">
      <pivotArea field="17" type="button" dataOnly="0" labelOnly="1" outline="0" axis="axisRow" fieldPosition="0"/>
    </format>
    <format dxfId="193">
      <pivotArea field="0" type="button" dataOnly="0" labelOnly="1" outline="0" axis="axisRow" fieldPosition="1"/>
    </format>
    <format dxfId="192">
      <pivotArea field="16" type="button" dataOnly="0" labelOnly="1" outline="0" axis="axisRow" fieldPosition="2"/>
    </format>
    <format dxfId="191">
      <pivotArea field="18" type="button" dataOnly="0" labelOnly="1" outline="0" axis="axisRow" fieldPosition="3"/>
    </format>
    <format dxfId="190">
      <pivotArea dataOnly="0" labelOnly="1" outline="0" fieldPosition="0">
        <references count="2">
          <reference field="0" count="1">
            <x v="3"/>
          </reference>
          <reference field="17" count="1" selected="0">
            <x v="4"/>
          </reference>
        </references>
      </pivotArea>
    </format>
    <format dxfId="189">
      <pivotArea dataOnly="0" labelOnly="1" outline="0" fieldPosition="0">
        <references count="2">
          <reference field="0" count="1">
            <x v="0"/>
          </reference>
          <reference field="17" count="1" selected="0">
            <x v="3"/>
          </reference>
        </references>
      </pivotArea>
    </format>
    <format dxfId="188">
      <pivotArea dataOnly="0" labelOnly="1" outline="0" fieldPosition="0">
        <references count="2">
          <reference field="0" count="1">
            <x v="1"/>
          </reference>
          <reference field="17" count="1" selected="0">
            <x v="4"/>
          </reference>
        </references>
      </pivotArea>
    </format>
    <format dxfId="187">
      <pivotArea dataOnly="0" labelOnly="1" outline="0" fieldPosition="0">
        <references count="4">
          <reference field="0" count="1" selected="0">
            <x v="5"/>
          </reference>
          <reference field="16" count="1" selected="0">
            <x v="0"/>
          </reference>
          <reference field="17" count="1" selected="0">
            <x v="5"/>
          </reference>
          <reference field="18" count="1">
            <x v="0"/>
          </reference>
        </references>
      </pivotArea>
    </format>
    <format dxfId="106">
      <pivotArea field="0" type="button" dataOnly="0" labelOnly="1" outline="0" axis="axisRow" fieldPosition="1"/>
    </format>
    <format dxfId="105">
      <pivotArea field="16" type="button" dataOnly="0" labelOnly="1" outline="0" axis="axisRow" fieldPosition="2"/>
    </format>
    <format dxfId="104">
      <pivotArea field="18" type="button" dataOnly="0" labelOnly="1" outline="0" axis="axisRow" fieldPosition="3"/>
    </format>
    <format dxfId="103">
      <pivotArea dataOnly="0" labelOnly="1" outline="0" fieldPosition="0">
        <references count="2">
          <reference field="0" count="1">
            <x v="4"/>
          </reference>
          <reference field="17" count="1" selected="0">
            <x v="0"/>
          </reference>
        </references>
      </pivotArea>
    </format>
    <format dxfId="102">
      <pivotArea dataOnly="0" labelOnly="1" outline="0" fieldPosition="0">
        <references count="2">
          <reference field="0" count="1">
            <x v="2"/>
          </reference>
          <reference field="17" count="1" selected="0">
            <x v="1"/>
          </reference>
        </references>
      </pivotArea>
    </format>
    <format dxfId="101">
      <pivotArea dataOnly="0" labelOnly="1" outline="0" fieldPosition="0">
        <references count="2">
          <reference field="0" count="1">
            <x v="3"/>
          </reference>
          <reference field="17" count="1" selected="0">
            <x v="2"/>
          </reference>
        </references>
      </pivotArea>
    </format>
    <format dxfId="100">
      <pivotArea dataOnly="0" labelOnly="1" outline="0" fieldPosition="0">
        <references count="2">
          <reference field="0" count="1">
            <x v="1"/>
          </reference>
          <reference field="17" count="1" selected="0">
            <x v="3"/>
          </reference>
        </references>
      </pivotArea>
    </format>
    <format dxfId="99">
      <pivotArea dataOnly="0" labelOnly="1" outline="0" fieldPosition="0">
        <references count="2">
          <reference field="0" count="1">
            <x v="0"/>
          </reference>
          <reference field="17" count="1" selected="0">
            <x v="4"/>
          </reference>
        </references>
      </pivotArea>
    </format>
    <format dxfId="98">
      <pivotArea dataOnly="0" labelOnly="1" outline="0" fieldPosition="0">
        <references count="2">
          <reference field="0" count="1">
            <x v="5"/>
          </reference>
          <reference field="17" count="1" selected="0">
            <x v="5"/>
          </reference>
        </references>
      </pivotArea>
    </format>
    <format dxfId="97">
      <pivotArea dataOnly="0" labelOnly="1" outline="0" fieldPosition="0">
        <references count="3">
          <reference field="0" count="1" selected="0">
            <x v="4"/>
          </reference>
          <reference field="16" count="1">
            <x v="5"/>
          </reference>
          <reference field="17" count="1" selected="0">
            <x v="0"/>
          </reference>
        </references>
      </pivotArea>
    </format>
    <format dxfId="96">
      <pivotArea dataOnly="0" labelOnly="1" outline="0" fieldPosition="0">
        <references count="3">
          <reference field="0" count="1" selected="0">
            <x v="2"/>
          </reference>
          <reference field="16" count="1">
            <x v="2"/>
          </reference>
          <reference field="17" count="1" selected="0">
            <x v="1"/>
          </reference>
        </references>
      </pivotArea>
    </format>
    <format dxfId="95">
      <pivotArea dataOnly="0" labelOnly="1" outline="0" fieldPosition="0">
        <references count="3">
          <reference field="0" count="1" selected="0">
            <x v="3"/>
          </reference>
          <reference field="16" count="1">
            <x v="4"/>
          </reference>
          <reference field="17" count="1" selected="0">
            <x v="2"/>
          </reference>
        </references>
      </pivotArea>
    </format>
    <format dxfId="94">
      <pivotArea dataOnly="0" labelOnly="1" outline="0" fieldPosition="0">
        <references count="3">
          <reference field="0" count="1" selected="0">
            <x v="1"/>
          </reference>
          <reference field="16" count="1">
            <x v="3"/>
          </reference>
          <reference field="17" count="1" selected="0">
            <x v="3"/>
          </reference>
        </references>
      </pivotArea>
    </format>
    <format dxfId="93">
      <pivotArea dataOnly="0" labelOnly="1" outline="0" fieldPosition="0">
        <references count="3">
          <reference field="0" count="1" selected="0">
            <x v="0"/>
          </reference>
          <reference field="16" count="1">
            <x v="1"/>
          </reference>
          <reference field="17" count="1" selected="0">
            <x v="4"/>
          </reference>
        </references>
      </pivotArea>
    </format>
    <format dxfId="92">
      <pivotArea dataOnly="0" labelOnly="1" outline="0" fieldPosition="0">
        <references count="3">
          <reference field="0" count="1" selected="0">
            <x v="5"/>
          </reference>
          <reference field="16" count="1">
            <x v="0"/>
          </reference>
          <reference field="17" count="1" selected="0">
            <x v="5"/>
          </reference>
        </references>
      </pivotArea>
    </format>
    <format dxfId="91">
      <pivotArea dataOnly="0" labelOnly="1" outline="0" fieldPosition="0">
        <references count="4">
          <reference field="0" count="1" selected="0">
            <x v="4"/>
          </reference>
          <reference field="16" count="1" selected="0">
            <x v="5"/>
          </reference>
          <reference field="17" count="1" selected="0">
            <x v="0"/>
          </reference>
          <reference field="18" count="1">
            <x v="5"/>
          </reference>
        </references>
      </pivotArea>
    </format>
    <format dxfId="90">
      <pivotArea dataOnly="0" labelOnly="1" outline="0" fieldPosition="0">
        <references count="4">
          <reference field="0" count="1" selected="0">
            <x v="2"/>
          </reference>
          <reference field="16" count="1" selected="0">
            <x v="2"/>
          </reference>
          <reference field="17" count="1" selected="0">
            <x v="1"/>
          </reference>
          <reference field="18" count="1">
            <x v="2"/>
          </reference>
        </references>
      </pivotArea>
    </format>
    <format dxfId="89">
      <pivotArea dataOnly="0" labelOnly="1" outline="0" fieldPosition="0">
        <references count="4">
          <reference field="0" count="1" selected="0">
            <x v="3"/>
          </reference>
          <reference field="16" count="1" selected="0">
            <x v="4"/>
          </reference>
          <reference field="17" count="1" selected="0">
            <x v="2"/>
          </reference>
          <reference field="18" count="1">
            <x v="4"/>
          </reference>
        </references>
      </pivotArea>
    </format>
    <format dxfId="88">
      <pivotArea dataOnly="0" labelOnly="1" outline="0" fieldPosition="0">
        <references count="4">
          <reference field="0" count="1" selected="0">
            <x v="1"/>
          </reference>
          <reference field="16" count="1" selected="0">
            <x v="3"/>
          </reference>
          <reference field="17" count="1" selected="0">
            <x v="3"/>
          </reference>
          <reference field="18" count="1">
            <x v="3"/>
          </reference>
        </references>
      </pivotArea>
    </format>
    <format dxfId="87">
      <pivotArea dataOnly="0" labelOnly="1" outline="0" fieldPosition="0">
        <references count="4">
          <reference field="0" count="1" selected="0">
            <x v="0"/>
          </reference>
          <reference field="16" count="1" selected="0">
            <x v="1"/>
          </reference>
          <reference field="17" count="1" selected="0">
            <x v="4"/>
          </reference>
          <reference field="18" count="1">
            <x v="1"/>
          </reference>
        </references>
      </pivotArea>
    </format>
    <format dxfId="86">
      <pivotArea dataOnly="0" labelOnly="1" outline="0" fieldPosition="0">
        <references count="4">
          <reference field="0" count="1" selected="0">
            <x v="5"/>
          </reference>
          <reference field="16" count="1" selected="0">
            <x v="0"/>
          </reference>
          <reference field="17" count="1" selected="0">
            <x v="5"/>
          </reference>
          <reference field="18" count="1">
            <x v="0"/>
          </reference>
        </references>
      </pivotArea>
    </format>
    <format dxfId="85">
      <pivotArea dataOnly="0" labelOnly="1" outline="0" fieldPosition="0">
        <references count="4">
          <reference field="0" count="1" selected="0">
            <x v="4"/>
          </reference>
          <reference field="16" count="1" selected="0">
            <x v="5"/>
          </reference>
          <reference field="17" count="1" selected="0">
            <x v="0"/>
          </reference>
          <reference field="18" count="1">
            <x v="5"/>
          </reference>
        </references>
      </pivotArea>
    </format>
    <format dxfId="84">
      <pivotArea dataOnly="0" labelOnly="1" outline="0" fieldPosition="0">
        <references count="4">
          <reference field="0" count="1" selected="0">
            <x v="2"/>
          </reference>
          <reference field="16" count="1" selected="0">
            <x v="2"/>
          </reference>
          <reference field="17" count="1" selected="0">
            <x v="1"/>
          </reference>
          <reference field="18" count="1">
            <x v="2"/>
          </reference>
        </references>
      </pivotArea>
    </format>
    <format dxfId="83">
      <pivotArea dataOnly="0" labelOnly="1" outline="0" fieldPosition="0">
        <references count="4">
          <reference field="0" count="1" selected="0">
            <x v="3"/>
          </reference>
          <reference field="16" count="1" selected="0">
            <x v="4"/>
          </reference>
          <reference field="17" count="1" selected="0">
            <x v="2"/>
          </reference>
          <reference field="18" count="1">
            <x v="4"/>
          </reference>
        </references>
      </pivotArea>
    </format>
    <format dxfId="82">
      <pivotArea dataOnly="0" labelOnly="1" outline="0" fieldPosition="0">
        <references count="4">
          <reference field="0" count="1" selected="0">
            <x v="1"/>
          </reference>
          <reference field="16" count="1" selected="0">
            <x v="3"/>
          </reference>
          <reference field="17" count="1" selected="0">
            <x v="3"/>
          </reference>
          <reference field="18" count="1">
            <x v="3"/>
          </reference>
        </references>
      </pivotArea>
    </format>
    <format dxfId="81">
      <pivotArea dataOnly="0" labelOnly="1" outline="0" fieldPosition="0">
        <references count="4">
          <reference field="0" count="1" selected="0">
            <x v="0"/>
          </reference>
          <reference field="16" count="1" selected="0">
            <x v="1"/>
          </reference>
          <reference field="17" count="1" selected="0">
            <x v="4"/>
          </reference>
          <reference field="18" count="1">
            <x v="1"/>
          </reference>
        </references>
      </pivotArea>
    </format>
    <format dxfId="80">
      <pivotArea dataOnly="0" labelOnly="1" outline="0" fieldPosition="0">
        <references count="4">
          <reference field="0" count="1" selected="0">
            <x v="5"/>
          </reference>
          <reference field="16" count="1" selected="0">
            <x v="0"/>
          </reference>
          <reference field="17" count="1" selected="0">
            <x v="5"/>
          </reference>
          <reference field="18" count="1">
            <x v="0"/>
          </reference>
        </references>
      </pivotArea>
    </format>
    <format dxfId="79">
      <pivotArea dataOnly="0" labelOnly="1" outline="0" fieldPosition="0">
        <references count="3">
          <reference field="0" count="1" selected="0">
            <x v="4"/>
          </reference>
          <reference field="16" count="1">
            <x v="5"/>
          </reference>
          <reference field="17" count="1" selected="0">
            <x v="0"/>
          </reference>
        </references>
      </pivotArea>
    </format>
    <format dxfId="78">
      <pivotArea dataOnly="0" labelOnly="1" outline="0" fieldPosition="0">
        <references count="3">
          <reference field="0" count="1" selected="0">
            <x v="2"/>
          </reference>
          <reference field="16" count="1">
            <x v="2"/>
          </reference>
          <reference field="17" count="1" selected="0">
            <x v="1"/>
          </reference>
        </references>
      </pivotArea>
    </format>
    <format dxfId="77">
      <pivotArea dataOnly="0" labelOnly="1" outline="0" fieldPosition="0">
        <references count="3">
          <reference field="0" count="1" selected="0">
            <x v="3"/>
          </reference>
          <reference field="16" count="1">
            <x v="4"/>
          </reference>
          <reference field="17" count="1" selected="0">
            <x v="2"/>
          </reference>
        </references>
      </pivotArea>
    </format>
    <format dxfId="76">
      <pivotArea dataOnly="0" labelOnly="1" outline="0" fieldPosition="0">
        <references count="3">
          <reference field="0" count="1" selected="0">
            <x v="1"/>
          </reference>
          <reference field="16" count="1">
            <x v="3"/>
          </reference>
          <reference field="17" count="1" selected="0">
            <x v="3"/>
          </reference>
        </references>
      </pivotArea>
    </format>
    <format dxfId="75">
      <pivotArea dataOnly="0" labelOnly="1" outline="0" fieldPosition="0">
        <references count="3">
          <reference field="0" count="1" selected="0">
            <x v="0"/>
          </reference>
          <reference field="16" count="1">
            <x v="1"/>
          </reference>
          <reference field="17" count="1" selected="0">
            <x v="4"/>
          </reference>
        </references>
      </pivotArea>
    </format>
    <format dxfId="74">
      <pivotArea dataOnly="0" labelOnly="1" outline="0" fieldPosition="0">
        <references count="3">
          <reference field="0" count="1" selected="0">
            <x v="5"/>
          </reference>
          <reference field="16" count="1">
            <x v="0"/>
          </reference>
          <reference field="17" count="1" selected="0">
            <x v="5"/>
          </reference>
        </references>
      </pivotArea>
    </format>
  </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466DB2-CE8A-C74D-ABA3-E24D7DCE9CB0}" name="Calculated EA Smell Scores" cacheId="35" applyNumberFormats="0" applyBorderFormats="0" applyFontFormats="0" applyPatternFormats="0" applyAlignmentFormats="0" applyWidthHeightFormats="1" dataCaption="Values" updatedVersion="8" minRefreshableVersion="3" showDrill="0" rowGrandTotals="0" createdVersion="8" indent="0" compact="0" compactData="0" multipleFieldFilters="0" fieldListSortAscending="1">
  <location ref="E46:J52" firstHeaderRow="1" firstDataRow="1" firstDataCol="6"/>
  <pivotFields count="24">
    <pivotField axis="axisRow" compact="0" outline="0" showAll="0" sortType="ascending" defaultSubtotal="0">
      <items count="6">
        <item x="0"/>
        <item x="2"/>
        <item x="1"/>
        <item x="3"/>
        <item x="4"/>
        <item x="5"/>
      </items>
    </pivotField>
    <pivotField compact="0" outline="0" showAll="0" defaultSubtotal="0">
      <items count="4">
        <item x="2"/>
        <item x="0"/>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4">
        <item x="3"/>
        <item x="0"/>
        <item x="1"/>
        <item x="2"/>
      </items>
    </pivotField>
    <pivotField axis="axisRow" compact="0" outline="0" showAll="0" defaultSubtotal="0">
      <items count="4">
        <item x="3"/>
        <item x="0"/>
        <item x="1"/>
        <item x="2"/>
      </items>
    </pivotField>
    <pivotField axis="axisRow" compact="0" outline="0" showAll="0" defaultSubtotal="0">
      <items count="4">
        <item x="2"/>
        <item x="0"/>
        <item x="1"/>
        <item x="3"/>
      </items>
    </pivotField>
    <pivotField axis="axisRow" compact="0" outline="0" showAll="0" defaultSubtotal="0">
      <items count="5">
        <item x="2"/>
        <item x="0"/>
        <item x="1"/>
        <item x="3"/>
        <item x="4"/>
      </items>
    </pivotField>
    <pivotField axis="axisRow" compact="0" outline="0" showAll="0" defaultSubtotal="0">
      <items count="4">
        <item x="2"/>
        <item x="0"/>
        <item x="1"/>
        <item x="3"/>
      </items>
    </pivotField>
  </pivotFields>
  <rowFields count="6">
    <field x="0"/>
    <field x="19"/>
    <field x="20"/>
    <field x="21"/>
    <field x="22"/>
    <field x="23"/>
  </rowFields>
  <rowItems count="6">
    <i>
      <x/>
      <x v="1"/>
      <x v="1"/>
      <x v="1"/>
      <x v="1"/>
      <x v="1"/>
    </i>
    <i>
      <x v="1"/>
      <x v="3"/>
      <x v="2"/>
      <x/>
      <x/>
      <x/>
    </i>
    <i>
      <x v="2"/>
      <x v="2"/>
      <x v="2"/>
      <x v="2"/>
      <x v="2"/>
      <x v="2"/>
    </i>
    <i>
      <x v="3"/>
      <x v="1"/>
      <x v="1"/>
      <x v="1"/>
      <x v="1"/>
      <x v="2"/>
    </i>
    <i>
      <x v="4"/>
      <x v="1"/>
      <x v="3"/>
      <x v="2"/>
      <x v="3"/>
      <x v="2"/>
    </i>
    <i>
      <x v="5"/>
      <x/>
      <x/>
      <x v="3"/>
      <x v="4"/>
      <x v="3"/>
    </i>
  </rowItems>
  <colItems count="1">
    <i/>
  </colItems>
  <formats count="29">
    <format dxfId="256">
      <pivotArea field="1" type="button" dataOnly="0" labelOnly="1" outline="0"/>
    </format>
    <format dxfId="255">
      <pivotArea type="all" dataOnly="0" outline="0" fieldPosition="0"/>
    </format>
    <format dxfId="254">
      <pivotArea field="1" type="button" dataOnly="0" labelOnly="1" outline="0"/>
    </format>
    <format dxfId="253">
      <pivotArea field="0" type="button" dataOnly="0" labelOnly="1" outline="0" axis="axisRow" fieldPosition="0"/>
    </format>
    <format dxfId="252">
      <pivotArea dataOnly="0" labelOnly="1" outline="0" fieldPosition="0">
        <references count="1">
          <reference field="0" count="0"/>
        </references>
      </pivotArea>
    </format>
    <format dxfId="251">
      <pivotArea type="all" dataOnly="0" outline="0" fieldPosition="0"/>
    </format>
    <format dxfId="250">
      <pivotArea field="0" type="button" dataOnly="0" labelOnly="1" outline="0" axis="axisRow" fieldPosition="0"/>
    </format>
    <format dxfId="249">
      <pivotArea field="1" type="button" dataOnly="0" labelOnly="1" outline="0"/>
    </format>
    <format dxfId="248">
      <pivotArea dataOnly="0" labelOnly="1" outline="0" fieldPosition="0">
        <references count="1">
          <reference field="0" count="0"/>
        </references>
      </pivotArea>
    </format>
    <format dxfId="247">
      <pivotArea type="all" dataOnly="0" outline="0" fieldPosition="0"/>
    </format>
    <format dxfId="246">
      <pivotArea field="0" type="button" dataOnly="0" labelOnly="1" outline="0" axis="axisRow" fieldPosition="0"/>
    </format>
    <format dxfId="245">
      <pivotArea field="1" type="button" dataOnly="0" labelOnly="1" outline="0"/>
    </format>
    <format dxfId="244">
      <pivotArea dataOnly="0" labelOnly="1" outline="0" fieldPosition="0">
        <references count="1">
          <reference field="0" count="0"/>
        </references>
      </pivotArea>
    </format>
    <format dxfId="243">
      <pivotArea field="0" type="button" dataOnly="0" labelOnly="1" outline="0" axis="axisRow" fieldPosition="0"/>
    </format>
    <format dxfId="242">
      <pivotArea field="19" type="button" dataOnly="0" labelOnly="1" outline="0" axis="axisRow" fieldPosition="1"/>
    </format>
    <format dxfId="241">
      <pivotArea field="23" type="button" dataOnly="0" labelOnly="1" outline="0" axis="axisRow" fieldPosition="5"/>
    </format>
    <format dxfId="240">
      <pivotArea field="21" type="button" dataOnly="0" labelOnly="1" outline="0" axis="axisRow" fieldPosition="3"/>
    </format>
    <format dxfId="239">
      <pivotArea field="21" type="button" dataOnly="0" labelOnly="1" outline="0" axis="axisRow" fieldPosition="3"/>
    </format>
    <format dxfId="238">
      <pivotArea field="23" type="button" dataOnly="0" labelOnly="1" outline="0" axis="axisRow" fieldPosition="5"/>
    </format>
    <format dxfId="237">
      <pivotArea field="0" type="button" dataOnly="0" labelOnly="1" outline="0" axis="axisRow" fieldPosition="0"/>
    </format>
    <format dxfId="236">
      <pivotArea field="20" type="button" dataOnly="0" labelOnly="1" outline="0" axis="axisRow" fieldPosition="2"/>
    </format>
    <format dxfId="235">
      <pivotArea field="0" type="button" dataOnly="0" labelOnly="1" outline="0" axis="axisRow" fieldPosition="0"/>
    </format>
    <format dxfId="234">
      <pivotArea field="19" type="button" dataOnly="0" labelOnly="1" outline="0" axis="axisRow" fieldPosition="1"/>
    </format>
    <format dxfId="233">
      <pivotArea field="20" type="button" dataOnly="0" labelOnly="1" outline="0" axis="axisRow" fieldPosition="2"/>
    </format>
    <format dxfId="232">
      <pivotArea field="21" type="button" dataOnly="0" labelOnly="1" outline="0" axis="axisRow" fieldPosition="3"/>
    </format>
    <format dxfId="231">
      <pivotArea field="22" type="button" dataOnly="0" labelOnly="1" outline="0" axis="axisRow" fieldPosition="4"/>
    </format>
    <format dxfId="230">
      <pivotArea field="23" type="button" dataOnly="0" labelOnly="1" outline="0" axis="axisRow" fieldPosition="5"/>
    </format>
    <format dxfId="229">
      <pivotArea field="19" type="button" dataOnly="0" labelOnly="1" outline="0" axis="axisRow" fieldPosition="1"/>
    </format>
    <format dxfId="228">
      <pivotArea dataOnly="0" labelOnly="1" outline="0" fieldPosition="0">
        <references count="2">
          <reference field="0" count="1" selected="0">
            <x v="5"/>
          </reference>
          <reference field="19" count="1">
            <x v="0"/>
          </reference>
        </references>
      </pivotArea>
    </format>
  </formats>
  <pivotTableStyleInfo name="PivotStyleLight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90B3D3-4633-4A4E-830B-63D3A09A9DA5}" name="Table1" displayName="Table1" ref="E33:H40" totalsRowShown="0" dataDxfId="186">
  <autoFilter ref="E33:H40" xr:uid="{9690B3D3-4633-4A4E-830B-63D3A09A9DA5}"/>
  <tableColumns count="4">
    <tableColumn id="1" xr3:uid="{E3F1AD94-9FB6-4E4E-A464-ECB4BAA1C099}" name="Criterion " dataDxfId="185"/>
    <tableColumn id="2" xr3:uid="{9FF766C9-14C9-0C4A-92B7-043C3AD7AAAA}" name="Subcriterion" dataDxfId="184"/>
    <tableColumn id="3" xr3:uid="{42890C81-B30D-9F47-BF06-C36E918B4D0A}" name="Local Weight" dataDxfId="183"/>
    <tableColumn id="4" xr3:uid="{C246D177-F4D5-9A40-B47E-72BB87EAE919}" name="Global Weight" dataDxfId="18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E2350E-4342-864A-8971-3AE260126369}" name="tblEASmellCatalogue" displayName="tblEASmellCatalogue" ref="B11:I55" totalsRowShown="0" headerRowDxfId="181" dataDxfId="179" headerRowBorderDxfId="180" tableBorderDxfId="178" totalsRowBorderDxfId="177">
  <autoFilter ref="B11:I55" xr:uid="{B1E2350E-4342-864A-8971-3AE260126369}">
    <filterColumn colId="0">
      <filters>
        <filter val="Yes"/>
      </filters>
    </filterColumn>
  </autoFilter>
  <tableColumns count="8">
    <tableColumn id="1" xr3:uid="{9B335AF7-BBE2-7A47-B6CB-44EE0D933B9B}" name="Include" dataDxfId="176"/>
    <tableColumn id="2" xr3:uid="{3CCCE24E-BC7D-E345-B5EF-EE9DC6141CB0}" name="Smell Name" dataDxfId="175"/>
    <tableColumn id="3" xr3:uid="{DBCC1B73-4C85-9A4D-9305-11FAA34208B9}" name="EA Concen" dataDxfId="174"/>
    <tableColumn id="4" xr3:uid="{8D14A18E-B5B6-064D-A80C-3D953074E76B}" name="Architectural Scope" dataDxfId="173"/>
    <tableColumn id="5" xr3:uid="{9FC00B93-26F4-524E-B72A-9F2688B28C14}" name="Description" dataDxfId="172"/>
    <tableColumn id="6" xr3:uid="{E818744A-4637-434E-BD31-2DA0B5A7A264}" name="Context" dataDxfId="171"/>
    <tableColumn id="7" xr3:uid="{FB608EE7-93F4-054F-92D7-19BD0B7E4FB4}" name="Consequences`" dataDxfId="170"/>
    <tableColumn id="8" xr3:uid="{E325C63E-F40A-8446-9CDC-201ADB7030AD}" name="Cause" dataDxfId="16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theme="7"/>
  </sheetPr>
  <dimension ref="A1:M41"/>
  <sheetViews>
    <sheetView showGridLines="0" zoomScaleNormal="100" workbookViewId="0">
      <pane xSplit="1" ySplit="9" topLeftCell="B10" activePane="bottomRight" state="frozen"/>
      <selection pane="topRight" activeCell="B1" sqref="B1"/>
      <selection pane="bottomLeft" activeCell="A10" sqref="A10"/>
      <selection pane="bottomRight" activeCell="D27" sqref="D27"/>
    </sheetView>
  </sheetViews>
  <sheetFormatPr baseColWidth="10" defaultColWidth="8.6640625" defaultRowHeight="15" x14ac:dyDescent="0.2"/>
  <cols>
    <col min="1" max="1" width="3" customWidth="1"/>
    <col min="2" max="2" width="28" customWidth="1"/>
    <col min="3" max="4" width="42" customWidth="1"/>
    <col min="5" max="5" width="22" customWidth="1"/>
    <col min="6" max="6" width="3" customWidth="1"/>
    <col min="12" max="12" width="8.6640625" customWidth="1"/>
  </cols>
  <sheetData>
    <row r="1" spans="1:5" ht="7.5" customHeight="1" thickBot="1" x14ac:dyDescent="0.25"/>
    <row r="2" spans="1:5" ht="48" customHeight="1" x14ac:dyDescent="0.2">
      <c r="A2" s="1"/>
      <c r="B2" s="346" t="s">
        <v>0</v>
      </c>
      <c r="C2" s="347"/>
      <c r="D2" s="347"/>
      <c r="E2" s="348"/>
    </row>
    <row r="3" spans="1:5" ht="7.5" customHeight="1" x14ac:dyDescent="0.2">
      <c r="B3" s="209"/>
      <c r="E3" s="210"/>
    </row>
    <row r="4" spans="1:5" ht="15.75" customHeight="1" x14ac:dyDescent="0.2">
      <c r="B4" s="349" t="s">
        <v>1</v>
      </c>
      <c r="C4" s="350"/>
      <c r="D4" s="350"/>
      <c r="E4" s="351"/>
    </row>
    <row r="5" spans="1:5" ht="21.75" customHeight="1" x14ac:dyDescent="0.2">
      <c r="B5" s="209"/>
      <c r="E5" s="210"/>
    </row>
    <row r="6" spans="1:5" ht="7.5" customHeight="1" x14ac:dyDescent="0.2">
      <c r="B6" s="209"/>
      <c r="E6" s="210"/>
    </row>
    <row r="7" spans="1:5" ht="40" customHeight="1" x14ac:dyDescent="0.2">
      <c r="B7" s="211" t="s">
        <v>2</v>
      </c>
      <c r="C7" s="212" t="s">
        <v>3</v>
      </c>
      <c r="D7" s="212" t="s">
        <v>4</v>
      </c>
      <c r="E7" s="213"/>
    </row>
    <row r="8" spans="1:5" ht="19.5" customHeight="1" x14ac:dyDescent="0.2">
      <c r="B8" s="211" t="s">
        <v>5</v>
      </c>
      <c r="C8" s="25" t="s">
        <v>6</v>
      </c>
      <c r="D8" s="214">
        <v>46252</v>
      </c>
      <c r="E8" s="213"/>
    </row>
    <row r="9" spans="1:5" ht="13.5" customHeight="1" x14ac:dyDescent="0.2">
      <c r="B9" s="209"/>
      <c r="E9" s="210"/>
    </row>
    <row r="10" spans="1:5" ht="7.5" customHeight="1" x14ac:dyDescent="0.2">
      <c r="B10" s="209"/>
      <c r="E10" s="210"/>
    </row>
    <row r="11" spans="1:5" ht="19.5" customHeight="1" x14ac:dyDescent="0.2">
      <c r="B11" s="343" t="s">
        <v>7</v>
      </c>
      <c r="C11" s="344"/>
      <c r="D11" s="344"/>
      <c r="E11" s="345"/>
    </row>
    <row r="12" spans="1:5" ht="13.5" customHeight="1" x14ac:dyDescent="0.2">
      <c r="B12" s="209"/>
      <c r="E12" s="210"/>
    </row>
    <row r="13" spans="1:5" ht="49.5" customHeight="1" x14ac:dyDescent="0.2">
      <c r="B13" s="355" t="s">
        <v>469</v>
      </c>
      <c r="C13" s="356"/>
      <c r="D13" s="356"/>
      <c r="E13" s="357"/>
    </row>
    <row r="14" spans="1:5" ht="15" customHeight="1" x14ac:dyDescent="0.2">
      <c r="B14" s="355"/>
      <c r="C14" s="356"/>
      <c r="D14" s="356"/>
      <c r="E14" s="357"/>
    </row>
    <row r="15" spans="1:5" ht="22" customHeight="1" x14ac:dyDescent="0.2">
      <c r="B15" s="209"/>
      <c r="E15" s="210"/>
    </row>
    <row r="16" spans="1:5" ht="19.5" customHeight="1" x14ac:dyDescent="0.2">
      <c r="B16" s="352" t="s">
        <v>8</v>
      </c>
      <c r="C16" s="353"/>
      <c r="D16" s="353"/>
      <c r="E16" s="354"/>
    </row>
    <row r="17" spans="2:13" ht="19.5" customHeight="1" x14ac:dyDescent="0.2">
      <c r="B17" s="241" t="s">
        <v>10</v>
      </c>
      <c r="C17" s="212" t="s">
        <v>11</v>
      </c>
      <c r="D17" s="212" t="s">
        <v>441</v>
      </c>
      <c r="E17" s="215" t="s">
        <v>12</v>
      </c>
    </row>
    <row r="18" spans="2:13" ht="19.5" customHeight="1" x14ac:dyDescent="0.2">
      <c r="B18" s="216" t="s">
        <v>13</v>
      </c>
      <c r="C18" s="217" t="s">
        <v>442</v>
      </c>
      <c r="D18" s="217" t="s">
        <v>443</v>
      </c>
      <c r="E18" s="223" t="s">
        <v>12</v>
      </c>
    </row>
    <row r="19" spans="2:13" ht="19.5" customHeight="1" x14ac:dyDescent="0.2">
      <c r="B19" s="218" t="s">
        <v>14</v>
      </c>
      <c r="C19" s="212" t="s">
        <v>444</v>
      </c>
      <c r="D19" s="212" t="s">
        <v>445</v>
      </c>
      <c r="E19" s="243" t="s">
        <v>439</v>
      </c>
      <c r="J19" s="49"/>
      <c r="K19" s="49"/>
      <c r="L19" s="49"/>
      <c r="M19" s="49"/>
    </row>
    <row r="20" spans="2:13" ht="18" customHeight="1" x14ac:dyDescent="0.2">
      <c r="B20" s="216" t="s">
        <v>15</v>
      </c>
      <c r="C20" s="217" t="s">
        <v>446</v>
      </c>
      <c r="D20" s="217" t="s">
        <v>447</v>
      </c>
      <c r="E20" s="223" t="s">
        <v>440</v>
      </c>
      <c r="J20" s="49"/>
      <c r="K20" s="49"/>
    </row>
    <row r="21" spans="2:13" ht="18" customHeight="1" x14ac:dyDescent="0.2">
      <c r="B21" s="218" t="s">
        <v>16</v>
      </c>
      <c r="C21" s="212" t="s">
        <v>448</v>
      </c>
      <c r="D21" s="212" t="s">
        <v>449</v>
      </c>
      <c r="E21" s="243" t="s">
        <v>439</v>
      </c>
      <c r="J21" s="49"/>
      <c r="K21" s="49"/>
      <c r="L21" s="49"/>
    </row>
    <row r="22" spans="2:13" ht="18" customHeight="1" x14ac:dyDescent="0.2">
      <c r="B22" s="216" t="s">
        <v>450</v>
      </c>
      <c r="C22" s="217" t="s">
        <v>451</v>
      </c>
      <c r="D22" s="217" t="s">
        <v>452</v>
      </c>
      <c r="E22" s="242" t="s">
        <v>12</v>
      </c>
      <c r="J22" s="49"/>
    </row>
    <row r="23" spans="2:13" ht="18" customHeight="1" x14ac:dyDescent="0.2">
      <c r="B23" s="218"/>
      <c r="C23" s="212"/>
      <c r="D23" s="212"/>
      <c r="E23" s="219"/>
      <c r="J23" s="49"/>
    </row>
    <row r="24" spans="2:13" ht="19.5" customHeight="1" x14ac:dyDescent="0.2">
      <c r="B24" s="343" t="s">
        <v>17</v>
      </c>
      <c r="C24" s="344"/>
      <c r="D24" s="344"/>
      <c r="E24" s="345"/>
      <c r="J24" s="49"/>
    </row>
    <row r="25" spans="2:13" ht="15.75" customHeight="1" x14ac:dyDescent="0.2">
      <c r="B25" s="220" t="s">
        <v>18</v>
      </c>
      <c r="C25" s="221" t="s">
        <v>19</v>
      </c>
      <c r="D25" s="221"/>
      <c r="E25" s="222" t="s">
        <v>9</v>
      </c>
      <c r="J25" s="49"/>
    </row>
    <row r="26" spans="2:13" ht="18" customHeight="1" x14ac:dyDescent="0.2">
      <c r="B26" s="216"/>
      <c r="C26" s="217" t="s">
        <v>471</v>
      </c>
      <c r="D26" s="217" t="s">
        <v>472</v>
      </c>
      <c r="E26" s="242" t="s">
        <v>454</v>
      </c>
    </row>
    <row r="27" spans="2:13" ht="18" customHeight="1" x14ac:dyDescent="0.2">
      <c r="B27" s="218"/>
      <c r="C27" s="212" t="s">
        <v>462</v>
      </c>
      <c r="D27" s="212" t="s">
        <v>453</v>
      </c>
      <c r="E27" s="215" t="s">
        <v>454</v>
      </c>
    </row>
    <row r="28" spans="2:13" ht="18" customHeight="1" x14ac:dyDescent="0.2">
      <c r="B28" s="216"/>
      <c r="C28" s="217" t="s">
        <v>20</v>
      </c>
      <c r="D28" s="217" t="s">
        <v>455</v>
      </c>
      <c r="E28" s="223" t="s">
        <v>456</v>
      </c>
      <c r="J28" s="217"/>
      <c r="K28" s="217"/>
    </row>
    <row r="29" spans="2:13" ht="18" customHeight="1" x14ac:dyDescent="0.2">
      <c r="B29" s="218"/>
      <c r="C29" s="212" t="s">
        <v>457</v>
      </c>
      <c r="D29" s="212" t="s">
        <v>458</v>
      </c>
      <c r="E29" s="219" t="s">
        <v>459</v>
      </c>
    </row>
    <row r="30" spans="2:13" ht="18" customHeight="1" thickBot="1" x14ac:dyDescent="0.25">
      <c r="B30" s="224"/>
      <c r="C30" s="225"/>
      <c r="D30" s="225"/>
      <c r="E30" s="226"/>
    </row>
    <row r="31" spans="2:13" ht="15" customHeight="1" x14ac:dyDescent="0.2">
      <c r="C31" s="49"/>
    </row>
    <row r="32" spans="2:13" ht="15.75" customHeight="1" x14ac:dyDescent="0.2">
      <c r="B32" s="342"/>
      <c r="C32" s="342"/>
      <c r="D32" s="342"/>
      <c r="E32" s="342"/>
    </row>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sheetData>
  <customSheetViews>
    <customSheetView guid="{A1A3B705-A997-C843-8A73-5252E7FC1F87}" showGridLines="0">
      <pane xSplit="1" ySplit="9" topLeftCell="B10" activePane="bottomRight" state="frozen"/>
      <selection pane="bottomRight" activeCell="H35" sqref="H35"/>
      <pageMargins left="0.75" right="0.75" top="1" bottom="1" header="0.511811023622047" footer="0.511811023622047"/>
      <pageSetup paperSize="9" orientation="portrait" horizontalDpi="300" verticalDpi="300"/>
    </customSheetView>
  </customSheetViews>
  <mergeCells count="7">
    <mergeCell ref="B32:E32"/>
    <mergeCell ref="B24:E24"/>
    <mergeCell ref="B2:E2"/>
    <mergeCell ref="B4:E4"/>
    <mergeCell ref="B11:E11"/>
    <mergeCell ref="B16:E16"/>
    <mergeCell ref="B13:E14"/>
  </mergeCells>
  <phoneticPr fontId="30"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446C5-CAB8-1247-AA3F-5677B80EFF88}">
  <sheetPr codeName="Sheet3">
    <tabColor rgb="FFFFC000"/>
  </sheetPr>
  <dimension ref="A1:G16"/>
  <sheetViews>
    <sheetView showGridLines="0" zoomScale="110" zoomScaleNormal="110" workbookViewId="0">
      <pane xSplit="1" ySplit="4" topLeftCell="B6" activePane="bottomRight" state="frozen"/>
      <selection pane="topRight" activeCell="B1" sqref="B1"/>
      <selection pane="bottomLeft" activeCell="A5" sqref="A5"/>
      <selection pane="bottomRight" activeCell="D11" sqref="D11:D15"/>
    </sheetView>
  </sheetViews>
  <sheetFormatPr baseColWidth="10" defaultColWidth="8.6640625" defaultRowHeight="15" x14ac:dyDescent="0.2"/>
  <cols>
    <col min="1" max="3" width="4" customWidth="1"/>
    <col min="4" max="5" width="25.83203125" customWidth="1"/>
    <col min="6" max="7" width="50.83203125" customWidth="1"/>
  </cols>
  <sheetData>
    <row r="1" spans="1:7" ht="7.5" customHeight="1" x14ac:dyDescent="0.2"/>
    <row r="2" spans="1:7" ht="31.5" customHeight="1" x14ac:dyDescent="0.2">
      <c r="A2" s="1"/>
      <c r="B2" s="1"/>
      <c r="C2" s="1"/>
      <c r="D2" s="7" t="s">
        <v>95</v>
      </c>
      <c r="E2" s="7"/>
      <c r="F2" s="7"/>
      <c r="G2" s="7"/>
    </row>
    <row r="4" spans="1:7" ht="7.5" customHeight="1" x14ac:dyDescent="0.2"/>
    <row r="5" spans="1:7" ht="19.5" customHeight="1" x14ac:dyDescent="0.2">
      <c r="D5" s="8" t="s">
        <v>96</v>
      </c>
      <c r="E5" s="8"/>
      <c r="F5" s="8"/>
      <c r="G5" s="8"/>
    </row>
    <row r="6" spans="1:7" ht="350" customHeight="1" x14ac:dyDescent="0.2">
      <c r="D6" s="358" t="e" vm="1">
        <v>#VALUE!</v>
      </c>
      <c r="E6" s="358"/>
      <c r="F6" s="358"/>
      <c r="G6" s="358"/>
    </row>
    <row r="7" spans="1:7" ht="350" customHeight="1" x14ac:dyDescent="0.2">
      <c r="D7" s="358"/>
      <c r="E7" s="358"/>
      <c r="F7" s="358"/>
      <c r="G7" s="358"/>
    </row>
    <row r="8" spans="1:7" ht="7.5" customHeight="1" x14ac:dyDescent="0.2"/>
    <row r="9" spans="1:7" ht="19.5" customHeight="1" x14ac:dyDescent="0.2">
      <c r="C9" s="360" t="s">
        <v>97</v>
      </c>
      <c r="D9" s="360"/>
      <c r="E9" s="360"/>
      <c r="F9" s="360"/>
      <c r="G9" s="360"/>
    </row>
    <row r="10" spans="1:7" ht="18" customHeight="1" x14ac:dyDescent="0.2">
      <c r="C10" s="2" t="s">
        <v>98</v>
      </c>
      <c r="D10" s="2" t="s">
        <v>99</v>
      </c>
      <c r="E10" s="2" t="s">
        <v>100</v>
      </c>
      <c r="F10" s="2" t="s">
        <v>101</v>
      </c>
      <c r="G10" s="2" t="s">
        <v>102</v>
      </c>
    </row>
    <row r="11" spans="1:7" ht="50" customHeight="1" x14ac:dyDescent="0.2">
      <c r="C11" s="299" t="s">
        <v>103</v>
      </c>
      <c r="D11" s="299" t="s">
        <v>59</v>
      </c>
      <c r="E11" s="3" t="s">
        <v>104</v>
      </c>
      <c r="F11" s="4" t="s">
        <v>105</v>
      </c>
      <c r="G11" s="4" t="s">
        <v>106</v>
      </c>
    </row>
    <row r="12" spans="1:7" ht="50" customHeight="1" x14ac:dyDescent="0.2">
      <c r="C12" s="300" t="s">
        <v>107</v>
      </c>
      <c r="D12" s="300" t="s">
        <v>65</v>
      </c>
      <c r="E12" s="5" t="s">
        <v>108</v>
      </c>
      <c r="F12" s="6" t="s">
        <v>109</v>
      </c>
      <c r="G12" s="6" t="s">
        <v>110</v>
      </c>
    </row>
    <row r="13" spans="1:7" ht="50" customHeight="1" x14ac:dyDescent="0.2">
      <c r="C13" s="299" t="s">
        <v>111</v>
      </c>
      <c r="D13" s="299" t="s">
        <v>47</v>
      </c>
      <c r="E13" s="3" t="s">
        <v>108</v>
      </c>
      <c r="F13" s="4" t="s">
        <v>112</v>
      </c>
      <c r="G13" s="4" t="s">
        <v>113</v>
      </c>
    </row>
    <row r="14" spans="1:7" ht="50" customHeight="1" x14ac:dyDescent="0.2">
      <c r="C14" s="300" t="s">
        <v>114</v>
      </c>
      <c r="D14" s="300" t="s">
        <v>72</v>
      </c>
      <c r="E14" s="5" t="s">
        <v>104</v>
      </c>
      <c r="F14" s="6" t="s">
        <v>115</v>
      </c>
      <c r="G14" s="6" t="s">
        <v>116</v>
      </c>
    </row>
    <row r="15" spans="1:7" ht="50" customHeight="1" x14ac:dyDescent="0.2">
      <c r="C15" s="299" t="s">
        <v>117</v>
      </c>
      <c r="D15" s="299" t="s">
        <v>91</v>
      </c>
      <c r="E15" s="3" t="s">
        <v>118</v>
      </c>
      <c r="F15" s="4" t="s">
        <v>119</v>
      </c>
      <c r="G15" s="4" t="s">
        <v>120</v>
      </c>
    </row>
    <row r="16" spans="1:7" ht="13.5" customHeight="1" x14ac:dyDescent="0.2">
      <c r="D16" s="359"/>
      <c r="E16" s="359"/>
      <c r="F16" s="359"/>
    </row>
  </sheetData>
  <customSheetViews>
    <customSheetView guid="{A1A3B705-A997-C843-8A73-5252E7FC1F87}" scale="82" showGridLines="0">
      <pane xSplit="1" ySplit="4" topLeftCell="B5" activePane="bottomRight" state="frozen"/>
      <selection pane="bottomRight" activeCell="K7" sqref="K7"/>
      <pageMargins left="0.75" right="0.75" top="1" bottom="1" header="0.511811023622047" footer="0.511811023622047"/>
      <pageSetup paperSize="9" orientation="portrait" horizontalDpi="300" verticalDpi="300"/>
    </customSheetView>
  </customSheetViews>
  <mergeCells count="3">
    <mergeCell ref="D6:G7"/>
    <mergeCell ref="D16:F16"/>
    <mergeCell ref="C9:G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C21DA-1002-A347-8A45-593EF876E1E5}">
  <sheetPr codeName="Sheet6">
    <tabColor rgb="FFFFC000"/>
  </sheetPr>
  <dimension ref="A1:H11"/>
  <sheetViews>
    <sheetView showGridLines="0" zoomScale="70" zoomScaleNormal="70" workbookViewId="0">
      <pane xSplit="1" ySplit="2" topLeftCell="B3" activePane="bottomRight" state="frozen"/>
      <selection pane="topRight" activeCell="B1" sqref="B1"/>
      <selection pane="bottomLeft" activeCell="A3" sqref="A3"/>
      <selection pane="bottomRight" activeCell="N26" sqref="N26"/>
    </sheetView>
  </sheetViews>
  <sheetFormatPr baseColWidth="10" defaultColWidth="8.6640625" defaultRowHeight="15" x14ac:dyDescent="0.2"/>
  <cols>
    <col min="1" max="1" width="3" customWidth="1"/>
    <col min="2" max="8" width="30.83203125" customWidth="1"/>
  </cols>
  <sheetData>
    <row r="1" spans="1:8" ht="7.5" customHeight="1" x14ac:dyDescent="0.2"/>
    <row r="2" spans="1:8" ht="48" customHeight="1" x14ac:dyDescent="0.2">
      <c r="A2" s="1"/>
      <c r="B2" s="361" t="s">
        <v>239</v>
      </c>
      <c r="C2" s="362"/>
      <c r="D2" s="362"/>
      <c r="E2" s="362"/>
      <c r="F2" s="362"/>
      <c r="G2" s="362"/>
      <c r="H2" s="362"/>
    </row>
    <row r="3" spans="1:8" ht="15" customHeight="1" x14ac:dyDescent="0.2"/>
    <row r="4" spans="1:8" ht="15" customHeight="1" x14ac:dyDescent="0.2"/>
    <row r="5" spans="1:8" ht="15" customHeight="1" x14ac:dyDescent="0.2"/>
    <row r="6" spans="1:8" ht="15" customHeight="1" x14ac:dyDescent="0.2"/>
    <row r="7" spans="1:8" ht="15" customHeight="1" x14ac:dyDescent="0.2"/>
    <row r="8" spans="1:8" ht="15" customHeight="1" x14ac:dyDescent="0.2"/>
    <row r="9" spans="1:8" ht="15" customHeight="1" x14ac:dyDescent="0.2"/>
    <row r="10" spans="1:8" ht="15" customHeight="1" x14ac:dyDescent="0.2"/>
    <row r="11" spans="1:8" ht="15" customHeight="1" x14ac:dyDescent="0.2"/>
  </sheetData>
  <customSheetViews>
    <customSheetView guid="{A1A3B705-A997-C843-8A73-5252E7FC1F87}" showGridLines="0">
      <pane xSplit="1" ySplit="2" topLeftCell="B3" activePane="bottomRight" state="frozen"/>
      <selection pane="bottomRight" activeCell="J30" sqref="J30"/>
      <pageMargins left="0.75" right="0.75" top="1" bottom="1" header="0.511811023622047" footer="0.511811023622047"/>
      <pageSetup paperSize="9" orientation="portrait" horizontalDpi="300" verticalDpi="300"/>
    </customSheetView>
  </customSheetViews>
  <mergeCells count="1">
    <mergeCell ref="B2:H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tabColor theme="8" tint="0.39997558519241921"/>
  </sheetPr>
  <dimension ref="A1:J32"/>
  <sheetViews>
    <sheetView showGridLines="0" zoomScale="90" zoomScaleNormal="90" workbookViewId="0">
      <pane ySplit="7" topLeftCell="A8" activePane="bottomLeft" state="frozen"/>
      <selection pane="bottomLeft" activeCell="J31" sqref="J31"/>
    </sheetView>
  </sheetViews>
  <sheetFormatPr baseColWidth="10" defaultColWidth="8.6640625" defaultRowHeight="15" x14ac:dyDescent="0.2"/>
  <cols>
    <col min="1" max="1" width="2" customWidth="1"/>
    <col min="2" max="2" width="5" customWidth="1"/>
    <col min="3" max="3" width="42" customWidth="1"/>
    <col min="4" max="4" width="20.83203125" style="43" customWidth="1"/>
    <col min="5" max="5" width="5" customWidth="1"/>
    <col min="6" max="7" width="20.83203125" customWidth="1"/>
    <col min="8" max="8" width="13" style="51" customWidth="1"/>
    <col min="9" max="9" width="3.83203125" customWidth="1"/>
  </cols>
  <sheetData>
    <row r="1" spans="1:10" ht="7.5" customHeight="1" x14ac:dyDescent="0.2"/>
    <row r="2" spans="1:10" ht="36" customHeight="1" x14ac:dyDescent="0.2">
      <c r="A2" s="1"/>
      <c r="B2" s="366" t="s">
        <v>121</v>
      </c>
      <c r="C2" s="366"/>
      <c r="D2" s="366"/>
      <c r="E2" s="366"/>
      <c r="F2" s="366"/>
      <c r="G2" s="366"/>
      <c r="H2" s="366"/>
    </row>
    <row r="3" spans="1:10" ht="7.5" customHeight="1" x14ac:dyDescent="0.2"/>
    <row r="4" spans="1:10" ht="48" customHeight="1" x14ac:dyDescent="0.2">
      <c r="B4" s="367" t="s">
        <v>258</v>
      </c>
      <c r="C4" s="367"/>
      <c r="D4" s="367"/>
      <c r="E4" s="367"/>
      <c r="F4" s="367"/>
      <c r="G4" s="367"/>
      <c r="H4" s="367"/>
    </row>
    <row r="5" spans="1:10" ht="7.5" customHeight="1" x14ac:dyDescent="0.2"/>
    <row r="6" spans="1:10" s="11" customFormat="1" ht="25" customHeight="1" x14ac:dyDescent="0.2">
      <c r="B6" s="301" t="s">
        <v>122</v>
      </c>
      <c r="C6" s="301" t="s">
        <v>123</v>
      </c>
      <c r="D6" s="302" t="s">
        <v>124</v>
      </c>
      <c r="E6" s="301"/>
      <c r="F6" s="301" t="s">
        <v>125</v>
      </c>
      <c r="G6" s="303" t="s">
        <v>256</v>
      </c>
      <c r="H6" s="303" t="s">
        <v>255</v>
      </c>
    </row>
    <row r="7" spans="1:10" ht="6" customHeight="1" x14ac:dyDescent="0.2"/>
    <row r="8" spans="1:10" ht="18" customHeight="1" x14ac:dyDescent="0.2">
      <c r="A8" s="1"/>
      <c r="B8" s="368" t="s">
        <v>126</v>
      </c>
      <c r="C8" s="369"/>
      <c r="D8" s="369"/>
      <c r="E8" s="369"/>
      <c r="F8" s="369"/>
      <c r="G8" s="369"/>
      <c r="H8" s="369"/>
    </row>
    <row r="9" spans="1:10" ht="51.75" customHeight="1" x14ac:dyDescent="0.2">
      <c r="B9" s="301" t="s">
        <v>127</v>
      </c>
      <c r="C9" s="12" t="s">
        <v>128</v>
      </c>
      <c r="D9" s="55" t="s">
        <v>129</v>
      </c>
      <c r="E9" s="13" t="s">
        <v>130</v>
      </c>
      <c r="F9" s="14" t="s">
        <v>131</v>
      </c>
      <c r="G9" s="10" t="s">
        <v>253</v>
      </c>
      <c r="H9" s="52">
        <f>IFERROR(_xlfn.XLOOKUP($G9,'AHP Saaty Reference'!$H$8:$H$24,'AHP Saaty Reference'!$I$8:$I$24),"")</f>
        <v>1</v>
      </c>
    </row>
    <row r="10" spans="1:10" ht="6" customHeight="1" x14ac:dyDescent="0.2"/>
    <row r="11" spans="1:10" ht="18" customHeight="1" x14ac:dyDescent="0.2">
      <c r="A11" s="1"/>
      <c r="B11" s="368" t="s">
        <v>133</v>
      </c>
      <c r="C11" s="369"/>
      <c r="D11" s="369"/>
      <c r="E11" s="369"/>
      <c r="F11" s="369"/>
      <c r="G11" s="369"/>
      <c r="H11" s="369"/>
    </row>
    <row r="12" spans="1:10" ht="51.75" customHeight="1" x14ac:dyDescent="0.2">
      <c r="B12" s="301" t="s">
        <v>134</v>
      </c>
      <c r="C12" s="12" t="s">
        <v>135</v>
      </c>
      <c r="D12" s="55" t="s">
        <v>136</v>
      </c>
      <c r="E12" s="13" t="s">
        <v>130</v>
      </c>
      <c r="F12" s="14" t="s">
        <v>137</v>
      </c>
      <c r="G12" s="10" t="s">
        <v>253</v>
      </c>
      <c r="H12" s="52">
        <f>IFERROR(_xlfn.XLOOKUP($G12,'AHP Saaty Reference'!$H$8:$H$24,'AHP Saaty Reference'!$I$8:$I$24),"")</f>
        <v>1</v>
      </c>
    </row>
    <row r="13" spans="1:10" ht="6" customHeight="1" x14ac:dyDescent="0.2"/>
    <row r="14" spans="1:10" ht="18" customHeight="1" x14ac:dyDescent="0.2">
      <c r="A14" s="1"/>
      <c r="B14" s="368" t="s">
        <v>139</v>
      </c>
      <c r="C14" s="369"/>
      <c r="D14" s="369"/>
      <c r="E14" s="369"/>
      <c r="F14" s="369"/>
      <c r="G14" s="369"/>
      <c r="H14" s="369"/>
    </row>
    <row r="15" spans="1:10" ht="51.75" customHeight="1" x14ac:dyDescent="0.2">
      <c r="B15" s="301" t="s">
        <v>140</v>
      </c>
      <c r="C15" s="12" t="s">
        <v>141</v>
      </c>
      <c r="D15" s="55" t="s">
        <v>142</v>
      </c>
      <c r="E15" s="13" t="s">
        <v>130</v>
      </c>
      <c r="F15" s="14" t="s">
        <v>143</v>
      </c>
      <c r="G15" s="10" t="s">
        <v>253</v>
      </c>
      <c r="H15" s="52">
        <f>IFERROR(_xlfn.XLOOKUP($G15,'AHP Saaty Reference'!$H$8:$H$24,'AHP Saaty Reference'!$I$8:$I$24),"")</f>
        <v>1</v>
      </c>
      <c r="J15" s="15"/>
    </row>
    <row r="16" spans="1:10" ht="51.75" customHeight="1" x14ac:dyDescent="0.2">
      <c r="B16" s="301" t="s">
        <v>144</v>
      </c>
      <c r="C16" s="12" t="s">
        <v>141</v>
      </c>
      <c r="D16" s="55" t="s">
        <v>142</v>
      </c>
      <c r="E16" s="13" t="s">
        <v>130</v>
      </c>
      <c r="F16" s="14" t="s">
        <v>145</v>
      </c>
      <c r="G16" s="10" t="s">
        <v>253</v>
      </c>
      <c r="H16" s="52">
        <f>IFERROR(_xlfn.XLOOKUP($G16,'AHP Saaty Reference'!$H$8:$H$24,'AHP Saaty Reference'!$I$8:$I$24),"")</f>
        <v>1</v>
      </c>
    </row>
    <row r="17" spans="1:9" ht="51.75" customHeight="1" x14ac:dyDescent="0.2">
      <c r="B17" s="301" t="s">
        <v>146</v>
      </c>
      <c r="C17" s="12" t="s">
        <v>141</v>
      </c>
      <c r="D17" s="55" t="s">
        <v>143</v>
      </c>
      <c r="E17" s="13" t="s">
        <v>130</v>
      </c>
      <c r="F17" s="14" t="s">
        <v>145</v>
      </c>
      <c r="G17" s="10" t="s">
        <v>253</v>
      </c>
      <c r="H17" s="52">
        <f>IFERROR(_xlfn.XLOOKUP($G17,'AHP Saaty Reference'!$H$8:$H$24,'AHP Saaty Reference'!$I$8:$I$24),"")</f>
        <v>1</v>
      </c>
    </row>
    <row r="18" spans="1:9" ht="7.5" customHeight="1" x14ac:dyDescent="0.2"/>
    <row r="19" spans="1:9" ht="36" customHeight="1" x14ac:dyDescent="0.2">
      <c r="A19" s="1"/>
      <c r="B19" s="366" t="s">
        <v>147</v>
      </c>
      <c r="C19" s="366"/>
      <c r="D19" s="366"/>
      <c r="E19" s="366"/>
      <c r="F19" s="366"/>
      <c r="G19" s="366"/>
      <c r="H19" s="366"/>
    </row>
    <row r="20" spans="1:9" ht="7.5" customHeight="1" x14ac:dyDescent="0.2">
      <c r="B20" s="16"/>
      <c r="C20" s="16"/>
      <c r="D20" s="16"/>
      <c r="E20" s="16"/>
      <c r="F20" s="16"/>
      <c r="G20" s="16"/>
      <c r="H20" s="53"/>
    </row>
    <row r="21" spans="1:9" ht="51.75" customHeight="1" x14ac:dyDescent="0.2">
      <c r="C21" s="364" t="s">
        <v>257</v>
      </c>
      <c r="D21" s="365"/>
      <c r="E21" s="365"/>
      <c r="F21" s="363" t="str">
        <f>IFERROR(
IF('1.7 AHP Calculations'!C52&lt;=0.1,
"Acceptable"&amp;CHAR(10)&amp;
"CR = "&amp;TEXT('1.7 AHP Calculations'!C52,"0.000"),
"Not Acceptable – Revise judgments"&amp;CHAR(10)&amp;
"CR = "&amp;TEXT('1.7 AHP Calculations'!C52,"0.000")),
"Awaiting judgment inputs")</f>
        <v>Acceptable
CR = 0.000</v>
      </c>
      <c r="G21" s="363"/>
      <c r="H21" s="363"/>
      <c r="I21" s="54"/>
    </row>
    <row r="23" spans="1:9" ht="36" customHeight="1" x14ac:dyDescent="0.2">
      <c r="A23" s="1"/>
      <c r="B23" s="366" t="s">
        <v>467</v>
      </c>
      <c r="C23" s="366"/>
      <c r="D23" s="366"/>
      <c r="E23" s="366"/>
      <c r="F23" s="366"/>
      <c r="G23" s="366"/>
      <c r="H23" s="366"/>
    </row>
    <row r="24" spans="1:9" ht="15" customHeight="1" x14ac:dyDescent="0.2">
      <c r="B24" s="244"/>
      <c r="C24" s="244"/>
      <c r="D24" s="16"/>
      <c r="E24" s="244"/>
      <c r="F24" s="244"/>
      <c r="G24" s="244"/>
      <c r="H24" s="244"/>
    </row>
    <row r="25" spans="1:9" ht="17" x14ac:dyDescent="0.2">
      <c r="C25" s="247" t="s">
        <v>407</v>
      </c>
      <c r="D25" s="373" t="s">
        <v>204</v>
      </c>
      <c r="E25" s="373"/>
      <c r="F25" s="248" t="s">
        <v>465</v>
      </c>
      <c r="G25" s="248" t="s">
        <v>466</v>
      </c>
      <c r="H25"/>
      <c r="I25" s="51"/>
    </row>
    <row r="26" spans="1:9" ht="19" customHeight="1" x14ac:dyDescent="0.2">
      <c r="C26" s="246" t="s">
        <v>132</v>
      </c>
      <c r="D26" s="374"/>
      <c r="E26" s="374"/>
      <c r="F26" s="249">
        <f>'1.7 AHP Calculations'!$F$18</f>
        <v>0.5</v>
      </c>
      <c r="G26" s="249">
        <f>'1.2 Weights'!$F26</f>
        <v>0.5</v>
      </c>
      <c r="H26"/>
      <c r="I26" s="51"/>
    </row>
    <row r="27" spans="1:9" ht="19" customHeight="1" x14ac:dyDescent="0.2">
      <c r="C27" s="245"/>
      <c r="D27" s="370" t="s">
        <v>37</v>
      </c>
      <c r="E27" s="370"/>
      <c r="F27" s="249">
        <f>'1.7 AHP Calculations'!$D$60</f>
        <v>0.5</v>
      </c>
      <c r="G27" s="249">
        <f>F27*$F$26</f>
        <v>0.25</v>
      </c>
      <c r="H27"/>
      <c r="I27" s="51"/>
    </row>
    <row r="28" spans="1:9" ht="38" customHeight="1" x14ac:dyDescent="0.2">
      <c r="C28" s="250"/>
      <c r="D28" s="370" t="s">
        <v>138</v>
      </c>
      <c r="E28" s="370"/>
      <c r="F28" s="249">
        <f>'1.7 AHP Calculations'!$D$61</f>
        <v>0.5</v>
      </c>
      <c r="G28" s="249">
        <f>F28*$F$26</f>
        <v>0.25</v>
      </c>
      <c r="H28"/>
      <c r="I28" s="51"/>
    </row>
    <row r="29" spans="1:9" ht="19" customHeight="1" x14ac:dyDescent="0.2">
      <c r="C29" s="246" t="s">
        <v>94</v>
      </c>
      <c r="D29" s="371"/>
      <c r="E29" s="372"/>
      <c r="F29" s="249">
        <f>'1.7 AHP Calculations'!$F$19</f>
        <v>0.5</v>
      </c>
      <c r="G29" s="249">
        <f>'1.2 Weights'!$F29</f>
        <v>0.5</v>
      </c>
      <c r="H29"/>
      <c r="I29" s="51"/>
    </row>
    <row r="30" spans="1:9" ht="38" customHeight="1" x14ac:dyDescent="0.2">
      <c r="C30" s="245"/>
      <c r="D30" s="370" t="s">
        <v>205</v>
      </c>
      <c r="E30" s="370"/>
      <c r="F30" s="249">
        <f>'1.7 AHP Calculations'!$D$62</f>
        <v>0.33333333333333331</v>
      </c>
      <c r="G30" s="249">
        <f>F30*$F$29</f>
        <v>0.16666666666666666</v>
      </c>
      <c r="H30"/>
      <c r="I30" s="51"/>
    </row>
    <row r="31" spans="1:9" ht="57" customHeight="1" x14ac:dyDescent="0.2">
      <c r="C31" s="245"/>
      <c r="D31" s="370" t="s">
        <v>399</v>
      </c>
      <c r="E31" s="370"/>
      <c r="F31" s="249">
        <f>'1.7 AHP Calculations'!$D$63</f>
        <v>0.33333333333333331</v>
      </c>
      <c r="G31" s="249">
        <f t="shared" ref="G31:G32" si="0">F31*$F$29</f>
        <v>0.16666666666666666</v>
      </c>
      <c r="H31"/>
      <c r="I31" s="51"/>
    </row>
    <row r="32" spans="1:9" ht="39" customHeight="1" x14ac:dyDescent="0.2">
      <c r="C32" s="250"/>
      <c r="D32" s="370" t="s">
        <v>295</v>
      </c>
      <c r="E32" s="370"/>
      <c r="F32" s="249">
        <f>'1.7 AHP Calculations'!$D$64</f>
        <v>0.33333333333333331</v>
      </c>
      <c r="G32" s="249">
        <f t="shared" si="0"/>
        <v>0.16666666666666666</v>
      </c>
      <c r="H32"/>
      <c r="I32" s="51"/>
    </row>
  </sheetData>
  <customSheetViews>
    <customSheetView guid="{A1A3B705-A997-C843-8A73-5252E7FC1F87}" scale="90" showGridLines="0" hiddenColumns="1">
      <pane ySplit="10" topLeftCell="A11" activePane="bottomLeft" state="frozen"/>
      <selection pane="bottomLeft" activeCell="B4" sqref="B4:I4"/>
      <pageMargins left="0.75" right="0.75" top="1" bottom="1" header="0.511811023622047" footer="0.511811023622047"/>
      <pageSetup paperSize="9" orientation="portrait" horizontalDpi="300" verticalDpi="300"/>
    </customSheetView>
  </customSheetViews>
  <mergeCells count="17">
    <mergeCell ref="D31:E31"/>
    <mergeCell ref="D32:E32"/>
    <mergeCell ref="D29:E29"/>
    <mergeCell ref="D25:E25"/>
    <mergeCell ref="D26:E26"/>
    <mergeCell ref="D27:E27"/>
    <mergeCell ref="D28:E28"/>
    <mergeCell ref="D30:E30"/>
    <mergeCell ref="F21:H21"/>
    <mergeCell ref="C21:E21"/>
    <mergeCell ref="B23:H23"/>
    <mergeCell ref="B19:H19"/>
    <mergeCell ref="B2:H2"/>
    <mergeCell ref="B4:H4"/>
    <mergeCell ref="B8:H8"/>
    <mergeCell ref="B11:H11"/>
    <mergeCell ref="B14:H14"/>
  </mergeCells>
  <conditionalFormatting sqref="F21 I21">
    <cfRule type="containsText" dxfId="168" priority="13" operator="containsText" text="Not Acceptable">
      <formula>NOT(ISERROR(SEARCH("Not Acceptable",F21)))</formula>
    </cfRule>
    <cfRule type="containsText" dxfId="167" priority="14" stopIfTrue="1" operator="containsText" text="Awaiting judgment input">
      <formula>NOT(ISERROR(SEARCH("Awaiting judgment input",F21)))</formula>
    </cfRule>
    <cfRule type="containsText" dxfId="166" priority="28" operator="containsText" text="Acceptable">
      <formula>NOT(ISERROR(SEARCH("Acceptable",F21)))</formula>
    </cfRule>
  </conditionalFormatting>
  <conditionalFormatting sqref="G9">
    <cfRule type="expression" dxfId="165" priority="3">
      <formula>$G$9="~ Select option ~"</formula>
    </cfRule>
  </conditionalFormatting>
  <conditionalFormatting sqref="G12">
    <cfRule type="expression" dxfId="164" priority="2" stopIfTrue="1">
      <formula>$G$12="~ Select option ~"</formula>
    </cfRule>
  </conditionalFormatting>
  <conditionalFormatting sqref="G15:G17">
    <cfRule type="expression" dxfId="163" priority="1" stopIfTrue="1">
      <formula>$G$12="~ Select option ~"</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Invalid entry" error="Please select a value from the list._x000a__x000a_" xr:uid="{6D5D94DB-B8C7-B749-88E1-CD6B9B53A1EC}">
          <x14:formula1>
            <xm:f>'AHP Saaty Reference'!$H$8:$H$24</xm:f>
          </x14:formula1>
          <xm:sqref>G15:G17 G12 G9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86A4-DB05-5D45-AC9D-4CD8B43380C1}">
  <sheetPr codeName="Sheet8">
    <tabColor theme="8" tint="0.39997558519241921"/>
  </sheetPr>
  <dimension ref="A1:W152"/>
  <sheetViews>
    <sheetView showGridLines="0" zoomScale="75" zoomScaleNormal="106" workbookViewId="0">
      <pane ySplit="9" topLeftCell="A82" activePane="bottomLeft" state="frozen"/>
      <selection activeCell="K36" sqref="K36"/>
      <selection pane="bottomLeft" activeCell="M100" sqref="M100"/>
    </sheetView>
  </sheetViews>
  <sheetFormatPr baseColWidth="10" defaultColWidth="8.6640625" defaultRowHeight="15" outlineLevelRow="2" outlineLevelCol="1" x14ac:dyDescent="0.2"/>
  <cols>
    <col min="1" max="1" width="2.33203125" customWidth="1"/>
    <col min="2" max="2" width="5.33203125" customWidth="1"/>
    <col min="3" max="3" width="20" customWidth="1"/>
    <col min="4" max="4" width="5" customWidth="1"/>
    <col min="5" max="5" width="20" customWidth="1"/>
    <col min="6" max="6" width="30.83203125" style="43" customWidth="1"/>
    <col min="7" max="7" width="13" style="51" customWidth="1"/>
    <col min="8" max="8" width="30.83203125" style="43" customWidth="1"/>
    <col min="9" max="9" width="8.83203125" customWidth="1"/>
    <col min="10" max="10" width="14.83203125" customWidth="1"/>
    <col min="11" max="11" width="8.33203125" customWidth="1" outlineLevel="1"/>
    <col min="12" max="12" width="15.83203125" style="43" customWidth="1" outlineLevel="1"/>
    <col min="13" max="14" width="65.83203125" style="58" customWidth="1" outlineLevel="1"/>
    <col min="20" max="22" width="0" hidden="1" customWidth="1" outlineLevel="1"/>
    <col min="23" max="23" width="8.6640625" collapsed="1"/>
  </cols>
  <sheetData>
    <row r="1" spans="1:22" ht="7.5" customHeight="1" x14ac:dyDescent="0.2"/>
    <row r="2" spans="1:22" ht="36" customHeight="1" x14ac:dyDescent="0.2">
      <c r="A2" s="1"/>
      <c r="B2" s="366" t="s">
        <v>468</v>
      </c>
      <c r="C2" s="366"/>
      <c r="D2" s="366"/>
      <c r="E2" s="366"/>
      <c r="F2" s="366"/>
      <c r="G2" s="366"/>
      <c r="H2" s="366"/>
    </row>
    <row r="3" spans="1:22" ht="7.5" customHeight="1" x14ac:dyDescent="0.2"/>
    <row r="4" spans="1:22" ht="48" customHeight="1" x14ac:dyDescent="0.2">
      <c r="B4" s="367" t="s">
        <v>460</v>
      </c>
      <c r="C4" s="367"/>
      <c r="D4" s="367"/>
      <c r="E4" s="367"/>
      <c r="F4" s="367"/>
      <c r="G4" s="367"/>
      <c r="H4" s="367"/>
    </row>
    <row r="5" spans="1:22" ht="12" customHeight="1" x14ac:dyDescent="0.2"/>
    <row r="6" spans="1:22" ht="5" customHeight="1" x14ac:dyDescent="0.2"/>
    <row r="7" spans="1:22" ht="7.5" customHeight="1" x14ac:dyDescent="0.2"/>
    <row r="8" spans="1:22" s="11" customFormat="1" ht="39" customHeight="1" x14ac:dyDescent="0.2">
      <c r="B8" s="301" t="s">
        <v>266</v>
      </c>
      <c r="C8" s="301" t="s">
        <v>124</v>
      </c>
      <c r="D8" s="301"/>
      <c r="E8" s="301" t="s">
        <v>125</v>
      </c>
      <c r="F8" s="301" t="s">
        <v>256</v>
      </c>
      <c r="G8" s="301" t="s">
        <v>255</v>
      </c>
      <c r="H8" s="301" t="s">
        <v>337</v>
      </c>
      <c r="J8" s="166" t="s">
        <v>261</v>
      </c>
      <c r="K8" s="165" t="s">
        <v>160</v>
      </c>
      <c r="L8" s="165" t="s">
        <v>19</v>
      </c>
      <c r="M8" s="165" t="s">
        <v>161</v>
      </c>
      <c r="N8" s="165" t="s">
        <v>162</v>
      </c>
      <c r="S8" s="166" t="s">
        <v>435</v>
      </c>
    </row>
    <row r="9" spans="1:22" ht="6" customHeight="1" x14ac:dyDescent="0.2"/>
    <row r="10" spans="1:22" ht="48" customHeight="1" x14ac:dyDescent="0.2">
      <c r="A10" s="1"/>
      <c r="B10" s="22" t="s">
        <v>37</v>
      </c>
      <c r="C10" s="22"/>
      <c r="D10" s="22"/>
      <c r="E10" s="22"/>
      <c r="F10" s="7"/>
      <c r="G10" s="22"/>
      <c r="H10" s="7"/>
      <c r="J10" s="166" t="s">
        <v>263</v>
      </c>
      <c r="K10" s="376" t="s">
        <v>151</v>
      </c>
      <c r="L10" s="376"/>
      <c r="M10" s="376"/>
      <c r="N10" s="376"/>
    </row>
    <row r="11" spans="1:22" ht="6" customHeight="1" x14ac:dyDescent="0.2"/>
    <row r="12" spans="1:22" ht="25" customHeight="1" outlineLevel="1" x14ac:dyDescent="0.2">
      <c r="B12" s="301" t="s">
        <v>266</v>
      </c>
      <c r="C12" s="301" t="s">
        <v>124</v>
      </c>
      <c r="D12" s="301"/>
      <c r="E12" s="301" t="s">
        <v>125</v>
      </c>
      <c r="F12" s="304" t="s">
        <v>256</v>
      </c>
      <c r="G12" s="303" t="s">
        <v>255</v>
      </c>
      <c r="H12" s="304" t="s">
        <v>337</v>
      </c>
      <c r="I12" s="11"/>
      <c r="K12" s="164" t="s">
        <v>160</v>
      </c>
      <c r="L12" s="165" t="s">
        <v>19</v>
      </c>
      <c r="M12" s="165" t="s">
        <v>161</v>
      </c>
      <c r="N12" s="164" t="s">
        <v>162</v>
      </c>
      <c r="T12" s="57" t="s">
        <v>266</v>
      </c>
      <c r="U12" s="57" t="s">
        <v>267</v>
      </c>
      <c r="V12" s="57" t="s">
        <v>268</v>
      </c>
    </row>
    <row r="13" spans="1:22" ht="51.75" customHeight="1" outlineLevel="1" x14ac:dyDescent="0.2">
      <c r="B13" s="50">
        <v>1</v>
      </c>
      <c r="C13" s="55" t="str">
        <f t="shared" ref="C13:C22" si="0">_xlfn.XLOOKUP(_xlfn.XLOOKUP($B13,$T$13:$T$22,$U$13:$U$22),$K$13:$K$17,$K$13:$K$17)&amp;" – "&amp;_xlfn.XLOOKUP(_xlfn.XLOOKUP($B13,$T$13:$T$22,$U$13:$U$22),$K$13:$K$17,$L$13:$L$17)</f>
        <v>L1 – Single Element</v>
      </c>
      <c r="D13" s="13" t="s">
        <v>130</v>
      </c>
      <c r="E13" s="14" t="str">
        <f t="shared" ref="E13:E22" si="1">_xlfn.XLOOKUP(_xlfn.XLOOKUP($B13,$T$13:$T$22,$V$13:$V$22),$K$13:$K$17,$K$13:$K$17)&amp;" – "&amp;_xlfn.XLOOKUP(_xlfn.XLOOKUP($B13,$T$13:$T$22,$V$13:$V$22),$K$13:$K$17,$L$13:$L$17)</f>
        <v>L2 – Single System</v>
      </c>
      <c r="F13" s="78" t="s">
        <v>332</v>
      </c>
      <c r="G13" s="52">
        <f>IFERROR(_xlfn.XLOOKUP($F13,'AHP Saaty Reference'!$H$8:$H$24,'AHP Saaty Reference'!$I$8:$I$24),"")</f>
        <v>2</v>
      </c>
      <c r="H13" s="78" t="s">
        <v>338</v>
      </c>
      <c r="J13" s="56"/>
      <c r="K13" s="294" t="s">
        <v>269</v>
      </c>
      <c r="L13" s="294" t="s">
        <v>275</v>
      </c>
      <c r="M13" s="294" t="s">
        <v>165</v>
      </c>
      <c r="N13" s="294" t="s">
        <v>166</v>
      </c>
      <c r="T13" s="9">
        <v>1</v>
      </c>
      <c r="U13" s="9" t="s">
        <v>269</v>
      </c>
      <c r="V13" s="9" t="s">
        <v>270</v>
      </c>
    </row>
    <row r="14" spans="1:22" ht="51.75" customHeight="1" outlineLevel="1" x14ac:dyDescent="0.2">
      <c r="B14" s="50">
        <v>2</v>
      </c>
      <c r="C14" s="55" t="str">
        <f t="shared" si="0"/>
        <v>L1 – Single Element</v>
      </c>
      <c r="D14" s="13" t="s">
        <v>130</v>
      </c>
      <c r="E14" s="14" t="str">
        <f t="shared" si="1"/>
        <v>L3 – Multiple Systems (Limited Scope)</v>
      </c>
      <c r="F14" s="78" t="s">
        <v>311</v>
      </c>
      <c r="G14" s="52">
        <f>IFERROR(_xlfn.XLOOKUP($F14,'AHP Saaty Reference'!$H$8:$H$24,'AHP Saaty Reference'!$I$8:$I$24),"")</f>
        <v>3</v>
      </c>
      <c r="H14" s="78" t="s">
        <v>339</v>
      </c>
      <c r="K14" s="295" t="s">
        <v>270</v>
      </c>
      <c r="L14" s="295" t="s">
        <v>276</v>
      </c>
      <c r="M14" s="295" t="s">
        <v>173</v>
      </c>
      <c r="N14" s="295" t="s">
        <v>174</v>
      </c>
      <c r="T14" s="9">
        <v>2</v>
      </c>
      <c r="U14" s="9" t="s">
        <v>269</v>
      </c>
      <c r="V14" s="9" t="s">
        <v>271</v>
      </c>
    </row>
    <row r="15" spans="1:22" ht="51.75" customHeight="1" outlineLevel="1" x14ac:dyDescent="0.2">
      <c r="B15" s="50">
        <v>3</v>
      </c>
      <c r="C15" s="55" t="str">
        <f t="shared" si="0"/>
        <v>L1 – Single Element</v>
      </c>
      <c r="D15" s="13" t="s">
        <v>130</v>
      </c>
      <c r="E15" s="14" t="str">
        <f t="shared" si="1"/>
        <v>L4 – Multiple Systems (Broad Scope)</v>
      </c>
      <c r="F15" s="78" t="s">
        <v>310</v>
      </c>
      <c r="G15" s="52">
        <f>IFERROR(_xlfn.XLOOKUP($F15,'AHP Saaty Reference'!$H$8:$H$24,'AHP Saaty Reference'!$I$8:$I$24),"")</f>
        <v>5</v>
      </c>
      <c r="H15" s="78" t="s">
        <v>340</v>
      </c>
      <c r="J15" s="20"/>
      <c r="K15" s="296" t="s">
        <v>271</v>
      </c>
      <c r="L15" s="296" t="s">
        <v>277</v>
      </c>
      <c r="M15" s="296" t="s">
        <v>181</v>
      </c>
      <c r="N15" s="296" t="s">
        <v>182</v>
      </c>
      <c r="T15" s="9">
        <v>3</v>
      </c>
      <c r="U15" s="9" t="s">
        <v>269</v>
      </c>
      <c r="V15" s="9" t="s">
        <v>272</v>
      </c>
    </row>
    <row r="16" spans="1:22" ht="51.75" customHeight="1" outlineLevel="1" x14ac:dyDescent="0.2">
      <c r="B16" s="50">
        <v>4</v>
      </c>
      <c r="C16" s="55" t="str">
        <f t="shared" si="0"/>
        <v>L1 – Single Element</v>
      </c>
      <c r="D16" s="13" t="s">
        <v>130</v>
      </c>
      <c r="E16" s="14" t="str">
        <f t="shared" si="1"/>
        <v>L5 –  Enterprise-Wide Scope</v>
      </c>
      <c r="F16" s="78" t="s">
        <v>309</v>
      </c>
      <c r="G16" s="52">
        <f>IFERROR(_xlfn.XLOOKUP($F16,'AHP Saaty Reference'!$H$8:$H$24,'AHP Saaty Reference'!$I$8:$I$24),"")</f>
        <v>7</v>
      </c>
      <c r="H16" s="78" t="s">
        <v>341</v>
      </c>
      <c r="K16" s="297" t="s">
        <v>272</v>
      </c>
      <c r="L16" s="297" t="s">
        <v>278</v>
      </c>
      <c r="M16" s="297" t="s">
        <v>188</v>
      </c>
      <c r="N16" s="297" t="s">
        <v>189</v>
      </c>
      <c r="T16" s="9">
        <v>4</v>
      </c>
      <c r="U16" s="9" t="s">
        <v>269</v>
      </c>
      <c r="V16" s="9" t="s">
        <v>273</v>
      </c>
    </row>
    <row r="17" spans="1:22" ht="51.75" customHeight="1" outlineLevel="1" x14ac:dyDescent="0.2">
      <c r="B17" s="50">
        <v>5</v>
      </c>
      <c r="C17" s="55" t="str">
        <f t="shared" si="0"/>
        <v>L2 – Single System</v>
      </c>
      <c r="D17" s="13" t="s">
        <v>130</v>
      </c>
      <c r="E17" s="14" t="str">
        <f t="shared" si="1"/>
        <v>L3 – Multiple Systems (Limited Scope)</v>
      </c>
      <c r="F17" s="78" t="s">
        <v>311</v>
      </c>
      <c r="G17" s="52">
        <f>IFERROR(_xlfn.XLOOKUP($F17,'AHP Saaty Reference'!$H$8:$H$24,'AHP Saaty Reference'!$I$8:$I$24),"")</f>
        <v>3</v>
      </c>
      <c r="H17" s="78" t="s">
        <v>342</v>
      </c>
      <c r="K17" s="298" t="s">
        <v>273</v>
      </c>
      <c r="L17" s="298" t="s">
        <v>274</v>
      </c>
      <c r="M17" s="298" t="s">
        <v>195</v>
      </c>
      <c r="N17" s="298" t="s">
        <v>196</v>
      </c>
      <c r="T17" s="9">
        <v>5</v>
      </c>
      <c r="U17" s="9" t="s">
        <v>270</v>
      </c>
      <c r="V17" s="9" t="s">
        <v>271</v>
      </c>
    </row>
    <row r="18" spans="1:22" ht="51.75" customHeight="1" outlineLevel="1" x14ac:dyDescent="0.2">
      <c r="B18" s="50">
        <v>6</v>
      </c>
      <c r="C18" s="55" t="str">
        <f t="shared" si="0"/>
        <v>L2 – Single System</v>
      </c>
      <c r="D18" s="13" t="s">
        <v>130</v>
      </c>
      <c r="E18" s="14" t="str">
        <f t="shared" si="1"/>
        <v>L4 – Multiple Systems (Broad Scope)</v>
      </c>
      <c r="F18" s="78" t="s">
        <v>310</v>
      </c>
      <c r="G18" s="52">
        <f>IFERROR(_xlfn.XLOOKUP($F18,'AHP Saaty Reference'!$H$8:$H$24,'AHP Saaty Reference'!$I$8:$I$24),"")</f>
        <v>5</v>
      </c>
      <c r="H18" s="78" t="s">
        <v>343</v>
      </c>
      <c r="T18" s="9">
        <v>6</v>
      </c>
      <c r="U18" s="9" t="s">
        <v>270</v>
      </c>
      <c r="V18" s="9" t="s">
        <v>272</v>
      </c>
    </row>
    <row r="19" spans="1:22" ht="51.75" customHeight="1" outlineLevel="1" x14ac:dyDescent="0.2">
      <c r="B19" s="50">
        <v>7</v>
      </c>
      <c r="C19" s="55" t="str">
        <f t="shared" si="0"/>
        <v>L2 – Single System</v>
      </c>
      <c r="D19" s="13" t="s">
        <v>130</v>
      </c>
      <c r="E19" s="14" t="str">
        <f t="shared" si="1"/>
        <v>L5 –  Enterprise-Wide Scope</v>
      </c>
      <c r="F19" s="78" t="s">
        <v>309</v>
      </c>
      <c r="G19" s="52">
        <f>IFERROR(_xlfn.XLOOKUP($F19,'AHP Saaty Reference'!$H$8:$H$24,'AHP Saaty Reference'!$I$8:$I$24),"")</f>
        <v>7</v>
      </c>
      <c r="H19" s="78" t="s">
        <v>344</v>
      </c>
      <c r="T19" s="9">
        <v>7</v>
      </c>
      <c r="U19" s="9" t="s">
        <v>270</v>
      </c>
      <c r="V19" s="9" t="s">
        <v>273</v>
      </c>
    </row>
    <row r="20" spans="1:22" ht="51.75" customHeight="1" outlineLevel="1" x14ac:dyDescent="0.2">
      <c r="B20" s="50">
        <v>8</v>
      </c>
      <c r="C20" s="55" t="str">
        <f t="shared" si="0"/>
        <v>L3 – Multiple Systems (Limited Scope)</v>
      </c>
      <c r="D20" s="13" t="s">
        <v>130</v>
      </c>
      <c r="E20" s="14" t="str">
        <f t="shared" si="1"/>
        <v>L4 – Multiple Systems (Broad Scope)</v>
      </c>
      <c r="F20" s="78" t="s">
        <v>332</v>
      </c>
      <c r="G20" s="52">
        <f>IFERROR(_xlfn.XLOOKUP($F20,'AHP Saaty Reference'!$H$8:$H$24,'AHP Saaty Reference'!$I$8:$I$24),"")</f>
        <v>2</v>
      </c>
      <c r="H20" s="78" t="s">
        <v>345</v>
      </c>
      <c r="T20" s="9">
        <v>8</v>
      </c>
      <c r="U20" s="9" t="s">
        <v>271</v>
      </c>
      <c r="V20" s="9" t="s">
        <v>272</v>
      </c>
    </row>
    <row r="21" spans="1:22" ht="51.75" customHeight="1" outlineLevel="1" x14ac:dyDescent="0.2">
      <c r="B21" s="50">
        <v>9</v>
      </c>
      <c r="C21" s="55" t="str">
        <f t="shared" si="0"/>
        <v>L3 – Multiple Systems (Limited Scope)</v>
      </c>
      <c r="D21" s="13" t="s">
        <v>130</v>
      </c>
      <c r="E21" s="14" t="str">
        <f t="shared" si="1"/>
        <v>L5 –  Enterprise-Wide Scope</v>
      </c>
      <c r="F21" s="78" t="s">
        <v>310</v>
      </c>
      <c r="G21" s="52">
        <f>IFERROR(_xlfn.XLOOKUP($F21,'AHP Saaty Reference'!$H$8:$H$24,'AHP Saaty Reference'!$I$8:$I$24),"")</f>
        <v>5</v>
      </c>
      <c r="H21" s="78" t="s">
        <v>346</v>
      </c>
      <c r="T21" s="9">
        <v>9</v>
      </c>
      <c r="U21" s="9" t="s">
        <v>271</v>
      </c>
      <c r="V21" s="9" t="s">
        <v>273</v>
      </c>
    </row>
    <row r="22" spans="1:22" ht="51.75" customHeight="1" outlineLevel="1" x14ac:dyDescent="0.2">
      <c r="B22" s="50">
        <v>10</v>
      </c>
      <c r="C22" s="55" t="str">
        <f t="shared" si="0"/>
        <v>L4 – Multiple Systems (Broad Scope)</v>
      </c>
      <c r="D22" s="13" t="s">
        <v>130</v>
      </c>
      <c r="E22" s="14" t="str">
        <f t="shared" si="1"/>
        <v>L5 –  Enterprise-Wide Scope</v>
      </c>
      <c r="F22" s="78" t="s">
        <v>310</v>
      </c>
      <c r="G22" s="52">
        <f>IFERROR(_xlfn.XLOOKUP($F22,'AHP Saaty Reference'!$H$8:$H$24,'AHP Saaty Reference'!$I$8:$I$24),"")</f>
        <v>5</v>
      </c>
      <c r="H22" s="78" t="s">
        <v>347</v>
      </c>
      <c r="T22" s="9">
        <v>10</v>
      </c>
      <c r="U22" s="9" t="s">
        <v>272</v>
      </c>
      <c r="V22" s="9" t="s">
        <v>273</v>
      </c>
    </row>
    <row r="23" spans="1:22" ht="7.5" customHeight="1" x14ac:dyDescent="0.2">
      <c r="C23" s="16"/>
      <c r="D23" s="16"/>
      <c r="E23" s="16"/>
      <c r="F23" s="16"/>
      <c r="G23" s="53"/>
      <c r="H23" s="16"/>
    </row>
    <row r="24" spans="1:22" ht="51.75" customHeight="1" x14ac:dyDescent="0.2">
      <c r="B24" s="375" t="s">
        <v>257</v>
      </c>
      <c r="C24" s="375"/>
      <c r="D24" s="375"/>
      <c r="E24" s="375"/>
      <c r="F24" s="375"/>
      <c r="G24" s="363" t="str">
        <f>IF(
    '1.6 IP Calculations'!$C$52="",
    "Awaiting judgment inputs",
    IF(
        '1.6 IP Calculations'!$C$52&lt;=0.1,
        "Acceptable"&amp;CHAR(10)&amp;"CR = "&amp;TEXT('1.6 IP Calculations'!$C$52,"0.000"),
        "Not Acceptable – Revise judgments"&amp;CHAR(10)&amp;"CR = "&amp;TEXT('1.6 IP Calculations'!$C$52,"0.000")
    )
)</f>
        <v>Acceptable
CR = 0.059</v>
      </c>
      <c r="H24" s="363"/>
      <c r="I24" s="54"/>
    </row>
    <row r="25" spans="1:22" ht="7.5" customHeight="1" x14ac:dyDescent="0.2">
      <c r="B25" s="104"/>
      <c r="C25" s="104"/>
      <c r="D25" s="104"/>
      <c r="E25" s="104"/>
      <c r="F25" s="105"/>
      <c r="G25" s="105"/>
      <c r="H25" s="106"/>
      <c r="I25" s="54"/>
    </row>
    <row r="26" spans="1:22" ht="30" customHeight="1" x14ac:dyDescent="0.2">
      <c r="B26" s="368" t="s">
        <v>363</v>
      </c>
      <c r="C26" s="369"/>
      <c r="D26" s="369"/>
      <c r="E26" s="369"/>
      <c r="F26" s="369"/>
      <c r="G26" s="369"/>
      <c r="H26" s="369"/>
      <c r="I26" s="54"/>
    </row>
    <row r="27" spans="1:22" ht="7.5" customHeight="1" x14ac:dyDescent="0.2">
      <c r="B27" s="111"/>
      <c r="C27" s="111"/>
      <c r="D27" s="111"/>
      <c r="E27" s="111"/>
      <c r="F27" s="111"/>
      <c r="G27" s="111"/>
      <c r="H27" s="106"/>
      <c r="I27" s="54"/>
    </row>
    <row r="28" spans="1:22" ht="15" customHeight="1" x14ac:dyDescent="0.2">
      <c r="B28" s="364" t="s">
        <v>461</v>
      </c>
      <c r="C28" s="364"/>
      <c r="D28" s="364"/>
      <c r="E28" s="364"/>
      <c r="F28" s="364"/>
      <c r="G28" s="364"/>
      <c r="H28" s="364"/>
      <c r="I28" s="54"/>
    </row>
    <row r="29" spans="1:22" ht="15" customHeight="1" x14ac:dyDescent="0.2">
      <c r="B29" s="364"/>
      <c r="C29" s="364"/>
      <c r="D29" s="364"/>
      <c r="E29" s="364"/>
      <c r="F29" s="364"/>
      <c r="G29" s="364"/>
      <c r="H29" s="364"/>
      <c r="I29" s="54"/>
    </row>
    <row r="30" spans="1:22" ht="7.5" customHeight="1" thickBot="1" x14ac:dyDescent="0.25">
      <c r="B30" s="104"/>
      <c r="C30" s="104"/>
      <c r="D30" s="104"/>
      <c r="E30" s="104"/>
      <c r="F30" s="104"/>
      <c r="G30" s="104"/>
      <c r="H30" s="104"/>
      <c r="I30" s="54"/>
    </row>
    <row r="31" spans="1:22" ht="15" customHeight="1" x14ac:dyDescent="0.2">
      <c r="A31" s="107"/>
      <c r="B31" s="151" t="s">
        <v>160</v>
      </c>
      <c r="C31" s="227" t="s">
        <v>463</v>
      </c>
      <c r="E31" s="104"/>
      <c r="F31" s="105"/>
      <c r="G31" s="105"/>
      <c r="H31" s="106"/>
      <c r="I31" s="54"/>
    </row>
    <row r="32" spans="1:22" ht="15" customHeight="1" x14ac:dyDescent="0.2">
      <c r="B32" s="152" t="s">
        <v>269</v>
      </c>
      <c r="C32" s="228">
        <f>IF(OR('1.6 IP Calculations'!$D26="",ISBLANK('1.6 IP Calculations'!$D26)),"Awaiting input",'1.6 IP Calculations'!$D26)</f>
        <v>1</v>
      </c>
      <c r="E32" s="104"/>
      <c r="F32" s="105"/>
      <c r="G32" s="105"/>
      <c r="H32" s="106"/>
      <c r="I32" s="54"/>
    </row>
    <row r="33" spans="1:14" ht="15" customHeight="1" x14ac:dyDescent="0.2">
      <c r="B33" s="152" t="s">
        <v>270</v>
      </c>
      <c r="C33" s="228">
        <f>IF(OR('1.6 IP Calculations'!$D27="",ISBLANK('1.6 IP Calculations'!$D27)),"Awaiting input",'1.6 IP Calculations'!$D27)</f>
        <v>0.76050351394470661</v>
      </c>
      <c r="E33" s="104"/>
      <c r="F33" s="105"/>
      <c r="G33" s="105"/>
      <c r="H33" s="106"/>
      <c r="I33" s="54"/>
    </row>
    <row r="34" spans="1:14" ht="15" customHeight="1" x14ac:dyDescent="0.2">
      <c r="B34" s="152" t="s">
        <v>271</v>
      </c>
      <c r="C34" s="228">
        <f>IF(OR('1.6 IP Calculations'!$D28="",ISBLANK('1.6 IP Calculations'!$D28)),"Awaiting input",'1.6 IP Calculations'!$D28)</f>
        <v>0.34263523973481935</v>
      </c>
      <c r="E34" s="104"/>
      <c r="F34" s="105"/>
      <c r="G34" s="105"/>
      <c r="H34" s="106"/>
      <c r="I34" s="54"/>
    </row>
    <row r="35" spans="1:14" ht="15" customHeight="1" x14ac:dyDescent="0.2">
      <c r="B35" s="152" t="s">
        <v>272</v>
      </c>
      <c r="C35" s="228">
        <f>IF(OR('1.6 IP Calculations'!$D29="",ISBLANK('1.6 IP Calculations'!$D29)),"Awaiting input",'1.6 IP Calculations'!$D29)</f>
        <v>0.22309669001715018</v>
      </c>
      <c r="E35" s="104"/>
      <c r="F35" s="105"/>
      <c r="G35" s="105"/>
      <c r="H35" s="106"/>
      <c r="I35" s="54"/>
    </row>
    <row r="36" spans="1:14" ht="15" customHeight="1" thickBot="1" x14ac:dyDescent="0.25">
      <c r="B36" s="153" t="s">
        <v>273</v>
      </c>
      <c r="C36" s="229">
        <f>IF(OR('1.6 IP Calculations'!$D30="",ISBLANK('1.6 IP Calculations'!$D30)),"Awaiting input",'1.6 IP Calculations'!$D30)</f>
        <v>8.5534816047010409E-2</v>
      </c>
      <c r="E36" s="104"/>
      <c r="F36" s="105"/>
      <c r="G36" s="105"/>
      <c r="H36" s="106"/>
      <c r="I36" s="54"/>
    </row>
    <row r="37" spans="1:14" ht="7.5" customHeight="1" x14ac:dyDescent="0.2">
      <c r="B37" s="110"/>
      <c r="C37" s="110"/>
      <c r="D37" s="110"/>
      <c r="E37" s="110"/>
      <c r="F37" s="110"/>
      <c r="G37" s="110"/>
      <c r="H37" s="110"/>
    </row>
    <row r="38" spans="1:14" ht="15" customHeight="1" x14ac:dyDescent="0.2">
      <c r="B38" s="110"/>
      <c r="C38" s="110"/>
      <c r="D38" s="110"/>
      <c r="E38" s="110"/>
      <c r="F38" s="110"/>
      <c r="G38" s="110"/>
      <c r="H38" s="110"/>
    </row>
    <row r="39" spans="1:14" ht="48" customHeight="1" x14ac:dyDescent="0.2">
      <c r="A39" s="1"/>
      <c r="B39" s="366" t="s">
        <v>262</v>
      </c>
      <c r="C39" s="366"/>
      <c r="D39" s="366"/>
      <c r="E39" s="366"/>
      <c r="F39" s="366"/>
      <c r="G39" s="366"/>
      <c r="H39" s="366"/>
      <c r="J39" s="166" t="s">
        <v>264</v>
      </c>
      <c r="K39" s="376" t="s">
        <v>153</v>
      </c>
      <c r="L39" s="376"/>
      <c r="M39" s="376"/>
      <c r="N39" s="376"/>
    </row>
    <row r="40" spans="1:14" ht="6" customHeight="1" x14ac:dyDescent="0.2"/>
    <row r="41" spans="1:14" ht="25" customHeight="1" outlineLevel="1" x14ac:dyDescent="0.2">
      <c r="A41" s="11"/>
      <c r="B41" s="301" t="s">
        <v>266</v>
      </c>
      <c r="C41" s="301" t="s">
        <v>124</v>
      </c>
      <c r="D41" s="301"/>
      <c r="E41" s="301" t="s">
        <v>125</v>
      </c>
      <c r="F41" s="304" t="s">
        <v>256</v>
      </c>
      <c r="G41" s="303" t="s">
        <v>255</v>
      </c>
      <c r="H41" s="304" t="s">
        <v>337</v>
      </c>
      <c r="K41" s="164" t="s">
        <v>160</v>
      </c>
      <c r="L41" s="165" t="s">
        <v>19</v>
      </c>
      <c r="M41" s="165" t="s">
        <v>161</v>
      </c>
      <c r="N41" s="164" t="s">
        <v>163</v>
      </c>
    </row>
    <row r="42" spans="1:14" ht="51.75" customHeight="1" outlineLevel="1" x14ac:dyDescent="0.2">
      <c r="B42" s="50">
        <v>1</v>
      </c>
      <c r="C42" s="55" t="str">
        <f t="shared" ref="C42:C51" si="2">_xlfn.XLOOKUP(_xlfn.XLOOKUP($B42,$T$13:$T$22,$U$13:$U$22),$K$42:$K$46,$K$42:$K$46)&amp;" – "&amp;_xlfn.XLOOKUP(_xlfn.XLOOKUP($B42,$T$13:$T$22,$U$13:$U$22),$K$42:$K$46,$L$42:$L$46)</f>
        <v>L1 – Minor Architectural Adjustment</v>
      </c>
      <c r="D42" s="13" t="s">
        <v>130</v>
      </c>
      <c r="E42" s="14" t="str">
        <f t="shared" ref="E42:E51" si="3">_xlfn.XLOOKUP(_xlfn.XLOOKUP($B42,$T$13:$T$22,$V$13:$V$22),$K$42:$K$46,$K$42:$K$46)&amp;" – "&amp;_xlfn.XLOOKUP(_xlfn.XLOOKUP($B42,$T$13:$T$22,$V$13:$V$22),$K$42:$K$46,$L$42:$L$46)</f>
        <v>L2 – Local Component Modification</v>
      </c>
      <c r="F42" s="78" t="s">
        <v>332</v>
      </c>
      <c r="G42" s="52">
        <f>IFERROR(_xlfn.XLOOKUP($F42,'AHP Saaty Reference'!$H$8:$H$24,'AHP Saaty Reference'!$I$8:$I$24),"")</f>
        <v>2</v>
      </c>
      <c r="H42" s="78" t="s">
        <v>339</v>
      </c>
      <c r="K42" s="294" t="s">
        <v>269</v>
      </c>
      <c r="L42" s="294" t="s">
        <v>279</v>
      </c>
      <c r="M42" s="294" t="s">
        <v>167</v>
      </c>
      <c r="N42" s="294" t="s">
        <v>168</v>
      </c>
    </row>
    <row r="43" spans="1:14" ht="51.75" customHeight="1" outlineLevel="1" x14ac:dyDescent="0.2">
      <c r="B43" s="50">
        <v>2</v>
      </c>
      <c r="C43" s="55" t="str">
        <f t="shared" si="2"/>
        <v>L1 – Minor Architectural Adjustment</v>
      </c>
      <c r="D43" s="13" t="s">
        <v>130</v>
      </c>
      <c r="E43" s="14" t="str">
        <f t="shared" si="3"/>
        <v>L3 – Component Restructuring (Single System)</v>
      </c>
      <c r="F43" s="78" t="s">
        <v>311</v>
      </c>
      <c r="G43" s="52">
        <f>IFERROR(_xlfn.XLOOKUP($F43,'AHP Saaty Reference'!$H$8:$H$24,'AHP Saaty Reference'!$I$8:$I$24),"")</f>
        <v>3</v>
      </c>
      <c r="H43" s="78" t="s">
        <v>348</v>
      </c>
      <c r="K43" s="295" t="s">
        <v>270</v>
      </c>
      <c r="L43" s="295" t="s">
        <v>280</v>
      </c>
      <c r="M43" s="295" t="s">
        <v>175</v>
      </c>
      <c r="N43" s="295" t="s">
        <v>176</v>
      </c>
    </row>
    <row r="44" spans="1:14" ht="51.75" customHeight="1" outlineLevel="1" x14ac:dyDescent="0.2">
      <c r="B44" s="50">
        <v>3</v>
      </c>
      <c r="C44" s="55" t="str">
        <f t="shared" si="2"/>
        <v>L1 – Minor Architectural Adjustment</v>
      </c>
      <c r="D44" s="13" t="s">
        <v>130</v>
      </c>
      <c r="E44" s="14" t="str">
        <f t="shared" si="3"/>
        <v>L4 – Architectural Reorganization</v>
      </c>
      <c r="F44" s="78" t="s">
        <v>310</v>
      </c>
      <c r="G44" s="52">
        <f>IFERROR(_xlfn.XLOOKUP($F44,'AHP Saaty Reference'!$H$8:$H$24,'AHP Saaty Reference'!$I$8:$I$24),"")</f>
        <v>5</v>
      </c>
      <c r="H44" s="78" t="s">
        <v>349</v>
      </c>
      <c r="K44" s="296" t="s">
        <v>271</v>
      </c>
      <c r="L44" s="296" t="s">
        <v>281</v>
      </c>
      <c r="M44" s="296" t="s">
        <v>183</v>
      </c>
      <c r="N44" s="296" t="s">
        <v>184</v>
      </c>
    </row>
    <row r="45" spans="1:14" ht="51.75" customHeight="1" outlineLevel="1" x14ac:dyDescent="0.2">
      <c r="B45" s="50">
        <v>4</v>
      </c>
      <c r="C45" s="55" t="str">
        <f t="shared" si="2"/>
        <v>L1 – Minor Architectural Adjustment</v>
      </c>
      <c r="D45" s="13" t="s">
        <v>130</v>
      </c>
      <c r="E45" s="14" t="str">
        <f t="shared" si="3"/>
        <v>L5 – Architectural Layer Restructuring</v>
      </c>
      <c r="F45" s="78" t="s">
        <v>309</v>
      </c>
      <c r="G45" s="52">
        <f>IFERROR(_xlfn.XLOOKUP($F45,'AHP Saaty Reference'!$H$8:$H$24,'AHP Saaty Reference'!$I$8:$I$24),"")</f>
        <v>7</v>
      </c>
      <c r="H45" s="78" t="s">
        <v>350</v>
      </c>
      <c r="K45" s="297" t="s">
        <v>272</v>
      </c>
      <c r="L45" s="297" t="s">
        <v>282</v>
      </c>
      <c r="M45" s="297" t="s">
        <v>190</v>
      </c>
      <c r="N45" s="297" t="s">
        <v>191</v>
      </c>
    </row>
    <row r="46" spans="1:14" ht="51.75" customHeight="1" outlineLevel="1" x14ac:dyDescent="0.2">
      <c r="B46" s="50">
        <v>5</v>
      </c>
      <c r="C46" s="55" t="str">
        <f t="shared" si="2"/>
        <v>L2 – Local Component Modification</v>
      </c>
      <c r="D46" s="13" t="s">
        <v>130</v>
      </c>
      <c r="E46" s="14" t="str">
        <f t="shared" si="3"/>
        <v>L3 – Component Restructuring (Single System)</v>
      </c>
      <c r="F46" s="78" t="s">
        <v>332</v>
      </c>
      <c r="G46" s="52">
        <f>IFERROR(_xlfn.XLOOKUP($F46,'AHP Saaty Reference'!$H$8:$H$24,'AHP Saaty Reference'!$I$8:$I$24),"")</f>
        <v>2</v>
      </c>
      <c r="H46" s="78" t="s">
        <v>351</v>
      </c>
      <c r="K46" s="298" t="s">
        <v>273</v>
      </c>
      <c r="L46" s="298" t="s">
        <v>283</v>
      </c>
      <c r="M46" s="298" t="s">
        <v>197</v>
      </c>
      <c r="N46" s="298" t="s">
        <v>198</v>
      </c>
    </row>
    <row r="47" spans="1:14" ht="51.75" customHeight="1" outlineLevel="1" x14ac:dyDescent="0.2">
      <c r="B47" s="50">
        <v>6</v>
      </c>
      <c r="C47" s="55" t="str">
        <f t="shared" si="2"/>
        <v>L2 – Local Component Modification</v>
      </c>
      <c r="D47" s="13" t="s">
        <v>130</v>
      </c>
      <c r="E47" s="14" t="str">
        <f t="shared" si="3"/>
        <v>L4 – Architectural Reorganization</v>
      </c>
      <c r="F47" s="78" t="s">
        <v>310</v>
      </c>
      <c r="G47" s="52">
        <f>IFERROR(_xlfn.XLOOKUP($F47,'AHP Saaty Reference'!$H$8:$H$24,'AHP Saaty Reference'!$I$8:$I$24),"")</f>
        <v>5</v>
      </c>
      <c r="H47" s="78" t="s">
        <v>352</v>
      </c>
    </row>
    <row r="48" spans="1:14" ht="51.75" customHeight="1" outlineLevel="1" x14ac:dyDescent="0.2">
      <c r="B48" s="50">
        <v>7</v>
      </c>
      <c r="C48" s="55" t="str">
        <f t="shared" si="2"/>
        <v>L2 – Local Component Modification</v>
      </c>
      <c r="D48" s="13" t="s">
        <v>130</v>
      </c>
      <c r="E48" s="14" t="str">
        <f t="shared" si="3"/>
        <v>L5 – Architectural Layer Restructuring</v>
      </c>
      <c r="F48" s="78" t="s">
        <v>309</v>
      </c>
      <c r="G48" s="52">
        <f>IFERROR(_xlfn.XLOOKUP($F48,'AHP Saaty Reference'!$H$8:$H$24,'AHP Saaty Reference'!$I$8:$I$24),"")</f>
        <v>7</v>
      </c>
      <c r="H48" s="78" t="s">
        <v>353</v>
      </c>
    </row>
    <row r="49" spans="1:9" ht="51.75" customHeight="1" outlineLevel="1" x14ac:dyDescent="0.2">
      <c r="B49" s="50">
        <v>8</v>
      </c>
      <c r="C49" s="55" t="str">
        <f t="shared" si="2"/>
        <v>L3 – Component Restructuring (Single System)</v>
      </c>
      <c r="D49" s="13" t="s">
        <v>130</v>
      </c>
      <c r="E49" s="14" t="str">
        <f t="shared" si="3"/>
        <v>L4 – Architectural Reorganization</v>
      </c>
      <c r="F49" s="78" t="s">
        <v>310</v>
      </c>
      <c r="G49" s="52">
        <f>IFERROR(_xlfn.XLOOKUP($F49,'AHP Saaty Reference'!$H$8:$H$24,'AHP Saaty Reference'!$I$8:$I$24),"")</f>
        <v>5</v>
      </c>
      <c r="H49" s="78" t="s">
        <v>354</v>
      </c>
    </row>
    <row r="50" spans="1:9" ht="51.75" customHeight="1" outlineLevel="1" x14ac:dyDescent="0.2">
      <c r="B50" s="50">
        <v>9</v>
      </c>
      <c r="C50" s="55" t="str">
        <f t="shared" si="2"/>
        <v>L3 – Component Restructuring (Single System)</v>
      </c>
      <c r="D50" s="13" t="s">
        <v>130</v>
      </c>
      <c r="E50" s="14" t="str">
        <f t="shared" si="3"/>
        <v>L5 – Architectural Layer Restructuring</v>
      </c>
      <c r="F50" s="78" t="s">
        <v>310</v>
      </c>
      <c r="G50" s="52">
        <f>IFERROR(_xlfn.XLOOKUP($F50,'AHP Saaty Reference'!$H$8:$H$24,'AHP Saaty Reference'!$I$8:$I$24),"")</f>
        <v>5</v>
      </c>
      <c r="H50" s="78" t="s">
        <v>355</v>
      </c>
    </row>
    <row r="51" spans="1:9" ht="51.75" customHeight="1" outlineLevel="1" x14ac:dyDescent="0.2">
      <c r="B51" s="50">
        <v>10</v>
      </c>
      <c r="C51" s="55" t="str">
        <f t="shared" si="2"/>
        <v>L4 – Architectural Reorganization</v>
      </c>
      <c r="D51" s="13" t="s">
        <v>130</v>
      </c>
      <c r="E51" s="14" t="str">
        <f t="shared" si="3"/>
        <v>L5 – Architectural Layer Restructuring</v>
      </c>
      <c r="F51" s="78" t="s">
        <v>310</v>
      </c>
      <c r="G51" s="52">
        <f>IFERROR(_xlfn.XLOOKUP($F51,'AHP Saaty Reference'!$H$8:$H$24,'AHP Saaty Reference'!$I$8:$I$24),"")</f>
        <v>5</v>
      </c>
      <c r="H51" s="78" t="s">
        <v>356</v>
      </c>
    </row>
    <row r="52" spans="1:9" ht="7.5" customHeight="1" x14ac:dyDescent="0.2">
      <c r="C52" s="16"/>
      <c r="D52" s="16"/>
      <c r="E52" s="16"/>
      <c r="F52" s="16"/>
      <c r="G52" s="53"/>
    </row>
    <row r="53" spans="1:9" ht="51.75" customHeight="1" x14ac:dyDescent="0.2">
      <c r="B53" s="375" t="s">
        <v>257</v>
      </c>
      <c r="C53" s="375"/>
      <c r="D53" s="375"/>
      <c r="E53" s="375"/>
      <c r="F53" s="375"/>
      <c r="G53" s="363" t="str">
        <f>IF(
    '1.6 IP Calculations'!$M$52="",
    "Awaiting judgment inputs",
    IF(
        '1.6 IP Calculations'!$M$52&lt;=0.1,
        "Acceptable"&amp;CHAR(10)&amp;"CR = "&amp;TEXT('1.6 IP Calculations'!$M$52,"0.000"),
        "Not Acceptable – Revise judgments"&amp;CHAR(10)&amp;"CR = "&amp;TEXT('1.6 IP Calculations'!$M$52,"0.000")
    )
)</f>
        <v>Acceptable
CR = 0.088</v>
      </c>
      <c r="H53" s="363"/>
    </row>
    <row r="54" spans="1:9" ht="7.5" customHeight="1" x14ac:dyDescent="0.2">
      <c r="B54" s="104"/>
      <c r="C54" s="104"/>
      <c r="D54" s="104"/>
      <c r="E54" s="104"/>
      <c r="F54" s="105"/>
      <c r="G54" s="105"/>
      <c r="H54" s="106"/>
      <c r="I54" s="54"/>
    </row>
    <row r="55" spans="1:9" ht="30" customHeight="1" x14ac:dyDescent="0.2">
      <c r="B55" s="368" t="s">
        <v>363</v>
      </c>
      <c r="C55" s="369"/>
      <c r="D55" s="369"/>
      <c r="E55" s="369"/>
      <c r="F55" s="369"/>
      <c r="G55" s="369"/>
      <c r="H55" s="369"/>
      <c r="I55" s="54"/>
    </row>
    <row r="56" spans="1:9" ht="7.5" customHeight="1" x14ac:dyDescent="0.2">
      <c r="B56" s="111"/>
      <c r="C56" s="111"/>
      <c r="D56" s="111"/>
      <c r="E56" s="111"/>
      <c r="F56" s="111"/>
      <c r="G56" s="111"/>
      <c r="H56" s="106"/>
      <c r="I56" s="54"/>
    </row>
    <row r="57" spans="1:9" ht="15" customHeight="1" x14ac:dyDescent="0.2">
      <c r="B57" s="364" t="s">
        <v>461</v>
      </c>
      <c r="C57" s="364"/>
      <c r="D57" s="364"/>
      <c r="E57" s="364"/>
      <c r="F57" s="364"/>
      <c r="G57" s="364"/>
      <c r="H57" s="364"/>
      <c r="I57" s="54"/>
    </row>
    <row r="58" spans="1:9" ht="15" customHeight="1" x14ac:dyDescent="0.2">
      <c r="B58" s="364"/>
      <c r="C58" s="364"/>
      <c r="D58" s="364"/>
      <c r="E58" s="364"/>
      <c r="F58" s="364"/>
      <c r="G58" s="364"/>
      <c r="H58" s="364"/>
      <c r="I58" s="54"/>
    </row>
    <row r="59" spans="1:9" ht="7.5" customHeight="1" thickBot="1" x14ac:dyDescent="0.25">
      <c r="B59" s="104"/>
      <c r="C59" s="104"/>
      <c r="D59" s="104"/>
      <c r="E59" s="104"/>
      <c r="F59" s="104"/>
      <c r="G59" s="104"/>
      <c r="H59" s="104"/>
      <c r="I59" s="54"/>
    </row>
    <row r="60" spans="1:9" ht="15" customHeight="1" x14ac:dyDescent="0.2">
      <c r="A60" s="107"/>
      <c r="B60" s="151" t="s">
        <v>160</v>
      </c>
      <c r="C60" s="227" t="s">
        <v>463</v>
      </c>
      <c r="E60" s="104"/>
      <c r="F60" s="105"/>
      <c r="G60" s="105"/>
      <c r="H60" s="106"/>
      <c r="I60" s="54"/>
    </row>
    <row r="61" spans="1:9" ht="15" customHeight="1" x14ac:dyDescent="0.2">
      <c r="B61" s="152" t="s">
        <v>269</v>
      </c>
      <c r="C61" s="230">
        <f>IF(OR('1.6 IP Calculations'!$N26="",ISBLANK('1.6 IP Calculations'!$N26)),"Awaiting input",'1.6 IP Calculations'!$N26)</f>
        <v>1</v>
      </c>
      <c r="E61" s="104"/>
      <c r="F61" s="105"/>
      <c r="G61" s="105"/>
      <c r="H61" s="106"/>
      <c r="I61" s="54"/>
    </row>
    <row r="62" spans="1:9" ht="15" customHeight="1" x14ac:dyDescent="0.2">
      <c r="B62" s="152" t="s">
        <v>270</v>
      </c>
      <c r="C62" s="230">
        <f>IF(OR('1.6 IP Calculations'!$N27="",ISBLANK('1.6 IP Calculations'!$N27)),"Awaiting input",'1.6 IP Calculations'!$N27)</f>
        <v>0.69078946590728996</v>
      </c>
      <c r="E62" s="104"/>
      <c r="F62" s="105"/>
      <c r="G62" s="105"/>
      <c r="H62" s="106"/>
      <c r="I62" s="54"/>
    </row>
    <row r="63" spans="1:9" ht="15" customHeight="1" x14ac:dyDescent="0.2">
      <c r="B63" s="152" t="s">
        <v>271</v>
      </c>
      <c r="C63" s="230">
        <f>IF(OR('1.6 IP Calculations'!$N28="",ISBLANK('1.6 IP Calculations'!$N28)),"Awaiting input",'1.6 IP Calculations'!$N28)</f>
        <v>0.47573088037749484</v>
      </c>
      <c r="E63" s="104"/>
      <c r="F63" s="105"/>
      <c r="G63" s="105"/>
      <c r="H63" s="106"/>
      <c r="I63" s="54"/>
    </row>
    <row r="64" spans="1:9" ht="15" customHeight="1" x14ac:dyDescent="0.2">
      <c r="B64" s="152" t="s">
        <v>272</v>
      </c>
      <c r="C64" s="230">
        <f>IF(OR('1.6 IP Calculations'!$N29="",ISBLANK('1.6 IP Calculations'!$N29)),"Awaiting input",'1.6 IP Calculations'!$N29)</f>
        <v>0.19626433492283854</v>
      </c>
      <c r="E64" s="104"/>
      <c r="F64" s="105"/>
      <c r="G64" s="105"/>
      <c r="H64" s="106"/>
      <c r="I64" s="54"/>
    </row>
    <row r="65" spans="1:14" ht="15" customHeight="1" thickBot="1" x14ac:dyDescent="0.25">
      <c r="B65" s="153" t="s">
        <v>273</v>
      </c>
      <c r="C65" s="231">
        <f>IF(OR('1.6 IP Calculations'!$N30="",ISBLANK('1.6 IP Calculations'!$N30)),"Awaiting input",'1.6 IP Calculations'!$N30)</f>
        <v>8.5643476075709837E-2</v>
      </c>
      <c r="E65" s="104"/>
      <c r="F65" s="105"/>
      <c r="G65" s="105"/>
      <c r="H65" s="106"/>
      <c r="I65" s="54"/>
    </row>
    <row r="66" spans="1:14" ht="7.5" customHeight="1" x14ac:dyDescent="0.2">
      <c r="B66" s="110"/>
      <c r="C66" s="110"/>
      <c r="D66" s="110"/>
      <c r="E66" s="110"/>
      <c r="F66" s="110"/>
      <c r="G66" s="110"/>
      <c r="H66" s="110"/>
    </row>
    <row r="67" spans="1:14" ht="15" customHeight="1" x14ac:dyDescent="0.2"/>
    <row r="68" spans="1:14" ht="48" customHeight="1" x14ac:dyDescent="0.2">
      <c r="A68" s="1"/>
      <c r="B68" s="366" t="s">
        <v>205</v>
      </c>
      <c r="C68" s="366"/>
      <c r="D68" s="366"/>
      <c r="E68" s="366"/>
      <c r="F68" s="366"/>
      <c r="G68" s="366"/>
      <c r="H68" s="366"/>
      <c r="J68" s="305" t="s">
        <v>265</v>
      </c>
      <c r="K68" s="376" t="s">
        <v>155</v>
      </c>
      <c r="L68" s="376"/>
      <c r="M68" s="376"/>
      <c r="N68" s="376"/>
    </row>
    <row r="69" spans="1:14" ht="6" customHeight="1" x14ac:dyDescent="0.2"/>
    <row r="70" spans="1:14" ht="25" hidden="1" customHeight="1" outlineLevel="1" x14ac:dyDescent="0.2">
      <c r="A70" s="11"/>
      <c r="B70" s="301" t="s">
        <v>266</v>
      </c>
      <c r="C70" s="301" t="s">
        <v>124</v>
      </c>
      <c r="D70" s="301"/>
      <c r="E70" s="301" t="s">
        <v>125</v>
      </c>
      <c r="F70" s="304" t="s">
        <v>256</v>
      </c>
      <c r="G70" s="303" t="s">
        <v>255</v>
      </c>
      <c r="H70" s="304" t="s">
        <v>337</v>
      </c>
      <c r="K70" s="164" t="s">
        <v>302</v>
      </c>
      <c r="L70" s="165" t="s">
        <v>19</v>
      </c>
      <c r="M70" s="165" t="s">
        <v>161</v>
      </c>
      <c r="N70" s="164" t="s">
        <v>162</v>
      </c>
    </row>
    <row r="71" spans="1:14" ht="51" hidden="1" customHeight="1" outlineLevel="1" x14ac:dyDescent="0.2">
      <c r="B71" s="50">
        <v>1</v>
      </c>
      <c r="C71" s="55" t="str">
        <f t="shared" ref="C71:C80" si="4">_xlfn.XLOOKUP(_xlfn.XLOOKUP($B71,$T$13:$T$22,$U$13:$U$22),$K$71:$K$75,$K$71:$K$75)&amp;" – "&amp;_xlfn.XLOOKUP(_xlfn.XLOOKUP($B71,$T$13:$T$22,$U$13:$U$22),$K$71:$K$75,$L$71:$L$75)</f>
        <v>L1 – No Constraint</v>
      </c>
      <c r="D71" s="13" t="s">
        <v>130</v>
      </c>
      <c r="E71" s="14" t="str">
        <f t="shared" ref="E71:E80" si="5">_xlfn.XLOOKUP(_xlfn.XLOOKUP($B71,$T$13:$T$22,$V$13:$V$22),$K$71:$K$75,$K$71:$K$75)&amp;" – "&amp;_xlfn.XLOOKUP(_xlfn.XLOOKUP($B71,$T$13:$T$22,$V$13:$V$22),$K$71:$K$75,$L$71:$L$75)</f>
        <v>L2 – Minor Constraint</v>
      </c>
      <c r="F71" s="78" t="s">
        <v>333</v>
      </c>
      <c r="G71" s="52">
        <f>IFERROR(_xlfn.XLOOKUP($F71,'AHP Saaty Reference'!$H$8:$H$24,'AHP Saaty Reference'!$I$8:$I$24),"")</f>
        <v>0.5</v>
      </c>
      <c r="H71" s="78" t="s">
        <v>367</v>
      </c>
      <c r="K71" s="294" t="s">
        <v>269</v>
      </c>
      <c r="L71" s="294" t="s">
        <v>284</v>
      </c>
      <c r="M71" s="294" t="s">
        <v>169</v>
      </c>
      <c r="N71" s="294" t="s">
        <v>170</v>
      </c>
    </row>
    <row r="72" spans="1:14" ht="51.75" hidden="1" customHeight="1" outlineLevel="1" x14ac:dyDescent="0.2">
      <c r="B72" s="50">
        <v>2</v>
      </c>
      <c r="C72" s="55" t="str">
        <f t="shared" si="4"/>
        <v>L1 – No Constraint</v>
      </c>
      <c r="D72" s="13" t="s">
        <v>130</v>
      </c>
      <c r="E72" s="14" t="str">
        <f t="shared" si="5"/>
        <v>L3 – Moderate Constraint</v>
      </c>
      <c r="F72" s="78" t="s">
        <v>312</v>
      </c>
      <c r="G72" s="52">
        <f>IFERROR(_xlfn.XLOOKUP($F72,'AHP Saaty Reference'!$H$8:$H$24,'AHP Saaty Reference'!$I$8:$I$24),"")</f>
        <v>0.33333333333333331</v>
      </c>
      <c r="H72" s="78" t="s">
        <v>368</v>
      </c>
      <c r="K72" s="295" t="s">
        <v>270</v>
      </c>
      <c r="L72" s="295" t="s">
        <v>285</v>
      </c>
      <c r="M72" s="295" t="s">
        <v>177</v>
      </c>
      <c r="N72" s="295" t="s">
        <v>178</v>
      </c>
    </row>
    <row r="73" spans="1:14" ht="51.75" hidden="1" customHeight="1" outlineLevel="1" x14ac:dyDescent="0.2">
      <c r="B73" s="50">
        <v>3</v>
      </c>
      <c r="C73" s="55" t="str">
        <f t="shared" si="4"/>
        <v>L1 – No Constraint</v>
      </c>
      <c r="D73" s="13" t="s">
        <v>130</v>
      </c>
      <c r="E73" s="14" t="str">
        <f t="shared" si="5"/>
        <v>L4 – Strong Constraint</v>
      </c>
      <c r="F73" s="78" t="s">
        <v>313</v>
      </c>
      <c r="G73" s="52">
        <f>IFERROR(_xlfn.XLOOKUP($F73,'AHP Saaty Reference'!$H$8:$H$24,'AHP Saaty Reference'!$I$8:$I$24),"")</f>
        <v>0.2</v>
      </c>
      <c r="H73" s="78" t="s">
        <v>369</v>
      </c>
      <c r="K73" s="296" t="s">
        <v>271</v>
      </c>
      <c r="L73" s="296" t="s">
        <v>286</v>
      </c>
      <c r="M73" s="296" t="s">
        <v>365</v>
      </c>
      <c r="N73" s="296" t="s">
        <v>185</v>
      </c>
    </row>
    <row r="74" spans="1:14" ht="51.75" hidden="1" customHeight="1" outlineLevel="1" x14ac:dyDescent="0.2">
      <c r="B74" s="50">
        <v>4</v>
      </c>
      <c r="C74" s="55" t="str">
        <f t="shared" si="4"/>
        <v>L1 – No Constraint</v>
      </c>
      <c r="D74" s="13" t="s">
        <v>130</v>
      </c>
      <c r="E74" s="14" t="str">
        <f t="shared" si="5"/>
        <v>L5 – Severe Constraint</v>
      </c>
      <c r="F74" s="78" t="s">
        <v>315</v>
      </c>
      <c r="G74" s="52">
        <f>IFERROR(_xlfn.XLOOKUP($F74,'AHP Saaty Reference'!$H$8:$H$24,'AHP Saaty Reference'!$I$8:$I$24),"")</f>
        <v>0.1111111111111111</v>
      </c>
      <c r="H74" s="78" t="s">
        <v>376</v>
      </c>
      <c r="K74" s="297" t="s">
        <v>272</v>
      </c>
      <c r="L74" s="297" t="s">
        <v>287</v>
      </c>
      <c r="M74" s="297" t="s">
        <v>366</v>
      </c>
      <c r="N74" s="297" t="s">
        <v>192</v>
      </c>
    </row>
    <row r="75" spans="1:14" ht="51.75" hidden="1" customHeight="1" outlineLevel="1" x14ac:dyDescent="0.2">
      <c r="B75" s="50">
        <v>5</v>
      </c>
      <c r="C75" s="55" t="str">
        <f t="shared" si="4"/>
        <v>L2 – Minor Constraint</v>
      </c>
      <c r="D75" s="13" t="s">
        <v>130</v>
      </c>
      <c r="E75" s="14" t="str">
        <f t="shared" si="5"/>
        <v>L3 – Moderate Constraint</v>
      </c>
      <c r="F75" s="78" t="s">
        <v>312</v>
      </c>
      <c r="G75" s="52">
        <f>IFERROR(_xlfn.XLOOKUP($F75,'AHP Saaty Reference'!$H$8:$H$24,'AHP Saaty Reference'!$I$8:$I$24),"")</f>
        <v>0.33333333333333331</v>
      </c>
      <c r="H75" s="78" t="s">
        <v>370</v>
      </c>
      <c r="K75" s="298" t="s">
        <v>273</v>
      </c>
      <c r="L75" s="298" t="s">
        <v>288</v>
      </c>
      <c r="M75" s="298" t="s">
        <v>364</v>
      </c>
      <c r="N75" s="298" t="s">
        <v>199</v>
      </c>
    </row>
    <row r="76" spans="1:14" ht="51.75" hidden="1" customHeight="1" outlineLevel="1" x14ac:dyDescent="0.2">
      <c r="B76" s="50">
        <v>6</v>
      </c>
      <c r="C76" s="55" t="str">
        <f t="shared" si="4"/>
        <v>L2 – Minor Constraint</v>
      </c>
      <c r="D76" s="13" t="s">
        <v>130</v>
      </c>
      <c r="E76" s="14" t="str">
        <f t="shared" si="5"/>
        <v>L4 – Strong Constraint</v>
      </c>
      <c r="F76" s="78" t="s">
        <v>313</v>
      </c>
      <c r="G76" s="52">
        <f>IFERROR(_xlfn.XLOOKUP($F76,'AHP Saaty Reference'!$H$8:$H$24,'AHP Saaty Reference'!$I$8:$I$24),"")</f>
        <v>0.2</v>
      </c>
      <c r="H76" s="78" t="s">
        <v>371</v>
      </c>
    </row>
    <row r="77" spans="1:14" ht="51.75" hidden="1" customHeight="1" outlineLevel="1" x14ac:dyDescent="0.2">
      <c r="B77" s="50">
        <v>7</v>
      </c>
      <c r="C77" s="55" t="str">
        <f t="shared" si="4"/>
        <v>L2 – Minor Constraint</v>
      </c>
      <c r="D77" s="13" t="s">
        <v>130</v>
      </c>
      <c r="E77" s="14" t="str">
        <f t="shared" si="5"/>
        <v>L5 – Severe Constraint</v>
      </c>
      <c r="F77" s="78" t="s">
        <v>314</v>
      </c>
      <c r="G77" s="52">
        <f>IFERROR(_xlfn.XLOOKUP($F77,'AHP Saaty Reference'!$H$8:$H$24,'AHP Saaty Reference'!$I$8:$I$24),"")</f>
        <v>0.14285714285714285</v>
      </c>
      <c r="H77" s="78" t="s">
        <v>372</v>
      </c>
    </row>
    <row r="78" spans="1:14" ht="51.75" hidden="1" customHeight="1" outlineLevel="1" x14ac:dyDescent="0.2">
      <c r="B78" s="50">
        <v>8</v>
      </c>
      <c r="C78" s="55" t="str">
        <f t="shared" si="4"/>
        <v>L3 – Moderate Constraint</v>
      </c>
      <c r="D78" s="13" t="s">
        <v>130</v>
      </c>
      <c r="E78" s="14" t="str">
        <f t="shared" si="5"/>
        <v>L4 – Strong Constraint</v>
      </c>
      <c r="F78" s="78" t="s">
        <v>313</v>
      </c>
      <c r="G78" s="52">
        <f>IFERROR(_xlfn.XLOOKUP($F78,'AHP Saaty Reference'!$H$8:$H$24,'AHP Saaty Reference'!$I$8:$I$24),"")</f>
        <v>0.2</v>
      </c>
      <c r="H78" s="78" t="s">
        <v>373</v>
      </c>
    </row>
    <row r="79" spans="1:14" ht="51.75" hidden="1" customHeight="1" outlineLevel="1" x14ac:dyDescent="0.2">
      <c r="B79" s="50">
        <v>9</v>
      </c>
      <c r="C79" s="55" t="str">
        <f t="shared" si="4"/>
        <v>L3 – Moderate Constraint</v>
      </c>
      <c r="D79" s="13" t="s">
        <v>130</v>
      </c>
      <c r="E79" s="14" t="str">
        <f t="shared" si="5"/>
        <v>L5 – Severe Constraint</v>
      </c>
      <c r="F79" s="78" t="s">
        <v>314</v>
      </c>
      <c r="G79" s="52">
        <f>IFERROR(_xlfn.XLOOKUP($F79,'AHP Saaty Reference'!$H$8:$H$24,'AHP Saaty Reference'!$I$8:$I$24),"")</f>
        <v>0.14285714285714285</v>
      </c>
      <c r="H79" s="78" t="s">
        <v>374</v>
      </c>
    </row>
    <row r="80" spans="1:14" ht="51.75" hidden="1" customHeight="1" outlineLevel="1" x14ac:dyDescent="0.2">
      <c r="B80" s="50">
        <v>10</v>
      </c>
      <c r="C80" s="55" t="str">
        <f t="shared" si="4"/>
        <v>L4 – Strong Constraint</v>
      </c>
      <c r="D80" s="13" t="s">
        <v>130</v>
      </c>
      <c r="E80" s="14" t="str">
        <f t="shared" si="5"/>
        <v>L5 – Severe Constraint</v>
      </c>
      <c r="F80" s="78" t="s">
        <v>313</v>
      </c>
      <c r="G80" s="52">
        <f>IFERROR(_xlfn.XLOOKUP($F80,'AHP Saaty Reference'!$H$8:$H$24,'AHP Saaty Reference'!$I$8:$I$24),"")</f>
        <v>0.2</v>
      </c>
      <c r="H80" s="78" t="s">
        <v>375</v>
      </c>
    </row>
    <row r="81" spans="1:9" ht="7.5" customHeight="1" collapsed="1" x14ac:dyDescent="0.2">
      <c r="C81" s="16"/>
      <c r="D81" s="16"/>
      <c r="E81" s="16"/>
      <c r="F81" s="16"/>
      <c r="G81" s="53"/>
    </row>
    <row r="82" spans="1:9" ht="51.75" customHeight="1" x14ac:dyDescent="0.2">
      <c r="B82" s="375" t="s">
        <v>257</v>
      </c>
      <c r="C82" s="375"/>
      <c r="D82" s="375"/>
      <c r="E82" s="375"/>
      <c r="F82" s="375"/>
      <c r="G82" s="363" t="str">
        <f>IF(
    '1.6 IP Calculations'!$W$52="",
    "Awaiting judgment inputs",
    IF(
        '1.6 IP Calculations'!$W$52&lt;=0.1,
        "Acceptable"&amp;CHAR(10)&amp;"CR = "&amp;TEXT('1.6 IP Calculations'!$W$52,"0.000"),
        "Not Acceptable – Revise judgments"&amp;CHAR(10)&amp;"CR = "&amp;TEXT('1.6 IP Calculations'!$W$52,"0.000")
    )
)</f>
        <v>Acceptable
CR = 0.091</v>
      </c>
      <c r="H82" s="363"/>
    </row>
    <row r="83" spans="1:9" ht="7.5" customHeight="1" x14ac:dyDescent="0.2">
      <c r="B83" s="104"/>
      <c r="C83" s="104"/>
      <c r="D83" s="104"/>
      <c r="E83" s="104"/>
      <c r="F83" s="105"/>
      <c r="G83" s="105"/>
      <c r="H83" s="106"/>
      <c r="I83" s="54"/>
    </row>
    <row r="84" spans="1:9" ht="30" customHeight="1" x14ac:dyDescent="0.2">
      <c r="B84" s="368" t="s">
        <v>363</v>
      </c>
      <c r="C84" s="369"/>
      <c r="D84" s="369"/>
      <c r="E84" s="369"/>
      <c r="F84" s="369"/>
      <c r="G84" s="369"/>
      <c r="H84" s="369"/>
      <c r="I84" s="54"/>
    </row>
    <row r="85" spans="1:9" ht="7.5" customHeight="1" x14ac:dyDescent="0.2">
      <c r="B85" s="111"/>
      <c r="C85" s="111"/>
      <c r="D85" s="111"/>
      <c r="E85" s="111"/>
      <c r="F85" s="111"/>
      <c r="G85" s="111"/>
      <c r="H85" s="106"/>
      <c r="I85" s="54"/>
    </row>
    <row r="86" spans="1:9" ht="15" customHeight="1" x14ac:dyDescent="0.2">
      <c r="B86" s="364" t="s">
        <v>461</v>
      </c>
      <c r="C86" s="364"/>
      <c r="D86" s="364"/>
      <c r="E86" s="364"/>
      <c r="F86" s="364"/>
      <c r="G86" s="364"/>
      <c r="H86" s="364"/>
      <c r="I86" s="54"/>
    </row>
    <row r="87" spans="1:9" ht="15" customHeight="1" x14ac:dyDescent="0.2">
      <c r="B87" s="364"/>
      <c r="C87" s="364"/>
      <c r="D87" s="364"/>
      <c r="E87" s="364"/>
      <c r="F87" s="364"/>
      <c r="G87" s="364"/>
      <c r="H87" s="364"/>
      <c r="I87" s="54"/>
    </row>
    <row r="88" spans="1:9" ht="7.5" customHeight="1" thickBot="1" x14ac:dyDescent="0.25">
      <c r="B88" s="104"/>
      <c r="C88" s="104"/>
      <c r="D88" s="104"/>
      <c r="E88" s="104"/>
      <c r="F88" s="104"/>
      <c r="G88" s="104"/>
      <c r="H88" s="104"/>
      <c r="I88" s="54"/>
    </row>
    <row r="89" spans="1:9" ht="15" customHeight="1" x14ac:dyDescent="0.2">
      <c r="A89" s="107"/>
      <c r="B89" s="151" t="s">
        <v>160</v>
      </c>
      <c r="C89" s="227" t="s">
        <v>463</v>
      </c>
      <c r="E89" s="104"/>
      <c r="F89" s="105"/>
      <c r="G89" s="105"/>
      <c r="H89" s="106"/>
      <c r="I89" s="54"/>
    </row>
    <row r="90" spans="1:9" ht="15" customHeight="1" x14ac:dyDescent="0.2">
      <c r="B90" s="152" t="s">
        <v>269</v>
      </c>
      <c r="C90" s="230">
        <f>IF(OR('1.6 IP Calculations'!$X26="",ISBLANK('1.6 IP Calculations'!$X26)),"Awaiting input",'1.6 IP Calculations'!$X26)</f>
        <v>6.6383715741056018E-2</v>
      </c>
      <c r="E90" s="104"/>
      <c r="F90" s="105"/>
      <c r="G90" s="105"/>
      <c r="H90" s="106"/>
      <c r="I90" s="54"/>
    </row>
    <row r="91" spans="1:9" ht="15" customHeight="1" x14ac:dyDescent="0.2">
      <c r="B91" s="152" t="s">
        <v>270</v>
      </c>
      <c r="C91" s="230">
        <f>IF(OR('1.6 IP Calculations'!$X27="",ISBLANK('1.6 IP Calculations'!$X27)),"Awaiting input",'1.6 IP Calculations'!$X27)</f>
        <v>9.3156939867647698E-2</v>
      </c>
      <c r="E91" s="104"/>
      <c r="F91" s="105"/>
      <c r="G91" s="105"/>
      <c r="H91" s="106"/>
      <c r="I91" s="54"/>
    </row>
    <row r="92" spans="1:9" ht="15" customHeight="1" x14ac:dyDescent="0.2">
      <c r="B92" s="152" t="s">
        <v>271</v>
      </c>
      <c r="C92" s="230">
        <f>IF(OR('1.6 IP Calculations'!$X28="",ISBLANK('1.6 IP Calculations'!$X28)),"Awaiting input",'1.6 IP Calculations'!$X28)</f>
        <v>0.15959482588812723</v>
      </c>
      <c r="E92" s="104"/>
      <c r="F92" s="105"/>
      <c r="G92" s="105"/>
      <c r="H92" s="106"/>
      <c r="I92" s="54"/>
    </row>
    <row r="93" spans="1:9" ht="15" customHeight="1" x14ac:dyDescent="0.2">
      <c r="B93" s="152" t="s">
        <v>272</v>
      </c>
      <c r="C93" s="230">
        <f>IF(OR('1.6 IP Calculations'!$X29="",ISBLANK('1.6 IP Calculations'!$X29)),"Awaiting input",'1.6 IP Calculations'!$X29)</f>
        <v>0.40764892884380116</v>
      </c>
      <c r="E93" s="104"/>
      <c r="F93" s="105"/>
      <c r="G93" s="105"/>
      <c r="H93" s="106"/>
      <c r="I93" s="54"/>
    </row>
    <row r="94" spans="1:9" ht="15" customHeight="1" thickBot="1" x14ac:dyDescent="0.25">
      <c r="B94" s="153" t="s">
        <v>273</v>
      </c>
      <c r="C94" s="231">
        <f>IF(OR('1.6 IP Calculations'!$X30="",ISBLANK('1.6 IP Calculations'!$X30)),"Awaiting input",'1.6 IP Calculations'!$X30)</f>
        <v>1</v>
      </c>
      <c r="E94" s="104"/>
      <c r="F94" s="105"/>
      <c r="G94" s="105"/>
      <c r="H94" s="106"/>
      <c r="I94" s="54"/>
    </row>
    <row r="95" spans="1:9" ht="7.5" customHeight="1" x14ac:dyDescent="0.2">
      <c r="B95" s="110"/>
      <c r="C95" s="110"/>
      <c r="D95" s="110"/>
      <c r="E95" s="110"/>
      <c r="F95" s="110"/>
      <c r="G95" s="110"/>
      <c r="H95" s="110"/>
    </row>
    <row r="96" spans="1:9" ht="15" customHeight="1" x14ac:dyDescent="0.2"/>
    <row r="97" spans="1:15" ht="48" customHeight="1" x14ac:dyDescent="0.2">
      <c r="A97" s="1"/>
      <c r="B97" s="366" t="s">
        <v>206</v>
      </c>
      <c r="C97" s="366"/>
      <c r="D97" s="366"/>
      <c r="E97" s="366"/>
      <c r="F97" s="366"/>
      <c r="G97" s="366"/>
      <c r="H97" s="366"/>
      <c r="J97" s="305" t="s">
        <v>289</v>
      </c>
      <c r="K97" s="376" t="s">
        <v>157</v>
      </c>
      <c r="L97" s="376"/>
      <c r="M97" s="376"/>
      <c r="N97" s="376"/>
    </row>
    <row r="98" spans="1:15" ht="6" customHeight="1" x14ac:dyDescent="0.2"/>
    <row r="99" spans="1:15" ht="25" customHeight="1" outlineLevel="1" x14ac:dyDescent="0.2">
      <c r="A99" s="11"/>
      <c r="B99" s="301" t="s">
        <v>266</v>
      </c>
      <c r="C99" s="301" t="s">
        <v>124</v>
      </c>
      <c r="D99" s="301"/>
      <c r="E99" s="301" t="s">
        <v>125</v>
      </c>
      <c r="F99" s="304" t="s">
        <v>256</v>
      </c>
      <c r="G99" s="303" t="s">
        <v>255</v>
      </c>
      <c r="H99" s="304" t="s">
        <v>337</v>
      </c>
      <c r="K99" s="164" t="s">
        <v>160</v>
      </c>
      <c r="L99" s="165" t="s">
        <v>19</v>
      </c>
      <c r="M99" s="165" t="s">
        <v>161</v>
      </c>
      <c r="N99" s="164" t="s">
        <v>162</v>
      </c>
    </row>
    <row r="100" spans="1:15" ht="51.75" customHeight="1" outlineLevel="2" x14ac:dyDescent="0.2">
      <c r="B100" s="50">
        <v>1</v>
      </c>
      <c r="C100" s="55" t="str">
        <f t="shared" ref="C100:C109" si="6">_xlfn.XLOOKUP(_xlfn.XLOOKUP($B100,$T$13:$T$22,$U$13:$U$22),$K$100:$K$104,$K$100:$K$104)&amp;" – "&amp;_xlfn.XLOOKUP(_xlfn.XLOOKUP($B71,$T$13:$T$22,$U$13:$U$22),$K$100:$K$104,$L$100:$L$104)</f>
        <v>L1 – Minimal Coordination Overhead</v>
      </c>
      <c r="D100" s="13" t="s">
        <v>130</v>
      </c>
      <c r="E100" s="14" t="str">
        <f t="shared" ref="E100:E109" si="7">_xlfn.XLOOKUP(_xlfn.XLOOKUP($B100,$T$13:$T$22,$V$13:$V$22),$K$100:$K$104,$K$100:$K$104)&amp;" – "&amp;_xlfn.XLOOKUP(_xlfn.XLOOKUP($B71,$T$13:$T$22,$V$13:$V$22),$K$100:$K$104,$L$100:$L$104)</f>
        <v>L2 – Limited Coordination Overhead</v>
      </c>
      <c r="F100" s="78" t="s">
        <v>312</v>
      </c>
      <c r="G100" s="52">
        <f>IFERROR(_xlfn.XLOOKUP($F100,'AHP Saaty Reference'!$H$8:$H$24,'AHP Saaty Reference'!$I$8:$I$24),"")</f>
        <v>0.33333333333333331</v>
      </c>
      <c r="H100" s="78" t="s">
        <v>377</v>
      </c>
      <c r="K100" s="294" t="s">
        <v>269</v>
      </c>
      <c r="L100" s="294" t="s">
        <v>290</v>
      </c>
      <c r="M100" s="294" t="s">
        <v>662</v>
      </c>
      <c r="N100" s="294" t="s">
        <v>663</v>
      </c>
    </row>
    <row r="101" spans="1:15" ht="51.75" customHeight="1" outlineLevel="2" x14ac:dyDescent="0.2">
      <c r="B101" s="50">
        <v>2</v>
      </c>
      <c r="C101" s="55" t="str">
        <f t="shared" si="6"/>
        <v>L1 – Minimal Coordination Overhead</v>
      </c>
      <c r="D101" s="13" t="s">
        <v>130</v>
      </c>
      <c r="E101" s="14" t="str">
        <f t="shared" si="7"/>
        <v>L3 – Moderate Coordination Overhead</v>
      </c>
      <c r="F101" s="78" t="s">
        <v>313</v>
      </c>
      <c r="G101" s="52">
        <f>IFERROR(_xlfn.XLOOKUP($F101,'AHP Saaty Reference'!$H$8:$H$24,'AHP Saaty Reference'!$I$8:$I$24),"")</f>
        <v>0.2</v>
      </c>
      <c r="H101" s="78" t="s">
        <v>378</v>
      </c>
      <c r="K101" s="295" t="s">
        <v>270</v>
      </c>
      <c r="L101" s="295" t="s">
        <v>291</v>
      </c>
      <c r="M101" s="295" t="s">
        <v>664</v>
      </c>
      <c r="N101" s="295" t="s">
        <v>665</v>
      </c>
    </row>
    <row r="102" spans="1:15" ht="51.75" customHeight="1" outlineLevel="2" x14ac:dyDescent="0.2">
      <c r="B102" s="50">
        <v>3</v>
      </c>
      <c r="C102" s="55" t="str">
        <f t="shared" si="6"/>
        <v>L1 – Minimal Coordination Overhead</v>
      </c>
      <c r="D102" s="13" t="s">
        <v>130</v>
      </c>
      <c r="E102" s="14" t="str">
        <f t="shared" si="7"/>
        <v>L4 – High Coordination Overhead</v>
      </c>
      <c r="F102" s="78" t="s">
        <v>314</v>
      </c>
      <c r="G102" s="52">
        <f>IFERROR(_xlfn.XLOOKUP($F102,'AHP Saaty Reference'!$H$8:$H$24,'AHP Saaty Reference'!$I$8:$I$24),"")</f>
        <v>0.14285714285714285</v>
      </c>
      <c r="H102" s="78" t="s">
        <v>379</v>
      </c>
      <c r="K102" s="296" t="s">
        <v>271</v>
      </c>
      <c r="L102" s="296" t="s">
        <v>292</v>
      </c>
      <c r="M102" s="296" t="s">
        <v>666</v>
      </c>
      <c r="N102" s="296" t="s">
        <v>667</v>
      </c>
    </row>
    <row r="103" spans="1:15" ht="51.75" customHeight="1" outlineLevel="2" x14ac:dyDescent="0.2">
      <c r="B103" s="50">
        <v>4</v>
      </c>
      <c r="C103" s="55" t="str">
        <f t="shared" si="6"/>
        <v>L1 – Minimal Coordination Overhead</v>
      </c>
      <c r="D103" s="13" t="s">
        <v>130</v>
      </c>
      <c r="E103" s="14" t="str">
        <f t="shared" si="7"/>
        <v>L5 – Strategic Coordination Overhead</v>
      </c>
      <c r="F103" s="78" t="s">
        <v>315</v>
      </c>
      <c r="G103" s="52">
        <f>IFERROR(_xlfn.XLOOKUP($F103,'AHP Saaty Reference'!$H$8:$H$24,'AHP Saaty Reference'!$I$8:$I$24),"")</f>
        <v>0.1111111111111111</v>
      </c>
      <c r="H103" s="78" t="s">
        <v>380</v>
      </c>
      <c r="K103" s="297" t="s">
        <v>272</v>
      </c>
      <c r="L103" s="297" t="s">
        <v>293</v>
      </c>
      <c r="M103" s="297" t="s">
        <v>668</v>
      </c>
      <c r="N103" s="297" t="s">
        <v>669</v>
      </c>
    </row>
    <row r="104" spans="1:15" ht="51.75" customHeight="1" outlineLevel="2" x14ac:dyDescent="0.2">
      <c r="B104" s="50">
        <v>5</v>
      </c>
      <c r="C104" s="55" t="str">
        <f t="shared" si="6"/>
        <v>L2 – Limited Coordination Overhead</v>
      </c>
      <c r="D104" s="13" t="s">
        <v>130</v>
      </c>
      <c r="E104" s="14" t="str">
        <f t="shared" si="7"/>
        <v>L3 – Moderate Coordination Overhead</v>
      </c>
      <c r="F104" s="78" t="s">
        <v>312</v>
      </c>
      <c r="G104" s="52">
        <f>IFERROR(_xlfn.XLOOKUP($F104,'AHP Saaty Reference'!$H$8:$H$24,'AHP Saaty Reference'!$I$8:$I$24),"")</f>
        <v>0.33333333333333331</v>
      </c>
      <c r="H104" s="78" t="s">
        <v>381</v>
      </c>
      <c r="K104" s="298" t="s">
        <v>273</v>
      </c>
      <c r="L104" s="298" t="s">
        <v>294</v>
      </c>
      <c r="M104" s="298" t="s">
        <v>670</v>
      </c>
      <c r="N104" s="298" t="s">
        <v>671</v>
      </c>
    </row>
    <row r="105" spans="1:15" ht="51.75" customHeight="1" outlineLevel="2" x14ac:dyDescent="0.2">
      <c r="B105" s="50">
        <v>6</v>
      </c>
      <c r="C105" s="55" t="str">
        <f t="shared" si="6"/>
        <v>L2 – Limited Coordination Overhead</v>
      </c>
      <c r="D105" s="13" t="s">
        <v>130</v>
      </c>
      <c r="E105" s="14" t="str">
        <f t="shared" si="7"/>
        <v>L4 – High Coordination Overhead</v>
      </c>
      <c r="F105" s="78" t="s">
        <v>313</v>
      </c>
      <c r="G105" s="52">
        <f>IFERROR(_xlfn.XLOOKUP($F105,'AHP Saaty Reference'!$H$8:$H$24,'AHP Saaty Reference'!$I$8:$I$24),"")</f>
        <v>0.2</v>
      </c>
      <c r="H105" s="78" t="s">
        <v>382</v>
      </c>
    </row>
    <row r="106" spans="1:15" ht="51.75" customHeight="1" outlineLevel="2" x14ac:dyDescent="0.2">
      <c r="B106" s="50">
        <v>7</v>
      </c>
      <c r="C106" s="55" t="str">
        <f t="shared" si="6"/>
        <v>L2 – Limited Coordination Overhead</v>
      </c>
      <c r="D106" s="13" t="s">
        <v>130</v>
      </c>
      <c r="E106" s="14" t="str">
        <f t="shared" si="7"/>
        <v>L5 – Strategic Coordination Overhead</v>
      </c>
      <c r="F106" s="78" t="s">
        <v>314</v>
      </c>
      <c r="G106" s="52">
        <f>IFERROR(_xlfn.XLOOKUP($F106,'AHP Saaty Reference'!$H$8:$H$24,'AHP Saaty Reference'!$I$8:$I$24),"")</f>
        <v>0.14285714285714285</v>
      </c>
      <c r="H106" s="78" t="s">
        <v>383</v>
      </c>
      <c r="M106" s="49"/>
      <c r="N106" s="49"/>
      <c r="O106" s="49"/>
    </row>
    <row r="107" spans="1:15" ht="51.75" customHeight="1" outlineLevel="2" x14ac:dyDescent="0.2">
      <c r="B107" s="50">
        <v>8</v>
      </c>
      <c r="C107" s="55" t="str">
        <f t="shared" si="6"/>
        <v>L3 – Moderate Coordination Overhead</v>
      </c>
      <c r="D107" s="13" t="s">
        <v>130</v>
      </c>
      <c r="E107" s="14" t="str">
        <f t="shared" si="7"/>
        <v>L4 – High Coordination Overhead</v>
      </c>
      <c r="F107" s="78" t="s">
        <v>313</v>
      </c>
      <c r="G107" s="52">
        <f>IFERROR(_xlfn.XLOOKUP($F107,'AHP Saaty Reference'!$H$8:$H$24,'AHP Saaty Reference'!$I$8:$I$24),"")</f>
        <v>0.2</v>
      </c>
      <c r="H107" s="78" t="s">
        <v>384</v>
      </c>
      <c r="M107" s="49"/>
      <c r="N107"/>
    </row>
    <row r="108" spans="1:15" ht="51.75" customHeight="1" outlineLevel="2" x14ac:dyDescent="0.2">
      <c r="B108" s="50">
        <v>9</v>
      </c>
      <c r="C108" s="55" t="str">
        <f t="shared" si="6"/>
        <v>L3 – Moderate Coordination Overhead</v>
      </c>
      <c r="D108" s="13" t="s">
        <v>130</v>
      </c>
      <c r="E108" s="14" t="str">
        <f t="shared" si="7"/>
        <v>L5 – Strategic Coordination Overhead</v>
      </c>
      <c r="F108" s="78" t="s">
        <v>314</v>
      </c>
      <c r="G108" s="52">
        <f>IFERROR(_xlfn.XLOOKUP($F108,'AHP Saaty Reference'!$H$8:$H$24,'AHP Saaty Reference'!$I$8:$I$24),"")</f>
        <v>0.14285714285714285</v>
      </c>
      <c r="H108" s="78" t="s">
        <v>385</v>
      </c>
      <c r="M108" s="49"/>
      <c r="N108"/>
    </row>
    <row r="109" spans="1:15" ht="51.75" customHeight="1" outlineLevel="2" x14ac:dyDescent="0.2">
      <c r="B109" s="50">
        <v>10</v>
      </c>
      <c r="C109" s="55" t="str">
        <f t="shared" si="6"/>
        <v>L4 – High Coordination Overhead</v>
      </c>
      <c r="D109" s="13" t="s">
        <v>130</v>
      </c>
      <c r="E109" s="14" t="str">
        <f t="shared" si="7"/>
        <v>L5 – Strategic Coordination Overhead</v>
      </c>
      <c r="F109" s="78" t="s">
        <v>312</v>
      </c>
      <c r="G109" s="52">
        <f>IFERROR(_xlfn.XLOOKUP($F109,'AHP Saaty Reference'!$H$8:$H$24,'AHP Saaty Reference'!$I$8:$I$24),"")</f>
        <v>0.33333333333333331</v>
      </c>
      <c r="H109" s="78" t="s">
        <v>386</v>
      </c>
      <c r="M109" s="49"/>
      <c r="N109"/>
    </row>
    <row r="110" spans="1:15" ht="7.5" customHeight="1" x14ac:dyDescent="0.2">
      <c r="C110" s="16"/>
      <c r="D110" s="16"/>
      <c r="E110" s="16"/>
      <c r="F110" s="16"/>
      <c r="G110" s="53"/>
      <c r="M110" s="49"/>
      <c r="N110"/>
    </row>
    <row r="111" spans="1:15" ht="51.75" customHeight="1" x14ac:dyDescent="0.2">
      <c r="B111" s="375" t="s">
        <v>257</v>
      </c>
      <c r="C111" s="375"/>
      <c r="D111" s="375"/>
      <c r="E111" s="375"/>
      <c r="F111" s="375"/>
      <c r="G111" s="363" t="str">
        <f>IF(
    '1.6 IP Calculations'!$AH$52="",
    "Awaiting judgment inputs",
    IF(
        '1.6 IP Calculations'!$AH$52&lt;=0.1,
        "Acceptable"&amp;CHAR(10)&amp;"CR = "&amp;TEXT('1.6 IP Calculations'!$AH$52,"0.000"),
        "Not Acceptable – Revise judgments"&amp;CHAR(10)&amp;"CR = "&amp;TEXT('1.6 IP Calculations'!$AH$52,"0.000")
    )
)</f>
        <v>Acceptable
CR = 0.087</v>
      </c>
      <c r="H111" s="363"/>
      <c r="M111" s="49"/>
      <c r="N111"/>
    </row>
    <row r="112" spans="1:15" ht="7.5" customHeight="1" x14ac:dyDescent="0.2">
      <c r="B112" s="109"/>
      <c r="C112" s="109"/>
      <c r="D112" s="109"/>
      <c r="E112" s="109"/>
      <c r="F112" s="109"/>
      <c r="G112" s="105"/>
      <c r="H112" s="105"/>
    </row>
    <row r="113" spans="1:14" ht="30" customHeight="1" x14ac:dyDescent="0.2">
      <c r="B113" s="368" t="s">
        <v>363</v>
      </c>
      <c r="C113" s="369"/>
      <c r="D113" s="369"/>
      <c r="E113" s="369"/>
      <c r="F113" s="369"/>
      <c r="G113" s="369"/>
      <c r="H113" s="369"/>
      <c r="I113" s="54"/>
    </row>
    <row r="114" spans="1:14" ht="7.5" customHeight="1" x14ac:dyDescent="0.2">
      <c r="B114" s="111"/>
      <c r="C114" s="111"/>
      <c r="D114" s="111"/>
      <c r="E114" s="111"/>
      <c r="F114" s="111"/>
      <c r="G114" s="111"/>
      <c r="H114" s="106"/>
      <c r="I114" s="54"/>
    </row>
    <row r="115" spans="1:14" ht="15" customHeight="1" x14ac:dyDescent="0.2">
      <c r="B115" s="364" t="s">
        <v>461</v>
      </c>
      <c r="C115" s="364"/>
      <c r="D115" s="364"/>
      <c r="E115" s="364"/>
      <c r="F115" s="364"/>
      <c r="G115" s="364"/>
      <c r="H115" s="364"/>
      <c r="I115" s="54"/>
    </row>
    <row r="116" spans="1:14" ht="15" customHeight="1" x14ac:dyDescent="0.2">
      <c r="B116" s="364"/>
      <c r="C116" s="364"/>
      <c r="D116" s="364"/>
      <c r="E116" s="364"/>
      <c r="F116" s="364"/>
      <c r="G116" s="364"/>
      <c r="H116" s="364"/>
      <c r="I116" s="54"/>
    </row>
    <row r="117" spans="1:14" ht="7.5" customHeight="1" thickBot="1" x14ac:dyDescent="0.25">
      <c r="B117" s="104"/>
      <c r="C117" s="104"/>
      <c r="D117" s="104"/>
      <c r="E117" s="104"/>
      <c r="F117" s="104"/>
      <c r="G117" s="104"/>
      <c r="H117" s="104"/>
      <c r="I117" s="54"/>
    </row>
    <row r="118" spans="1:14" ht="15" customHeight="1" x14ac:dyDescent="0.2">
      <c r="A118" s="107"/>
      <c r="B118" s="151" t="s">
        <v>160</v>
      </c>
      <c r="C118" s="227" t="s">
        <v>463</v>
      </c>
      <c r="E118" s="104"/>
      <c r="F118" s="105"/>
      <c r="G118" s="105"/>
      <c r="H118" s="106"/>
      <c r="I118" s="54"/>
    </row>
    <row r="119" spans="1:14" ht="15" customHeight="1" x14ac:dyDescent="0.2">
      <c r="B119" s="152" t="s">
        <v>269</v>
      </c>
      <c r="C119" s="230">
        <f>IF(OR('1.6 IP Calculations'!$AI26="",ISBLANK('1.6 IP Calculations'!$AI26)),"Awaiting input",'1.6 IP Calculations'!$AI26)</f>
        <v>6.079776154648308E-2</v>
      </c>
      <c r="E119" s="104"/>
      <c r="F119" s="105"/>
      <c r="G119" s="105"/>
      <c r="H119" s="106"/>
      <c r="I119" s="54"/>
    </row>
    <row r="120" spans="1:14" ht="15" customHeight="1" x14ac:dyDescent="0.2">
      <c r="B120" s="152" t="s">
        <v>270</v>
      </c>
      <c r="C120" s="230">
        <f>IF(OR('1.6 IP Calculations'!$AI27="",ISBLANK('1.6 IP Calculations'!$AI27)),"Awaiting input",'1.6 IP Calculations'!$AI27)</f>
        <v>0.11414867794803181</v>
      </c>
      <c r="E120" s="104"/>
      <c r="F120" s="105"/>
      <c r="G120" s="105"/>
      <c r="H120" s="106"/>
      <c r="I120" s="54"/>
    </row>
    <row r="121" spans="1:14" ht="15" customHeight="1" x14ac:dyDescent="0.2">
      <c r="B121" s="152" t="s">
        <v>271</v>
      </c>
      <c r="C121" s="230">
        <f>IF(OR('1.6 IP Calculations'!$AI28="",ISBLANK('1.6 IP Calculations'!$AI28)),"Awaiting input",'1.6 IP Calculations'!$AI28)</f>
        <v>0.20441776208938081</v>
      </c>
      <c r="E121" s="104"/>
      <c r="F121" s="105"/>
      <c r="G121" s="105"/>
      <c r="H121" s="106"/>
      <c r="I121" s="54"/>
    </row>
    <row r="122" spans="1:14" ht="15" customHeight="1" x14ac:dyDescent="0.2">
      <c r="B122" s="152" t="s">
        <v>272</v>
      </c>
      <c r="C122" s="230">
        <f>IF(OR('1.6 IP Calculations'!$AI29="",ISBLANK('1.6 IP Calculations'!$AI29)),"Awaiting input",'1.6 IP Calculations'!$AI29)</f>
        <v>0.5362189227622649</v>
      </c>
      <c r="E122" s="104"/>
      <c r="F122" s="105"/>
      <c r="G122" s="105"/>
      <c r="H122" s="106"/>
      <c r="I122" s="54"/>
    </row>
    <row r="123" spans="1:14" ht="15" customHeight="1" thickBot="1" x14ac:dyDescent="0.25">
      <c r="B123" s="153" t="s">
        <v>273</v>
      </c>
      <c r="C123" s="231">
        <f>IF(OR('1.6 IP Calculations'!$AI30="",ISBLANK('1.6 IP Calculations'!$AI30)),"Awaiting input",'1.6 IP Calculations'!$AI30)</f>
        <v>1</v>
      </c>
      <c r="E123" s="104"/>
      <c r="F123" s="105"/>
      <c r="G123" s="105"/>
      <c r="H123" s="106"/>
      <c r="I123" s="54"/>
    </row>
    <row r="124" spans="1:14" ht="7.5" customHeight="1" x14ac:dyDescent="0.2">
      <c r="B124" s="110"/>
      <c r="C124" s="110"/>
      <c r="D124" s="110"/>
      <c r="E124" s="110"/>
      <c r="F124" s="110"/>
      <c r="G124" s="110"/>
      <c r="H124" s="110"/>
    </row>
    <row r="125" spans="1:14" ht="15" customHeight="1" x14ac:dyDescent="0.2"/>
    <row r="126" spans="1:14" ht="48" customHeight="1" x14ac:dyDescent="0.2">
      <c r="A126" s="1"/>
      <c r="B126" s="366" t="s">
        <v>295</v>
      </c>
      <c r="C126" s="366"/>
      <c r="D126" s="366"/>
      <c r="E126" s="366"/>
      <c r="F126" s="366"/>
      <c r="G126" s="366"/>
      <c r="H126" s="366"/>
      <c r="J126" s="305" t="s">
        <v>296</v>
      </c>
      <c r="K126" s="376" t="s">
        <v>159</v>
      </c>
      <c r="L126" s="376"/>
      <c r="M126" s="376"/>
      <c r="N126" s="376"/>
    </row>
    <row r="127" spans="1:14" ht="6" customHeight="1" x14ac:dyDescent="0.2"/>
    <row r="128" spans="1:14" ht="25" hidden="1" customHeight="1" outlineLevel="1" x14ac:dyDescent="0.2">
      <c r="A128" s="11"/>
      <c r="B128" s="301" t="s">
        <v>266</v>
      </c>
      <c r="C128" s="301" t="s">
        <v>124</v>
      </c>
      <c r="D128" s="301"/>
      <c r="E128" s="301" t="s">
        <v>125</v>
      </c>
      <c r="F128" s="304" t="s">
        <v>256</v>
      </c>
      <c r="G128" s="303" t="s">
        <v>255</v>
      </c>
      <c r="H128" s="304" t="s">
        <v>337</v>
      </c>
      <c r="K128" s="164" t="s">
        <v>160</v>
      </c>
      <c r="L128" s="165" t="s">
        <v>19</v>
      </c>
      <c r="M128" s="165" t="s">
        <v>161</v>
      </c>
      <c r="N128" s="164" t="s">
        <v>162</v>
      </c>
    </row>
    <row r="129" spans="2:14" ht="51.75" hidden="1" customHeight="1" outlineLevel="1" x14ac:dyDescent="0.2">
      <c r="B129" s="50">
        <v>1</v>
      </c>
      <c r="C129" s="55" t="str">
        <f t="shared" ref="C129:C138" si="8">_xlfn.XLOOKUP(_xlfn.XLOOKUP($B129,$T$13:$T$22,$U$13:$U$22),$K$129:$K$133,$K$129:$K$133)&amp;" – "&amp;_xlfn.XLOOKUP(_xlfn.XLOOKUP($B129,$T$13:$T$22,$U$13:$U$22),$K$129:$K$133,$L$129:$L$133)</f>
        <v>L1 – No Impact</v>
      </c>
      <c r="D129" s="13" t="s">
        <v>130</v>
      </c>
      <c r="E129" s="14" t="str">
        <f t="shared" ref="E129:E138" si="9">_xlfn.XLOOKUP(_xlfn.XLOOKUP($B129,$T$13:$T$22,$V$13:$V$22),$K$100:$K$104,$K$100:$K$104)&amp;" – "&amp;_xlfn.XLOOKUP(_xlfn.XLOOKUP($B129,$T$13:$T$22,$V$13:$V$22),$K$100:$K$104,$L$100:$L$104)</f>
        <v>L2 – Limited Coordination Overhead</v>
      </c>
      <c r="F129" s="78" t="s">
        <v>333</v>
      </c>
      <c r="G129" s="52">
        <f>IFERROR(_xlfn.XLOOKUP($F129,'AHP Saaty Reference'!$H$8:$H$24,'AHP Saaty Reference'!$I$8:$I$24),"")</f>
        <v>0.5</v>
      </c>
      <c r="H129" s="78" t="s">
        <v>388</v>
      </c>
      <c r="K129" s="294" t="s">
        <v>269</v>
      </c>
      <c r="L129" s="294" t="s">
        <v>297</v>
      </c>
      <c r="M129" s="294" t="s">
        <v>171</v>
      </c>
      <c r="N129" s="294" t="s">
        <v>172</v>
      </c>
    </row>
    <row r="130" spans="2:14" ht="51.75" hidden="1" customHeight="1" outlineLevel="1" x14ac:dyDescent="0.2">
      <c r="B130" s="50">
        <v>2</v>
      </c>
      <c r="C130" s="55" t="str">
        <f t="shared" si="8"/>
        <v>L1 – No Impact</v>
      </c>
      <c r="D130" s="13" t="s">
        <v>130</v>
      </c>
      <c r="E130" s="14" t="str">
        <f t="shared" si="9"/>
        <v>L3 – Moderate Coordination Overhead</v>
      </c>
      <c r="F130" s="78" t="s">
        <v>313</v>
      </c>
      <c r="G130" s="52">
        <f>IFERROR(_xlfn.XLOOKUP($F130,'AHP Saaty Reference'!$H$8:$H$24,'AHP Saaty Reference'!$I$8:$I$24),"")</f>
        <v>0.2</v>
      </c>
      <c r="H130" s="78" t="s">
        <v>389</v>
      </c>
      <c r="K130" s="295" t="s">
        <v>270</v>
      </c>
      <c r="L130" s="295" t="s">
        <v>298</v>
      </c>
      <c r="M130" s="295" t="s">
        <v>179</v>
      </c>
      <c r="N130" s="295" t="s">
        <v>180</v>
      </c>
    </row>
    <row r="131" spans="2:14" ht="51.75" hidden="1" customHeight="1" outlineLevel="1" x14ac:dyDescent="0.2">
      <c r="B131" s="50">
        <v>3</v>
      </c>
      <c r="C131" s="55" t="str">
        <f t="shared" si="8"/>
        <v>L1 – No Impact</v>
      </c>
      <c r="D131" s="13" t="s">
        <v>130</v>
      </c>
      <c r="E131" s="14" t="str">
        <f t="shared" si="9"/>
        <v>L4 – High Coordination Overhead</v>
      </c>
      <c r="F131" s="78" t="s">
        <v>314</v>
      </c>
      <c r="G131" s="52">
        <f>IFERROR(_xlfn.XLOOKUP($F131,'AHP Saaty Reference'!$H$8:$H$24,'AHP Saaty Reference'!$I$8:$I$24),"")</f>
        <v>0.14285714285714285</v>
      </c>
      <c r="H131" s="78" t="s">
        <v>390</v>
      </c>
      <c r="K131" s="296" t="s">
        <v>271</v>
      </c>
      <c r="L131" s="296" t="s">
        <v>299</v>
      </c>
      <c r="M131" s="296" t="s">
        <v>186</v>
      </c>
      <c r="N131" s="296" t="s">
        <v>187</v>
      </c>
    </row>
    <row r="132" spans="2:14" ht="51.75" hidden="1" customHeight="1" outlineLevel="1" x14ac:dyDescent="0.2">
      <c r="B132" s="50">
        <v>4</v>
      </c>
      <c r="C132" s="55" t="str">
        <f t="shared" si="8"/>
        <v>L1 – No Impact</v>
      </c>
      <c r="D132" s="13" t="s">
        <v>130</v>
      </c>
      <c r="E132" s="14" t="str">
        <f t="shared" si="9"/>
        <v>L5 – Strategic Coordination Overhead</v>
      </c>
      <c r="F132" s="78" t="s">
        <v>315</v>
      </c>
      <c r="G132" s="52">
        <f>IFERROR(_xlfn.XLOOKUP($F132,'AHP Saaty Reference'!$H$8:$H$24,'AHP Saaty Reference'!$I$8:$I$24),"")</f>
        <v>0.1111111111111111</v>
      </c>
      <c r="H132" s="78" t="s">
        <v>391</v>
      </c>
      <c r="K132" s="297" t="s">
        <v>272</v>
      </c>
      <c r="L132" s="297" t="s">
        <v>300</v>
      </c>
      <c r="M132" s="297" t="s">
        <v>193</v>
      </c>
      <c r="N132" s="297" t="s">
        <v>194</v>
      </c>
    </row>
    <row r="133" spans="2:14" ht="51.75" hidden="1" customHeight="1" outlineLevel="1" x14ac:dyDescent="0.2">
      <c r="B133" s="50">
        <v>5</v>
      </c>
      <c r="C133" s="55" t="str">
        <f t="shared" si="8"/>
        <v>L2 – Minor Impact</v>
      </c>
      <c r="D133" s="13" t="s">
        <v>130</v>
      </c>
      <c r="E133" s="14" t="str">
        <f t="shared" si="9"/>
        <v>L3 – Moderate Coordination Overhead</v>
      </c>
      <c r="F133" s="78" t="s">
        <v>312</v>
      </c>
      <c r="G133" s="52">
        <f>IFERROR(_xlfn.XLOOKUP($F133,'AHP Saaty Reference'!$H$8:$H$24,'AHP Saaty Reference'!$I$8:$I$24),"")</f>
        <v>0.33333333333333331</v>
      </c>
      <c r="H133" s="78" t="s">
        <v>392</v>
      </c>
      <c r="K133" s="298" t="s">
        <v>273</v>
      </c>
      <c r="L133" s="298" t="s">
        <v>301</v>
      </c>
      <c r="M133" s="298" t="s">
        <v>200</v>
      </c>
      <c r="N133" s="298" t="s">
        <v>201</v>
      </c>
    </row>
    <row r="134" spans="2:14" ht="51.75" hidden="1" customHeight="1" outlineLevel="1" x14ac:dyDescent="0.2">
      <c r="B134" s="50">
        <v>6</v>
      </c>
      <c r="C134" s="55" t="str">
        <f t="shared" si="8"/>
        <v>L2 – Minor Impact</v>
      </c>
      <c r="D134" s="13" t="s">
        <v>130</v>
      </c>
      <c r="E134" s="14" t="str">
        <f t="shared" si="9"/>
        <v>L4 – High Coordination Overhead</v>
      </c>
      <c r="F134" s="78" t="s">
        <v>314</v>
      </c>
      <c r="G134" s="52">
        <f>IFERROR(_xlfn.XLOOKUP($F134,'AHP Saaty Reference'!$H$8:$H$24,'AHP Saaty Reference'!$I$8:$I$24),"")</f>
        <v>0.14285714285714285</v>
      </c>
      <c r="H134" s="78" t="s">
        <v>393</v>
      </c>
    </row>
    <row r="135" spans="2:14" ht="51.75" hidden="1" customHeight="1" outlineLevel="1" x14ac:dyDescent="0.2">
      <c r="B135" s="50">
        <v>7</v>
      </c>
      <c r="C135" s="55" t="str">
        <f t="shared" si="8"/>
        <v>L2 – Minor Impact</v>
      </c>
      <c r="D135" s="13" t="s">
        <v>130</v>
      </c>
      <c r="E135" s="14" t="str">
        <f t="shared" si="9"/>
        <v>L5 – Strategic Coordination Overhead</v>
      </c>
      <c r="F135" s="78" t="s">
        <v>315</v>
      </c>
      <c r="G135" s="52">
        <f>IFERROR(_xlfn.XLOOKUP($F135,'AHP Saaty Reference'!$H$8:$H$24,'AHP Saaty Reference'!$I$8:$I$24),"")</f>
        <v>0.1111111111111111</v>
      </c>
      <c r="H135" s="78" t="s">
        <v>394</v>
      </c>
    </row>
    <row r="136" spans="2:14" ht="51.75" hidden="1" customHeight="1" outlineLevel="1" x14ac:dyDescent="0.2">
      <c r="B136" s="50">
        <v>8</v>
      </c>
      <c r="C136" s="55" t="str">
        <f t="shared" si="8"/>
        <v>L3 – Moderate Impact</v>
      </c>
      <c r="D136" s="13" t="s">
        <v>130</v>
      </c>
      <c r="E136" s="14" t="str">
        <f t="shared" si="9"/>
        <v>L4 – High Coordination Overhead</v>
      </c>
      <c r="F136" s="78" t="s">
        <v>313</v>
      </c>
      <c r="G136" s="52">
        <f>IFERROR(_xlfn.XLOOKUP($F136,'AHP Saaty Reference'!$H$8:$H$24,'AHP Saaty Reference'!$I$8:$I$24),"")</f>
        <v>0.2</v>
      </c>
      <c r="H136" s="78" t="s">
        <v>395</v>
      </c>
    </row>
    <row r="137" spans="2:14" ht="51.75" hidden="1" customHeight="1" outlineLevel="1" x14ac:dyDescent="0.2">
      <c r="B137" s="50">
        <v>9</v>
      </c>
      <c r="C137" s="55" t="str">
        <f t="shared" si="8"/>
        <v>L3 – Moderate Impact</v>
      </c>
      <c r="D137" s="13" t="s">
        <v>130</v>
      </c>
      <c r="E137" s="14" t="str">
        <f t="shared" si="9"/>
        <v>L5 – Strategic Coordination Overhead</v>
      </c>
      <c r="F137" s="78" t="s">
        <v>314</v>
      </c>
      <c r="G137" s="52">
        <f>IFERROR(_xlfn.XLOOKUP($F137,'AHP Saaty Reference'!$H$8:$H$24,'AHP Saaty Reference'!$I$8:$I$24),"")</f>
        <v>0.14285714285714285</v>
      </c>
      <c r="H137" s="78" t="s">
        <v>396</v>
      </c>
    </row>
    <row r="138" spans="2:14" ht="51.75" hidden="1" customHeight="1" outlineLevel="1" x14ac:dyDescent="0.2">
      <c r="B138" s="50">
        <v>10</v>
      </c>
      <c r="C138" s="55" t="str">
        <f t="shared" si="8"/>
        <v>L4 – High Impact</v>
      </c>
      <c r="D138" s="13" t="s">
        <v>130</v>
      </c>
      <c r="E138" s="14" t="str">
        <f t="shared" si="9"/>
        <v>L5 – Strategic Coordination Overhead</v>
      </c>
      <c r="F138" s="78" t="s">
        <v>312</v>
      </c>
      <c r="G138" s="52">
        <f>IFERROR(_xlfn.XLOOKUP($F138,'AHP Saaty Reference'!$H$8:$H$24,'AHP Saaty Reference'!$I$8:$I$24),"")</f>
        <v>0.33333333333333331</v>
      </c>
      <c r="H138" s="78" t="s">
        <v>397</v>
      </c>
    </row>
    <row r="139" spans="2:14" ht="7.5" customHeight="1" collapsed="1" x14ac:dyDescent="0.2">
      <c r="C139" s="16"/>
      <c r="D139" s="16"/>
      <c r="E139" s="16"/>
      <c r="F139" s="16"/>
      <c r="G139" s="53"/>
    </row>
    <row r="140" spans="2:14" ht="51.75" customHeight="1" x14ac:dyDescent="0.2">
      <c r="B140" s="364" t="s">
        <v>257</v>
      </c>
      <c r="C140" s="364"/>
      <c r="D140" s="364"/>
      <c r="E140" s="364"/>
      <c r="F140" s="364"/>
      <c r="G140" s="363" t="str">
        <f>IF(
    '1.6 IP Calculations'!$AR$52="",
    "Awaiting judgment inputs",
    IF(
        '1.6 IP Calculations'!$AR$52&lt;=0.1,
        "Acceptable"&amp;CHAR(10)&amp;"CR = "&amp;TEXT('1.6 IP Calculations'!$AR$52,"0.000"),
        "Not Acceptable – Revise judgments"&amp;CHAR(10)&amp;"CR = "&amp;TEXT('1.6 IP Calculations'!$AR$52,"0.000")
    )
)</f>
        <v>Acceptable
CR = 0.072</v>
      </c>
      <c r="H140" s="363"/>
    </row>
    <row r="141" spans="2:14" ht="7.5" customHeight="1" x14ac:dyDescent="0.2">
      <c r="B141" s="109"/>
      <c r="C141" s="109"/>
      <c r="D141" s="109"/>
      <c r="E141" s="109"/>
      <c r="F141" s="109"/>
      <c r="G141" s="105"/>
      <c r="H141" s="105"/>
    </row>
    <row r="142" spans="2:14" ht="30" customHeight="1" x14ac:dyDescent="0.2">
      <c r="B142" s="368" t="s">
        <v>363</v>
      </c>
      <c r="C142" s="369"/>
      <c r="D142" s="369"/>
      <c r="E142" s="369"/>
      <c r="F142" s="369"/>
      <c r="G142" s="369"/>
      <c r="H142" s="369"/>
      <c r="I142" s="54"/>
    </row>
    <row r="143" spans="2:14" ht="7.5" customHeight="1" x14ac:dyDescent="0.2">
      <c r="B143" s="111"/>
      <c r="C143" s="111"/>
      <c r="D143" s="111"/>
      <c r="E143" s="111"/>
      <c r="F143" s="111"/>
      <c r="G143" s="111"/>
      <c r="H143" s="106"/>
      <c r="I143" s="54"/>
    </row>
    <row r="144" spans="2:14" ht="15" customHeight="1" x14ac:dyDescent="0.2">
      <c r="B144" s="364" t="s">
        <v>461</v>
      </c>
      <c r="C144" s="364"/>
      <c r="D144" s="364"/>
      <c r="E144" s="364"/>
      <c r="F144" s="364"/>
      <c r="G144" s="364"/>
      <c r="H144" s="364"/>
      <c r="I144" s="54"/>
    </row>
    <row r="145" spans="1:9" ht="15" customHeight="1" x14ac:dyDescent="0.2">
      <c r="B145" s="364"/>
      <c r="C145" s="364"/>
      <c r="D145" s="364"/>
      <c r="E145" s="364"/>
      <c r="F145" s="364"/>
      <c r="G145" s="364"/>
      <c r="H145" s="364"/>
      <c r="I145" s="54"/>
    </row>
    <row r="146" spans="1:9" ht="7.5" customHeight="1" thickBot="1" x14ac:dyDescent="0.25">
      <c r="B146" s="104"/>
      <c r="C146" s="104"/>
      <c r="D146" s="104"/>
      <c r="E146" s="104"/>
      <c r="F146" s="104"/>
      <c r="G146" s="104"/>
      <c r="H146" s="104"/>
      <c r="I146" s="54"/>
    </row>
    <row r="147" spans="1:9" ht="15" customHeight="1" x14ac:dyDescent="0.2">
      <c r="A147" s="107"/>
      <c r="B147" s="151" t="s">
        <v>160</v>
      </c>
      <c r="C147" s="227" t="s">
        <v>463</v>
      </c>
      <c r="E147" s="104"/>
      <c r="F147" s="105"/>
      <c r="G147" s="105"/>
      <c r="H147" s="106"/>
      <c r="I147" s="54"/>
    </row>
    <row r="148" spans="1:9" ht="15" customHeight="1" x14ac:dyDescent="0.2">
      <c r="B148" s="152" t="s">
        <v>269</v>
      </c>
      <c r="C148" s="230">
        <f>IF(OR('1.6 IP Calculations'!$AS26="",ISBLANK('1.6 IP Calculations'!$AS26)),"Awaiting input",'1.6 IP Calculations'!$AS26)</f>
        <v>6.2663215017101231E-2</v>
      </c>
      <c r="E148" s="104"/>
      <c r="F148" s="105"/>
      <c r="G148" s="105"/>
      <c r="H148" s="106"/>
      <c r="I148" s="54"/>
    </row>
    <row r="149" spans="1:9" ht="15" customHeight="1" x14ac:dyDescent="0.2">
      <c r="B149" s="152" t="s">
        <v>270</v>
      </c>
      <c r="C149" s="230">
        <f>IF(OR('1.6 IP Calculations'!$AS27="",ISBLANK('1.6 IP Calculations'!$AS27)),"Awaiting input",'1.6 IP Calculations'!$AS27)</f>
        <v>8.7469293011482249E-2</v>
      </c>
      <c r="E149" s="104"/>
      <c r="F149" s="105"/>
      <c r="G149" s="105"/>
      <c r="H149" s="106"/>
      <c r="I149" s="54"/>
    </row>
    <row r="150" spans="1:9" ht="15" customHeight="1" x14ac:dyDescent="0.2">
      <c r="B150" s="152" t="s">
        <v>271</v>
      </c>
      <c r="C150" s="230">
        <f>IF(OR('1.6 IP Calculations'!$AS28="",ISBLANK('1.6 IP Calculations'!$AS28)),"Awaiting input",'1.6 IP Calculations'!$AS28)</f>
        <v>0.19150766615878043</v>
      </c>
      <c r="E150" s="104"/>
      <c r="F150" s="105"/>
      <c r="G150" s="105"/>
      <c r="H150" s="106"/>
      <c r="I150" s="54"/>
    </row>
    <row r="151" spans="1:9" ht="15" customHeight="1" x14ac:dyDescent="0.2">
      <c r="B151" s="152" t="s">
        <v>272</v>
      </c>
      <c r="C151" s="230">
        <f>IF(OR('1.6 IP Calculations'!$AS29="",ISBLANK('1.6 IP Calculations'!$AS29)),"Awaiting input",'1.6 IP Calculations'!$AS29)</f>
        <v>0.54226591791739931</v>
      </c>
      <c r="E151" s="104"/>
      <c r="F151" s="105"/>
      <c r="G151" s="105"/>
      <c r="H151" s="106"/>
      <c r="I151" s="54"/>
    </row>
    <row r="152" spans="1:9" ht="15" customHeight="1" thickBot="1" x14ac:dyDescent="0.25">
      <c r="B152" s="153" t="s">
        <v>273</v>
      </c>
      <c r="C152" s="231">
        <f>IF(OR('1.6 IP Calculations'!$AS30="",ISBLANK('1.6 IP Calculations'!$AS30)),"Awaiting input",'1.6 IP Calculations'!$AS30)</f>
        <v>1</v>
      </c>
      <c r="E152" s="104"/>
      <c r="F152" s="105"/>
      <c r="G152" s="105"/>
      <c r="H152" s="106"/>
      <c r="I152" s="54"/>
    </row>
  </sheetData>
  <mergeCells count="31">
    <mergeCell ref="K126:N126"/>
    <mergeCell ref="K97:N97"/>
    <mergeCell ref="B115:H116"/>
    <mergeCell ref="G140:H140"/>
    <mergeCell ref="B140:F140"/>
    <mergeCell ref="B126:H126"/>
    <mergeCell ref="B4:H4"/>
    <mergeCell ref="B2:H2"/>
    <mergeCell ref="B26:H26"/>
    <mergeCell ref="G24:H24"/>
    <mergeCell ref="B24:F24"/>
    <mergeCell ref="K10:N10"/>
    <mergeCell ref="K68:N68"/>
    <mergeCell ref="K39:N39"/>
    <mergeCell ref="B39:H39"/>
    <mergeCell ref="B28:H29"/>
    <mergeCell ref="G53:H53"/>
    <mergeCell ref="B53:F53"/>
    <mergeCell ref="B55:H55"/>
    <mergeCell ref="B57:H58"/>
    <mergeCell ref="G82:H82"/>
    <mergeCell ref="B68:H68"/>
    <mergeCell ref="B82:F82"/>
    <mergeCell ref="B84:H84"/>
    <mergeCell ref="B142:H142"/>
    <mergeCell ref="B144:H145"/>
    <mergeCell ref="B86:H87"/>
    <mergeCell ref="B97:H97"/>
    <mergeCell ref="G111:H111"/>
    <mergeCell ref="B111:F111"/>
    <mergeCell ref="B113:H113"/>
  </mergeCells>
  <conditionalFormatting sqref="F13:F22 H42:H51">
    <cfRule type="expression" dxfId="162" priority="43">
      <formula>$F$13="~ Select option ~"</formula>
    </cfRule>
  </conditionalFormatting>
  <conditionalFormatting sqref="F42:F51">
    <cfRule type="expression" dxfId="161" priority="37">
      <formula>$F$13="~ Select option ~"</formula>
    </cfRule>
  </conditionalFormatting>
  <conditionalFormatting sqref="F54 H54:I54 I55 H56:I56 I57:I58 H59:I65 F60:F65">
    <cfRule type="containsText" dxfId="160" priority="22" operator="containsText" text="Acceptable">
      <formula>NOT(ISERROR(SEARCH("Acceptable",F54)))</formula>
    </cfRule>
    <cfRule type="containsText" dxfId="159" priority="20" operator="containsText" text="Not Acceptable">
      <formula>NOT(ISERROR(SEARCH("Not Acceptable",F54)))</formula>
    </cfRule>
    <cfRule type="containsText" dxfId="158" priority="21" stopIfTrue="1" operator="containsText" text="Awaiting judgment input">
      <formula>NOT(ISERROR(SEARCH("Awaiting judgment input",F54)))</formula>
    </cfRule>
  </conditionalFormatting>
  <conditionalFormatting sqref="F71:F80">
    <cfRule type="expression" dxfId="157" priority="33">
      <formula>$F$13="~ Select option ~"</formula>
    </cfRule>
  </conditionalFormatting>
  <conditionalFormatting sqref="F83 H83:I83 I84 H85:I85 I86:I87 H88:I94 F89:F94">
    <cfRule type="containsText" dxfId="156" priority="17" operator="containsText" text="Not Acceptable">
      <formula>NOT(ISERROR(SEARCH("Not Acceptable",F83)))</formula>
    </cfRule>
    <cfRule type="containsText" dxfId="155" priority="18" stopIfTrue="1" operator="containsText" text="Awaiting judgment input">
      <formula>NOT(ISERROR(SEARCH("Awaiting judgment input",F83)))</formula>
    </cfRule>
    <cfRule type="containsText" dxfId="154" priority="19" operator="containsText" text="Acceptable">
      <formula>NOT(ISERROR(SEARCH("Acceptable",F83)))</formula>
    </cfRule>
  </conditionalFormatting>
  <conditionalFormatting sqref="F100:F109">
    <cfRule type="expression" dxfId="153" priority="29">
      <formula>$F$13="~ Select option ~"</formula>
    </cfRule>
  </conditionalFormatting>
  <conditionalFormatting sqref="F129:F138">
    <cfRule type="expression" dxfId="152" priority="25">
      <formula>$F$13="~ Select option ~"</formula>
    </cfRule>
  </conditionalFormatting>
  <conditionalFormatting sqref="G24 I24 F25 H25:I25 I26 H27:I27 I28:I29 H30:I36 F31:F36">
    <cfRule type="containsText" dxfId="151" priority="45" stopIfTrue="1" operator="containsText" text="Awaiting judgment input">
      <formula>NOT(ISERROR(SEARCH("Awaiting judgment input",F24)))</formula>
    </cfRule>
    <cfRule type="containsText" dxfId="150" priority="44" operator="containsText" text="Not Acceptable">
      <formula>NOT(ISERROR(SEARCH("Not Acceptable",F24)))</formula>
    </cfRule>
    <cfRule type="containsText" dxfId="149" priority="46" operator="containsText" text="Acceptable">
      <formula>NOT(ISERROR(SEARCH("Acceptable",F24)))</formula>
    </cfRule>
  </conditionalFormatting>
  <conditionalFormatting sqref="G53">
    <cfRule type="containsText" dxfId="148" priority="40" operator="containsText" text="Acceptable">
      <formula>NOT(ISERROR(SEARCH("Acceptable",G53)))</formula>
    </cfRule>
    <cfRule type="containsText" dxfId="147" priority="39" stopIfTrue="1" operator="containsText" text="Awaiting judgment input">
      <formula>NOT(ISERROR(SEARCH("Awaiting judgment input",G53)))</formula>
    </cfRule>
    <cfRule type="containsText" dxfId="146" priority="38" operator="containsText" text="Not Acceptable">
      <formula>NOT(ISERROR(SEARCH("Not Acceptable",G53)))</formula>
    </cfRule>
  </conditionalFormatting>
  <conditionalFormatting sqref="G82">
    <cfRule type="containsText" dxfId="145" priority="35" stopIfTrue="1" operator="containsText" text="Awaiting judgment input">
      <formula>NOT(ISERROR(SEARCH("Awaiting judgment input",G82)))</formula>
    </cfRule>
    <cfRule type="containsText" dxfId="144" priority="36" operator="containsText" text="Acceptable">
      <formula>NOT(ISERROR(SEARCH("Acceptable",G82)))</formula>
    </cfRule>
    <cfRule type="containsText" dxfId="143" priority="34" operator="containsText" text="Not Acceptable">
      <formula>NOT(ISERROR(SEARCH("Not Acceptable",G82)))</formula>
    </cfRule>
  </conditionalFormatting>
  <conditionalFormatting sqref="G111:G112">
    <cfRule type="containsText" dxfId="142" priority="30" operator="containsText" text="Not Acceptable">
      <formula>NOT(ISERROR(SEARCH("Not Acceptable",G111)))</formula>
    </cfRule>
    <cfRule type="containsText" dxfId="141" priority="31" stopIfTrue="1" operator="containsText" text="Awaiting judgment input">
      <formula>NOT(ISERROR(SEARCH("Awaiting judgment input",G111)))</formula>
    </cfRule>
    <cfRule type="containsText" dxfId="140" priority="32" operator="containsText" text="Acceptable">
      <formula>NOT(ISERROR(SEARCH("Acceptable",G111)))</formula>
    </cfRule>
  </conditionalFormatting>
  <conditionalFormatting sqref="G140:G141">
    <cfRule type="containsText" dxfId="139" priority="6" operator="containsText" text="Acceptable">
      <formula>NOT(ISERROR(SEARCH("Acceptable",G140)))</formula>
    </cfRule>
    <cfRule type="containsText" dxfId="138" priority="5" stopIfTrue="1" operator="containsText" text="Awaiting judgment input">
      <formula>NOT(ISERROR(SEARCH("Awaiting judgment input",G140)))</formula>
    </cfRule>
    <cfRule type="containsText" dxfId="137" priority="4" operator="containsText" text="Not Acceptable">
      <formula>NOT(ISERROR(SEARCH("Not Acceptable",G140)))</formula>
    </cfRule>
  </conditionalFormatting>
  <conditionalFormatting sqref="H13:H22">
    <cfRule type="expression" dxfId="136" priority="24">
      <formula>$F$13="~ Select option ~"</formula>
    </cfRule>
  </conditionalFormatting>
  <conditionalFormatting sqref="H71:H80">
    <cfRule type="expression" dxfId="135" priority="16">
      <formula>$F$13="~ Select option ~"</formula>
    </cfRule>
  </conditionalFormatting>
  <conditionalFormatting sqref="H100:H109">
    <cfRule type="expression" dxfId="134" priority="15">
      <formula>$F$13="~ Select option ~"</formula>
    </cfRule>
  </conditionalFormatting>
  <conditionalFormatting sqref="H129:H138">
    <cfRule type="expression" dxfId="133" priority="10">
      <formula>$F$13="~ Select option ~"</formula>
    </cfRule>
  </conditionalFormatting>
  <conditionalFormatting sqref="I113 H114:I114 I115:I116 H117:I123 F118:F123">
    <cfRule type="containsText" dxfId="132" priority="14" operator="containsText" text="Acceptable">
      <formula>NOT(ISERROR(SEARCH("Acceptable",F113)))</formula>
    </cfRule>
    <cfRule type="containsText" dxfId="131" priority="13" stopIfTrue="1" operator="containsText" text="Awaiting judgment input">
      <formula>NOT(ISERROR(SEARCH("Awaiting judgment input",F113)))</formula>
    </cfRule>
    <cfRule type="containsText" dxfId="130" priority="12" operator="containsText" text="Not Acceptable">
      <formula>NOT(ISERROR(SEARCH("Not Acceptable",F113)))</formula>
    </cfRule>
  </conditionalFormatting>
  <conditionalFormatting sqref="I142 H143:I143 I144:I145 H146:I152 F147:F152">
    <cfRule type="containsText" dxfId="129" priority="3" operator="containsText" text="Acceptable">
      <formula>NOT(ISERROR(SEARCH("Acceptable",F142)))</formula>
    </cfRule>
    <cfRule type="containsText" dxfId="128" priority="2" stopIfTrue="1" operator="containsText" text="Awaiting judgment input">
      <formula>NOT(ISERROR(SEARCH("Awaiting judgment input",F142)))</formula>
    </cfRule>
    <cfRule type="containsText" dxfId="127" priority="1" operator="containsText" text="Not Acceptable">
      <formula>NOT(ISERROR(SEARCH("Not Acceptable",F142)))</formula>
    </cfRule>
  </conditionalFormatting>
  <dataValidations count="1">
    <dataValidation allowBlank="1" showErrorMessage="1" errorTitle="Invalid entry" error="Please select a value from the list._x000a__x000a_" sqref="H13:H22 H42:H50" xr:uid="{EE85DE15-F5C3-A64D-B8F0-B788C0735645}"/>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Invalid entry" error="Please select a value from the list._x000a__x000a_" xr:uid="{CB073CC0-2B95-804A-848B-0C4C6BC406E2}">
          <x14:formula1>
            <xm:f>'AHP Saaty Reference'!$H$8:$H$24</xm:f>
          </x14:formula1>
          <xm:sqref>F129:F138 F100:F109 F71:F80 F42:F51 F13:F22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5">
    <tabColor theme="8" tint="0.39997558519241921"/>
  </sheetPr>
  <dimension ref="A1:AI21"/>
  <sheetViews>
    <sheetView showGridLines="0" zoomScale="90" zoomScaleNormal="90" workbookViewId="0">
      <pane xSplit="3" ySplit="8" topLeftCell="H9" activePane="bottomRight" state="frozen"/>
      <selection pane="topRight" activeCell="C1" sqref="C1"/>
      <selection pane="bottomLeft" activeCell="A11" sqref="A11"/>
      <selection pane="bottomRight" activeCell="AB9" sqref="AB9"/>
    </sheetView>
  </sheetViews>
  <sheetFormatPr baseColWidth="10" defaultColWidth="8.6640625" defaultRowHeight="15" outlineLevelRow="1" outlineLevelCol="1" x14ac:dyDescent="0.2"/>
  <cols>
    <col min="1" max="1" width="2" customWidth="1"/>
    <col min="2" max="2" width="5.5" style="119" customWidth="1"/>
    <col min="3" max="3" width="26" customWidth="1"/>
    <col min="4" max="8" width="12.83203125" customWidth="1"/>
    <col min="9" max="9" width="40.5" customWidth="1"/>
    <col min="10" max="10" width="2.33203125" customWidth="1"/>
    <col min="11" max="11" width="12.83203125" customWidth="1"/>
    <col min="12" max="12" width="15.83203125" style="17" hidden="1" customWidth="1" outlineLevel="1"/>
    <col min="13" max="14" width="50.83203125" hidden="1" customWidth="1" outlineLevel="1"/>
    <col min="15" max="15" width="2.33203125" customWidth="1" collapsed="1"/>
    <col min="16" max="16" width="12.83203125" customWidth="1"/>
    <col min="17" max="17" width="15.83203125" hidden="1" customWidth="1" outlineLevel="1"/>
    <col min="18" max="19" width="50.83203125" hidden="1" customWidth="1" outlineLevel="1"/>
    <col min="20" max="20" width="2.33203125" customWidth="1" collapsed="1"/>
    <col min="21" max="21" width="12.83203125" customWidth="1"/>
    <col min="22" max="22" width="15.83203125" hidden="1" customWidth="1" outlineLevel="1"/>
    <col min="23" max="24" width="50.83203125" hidden="1" customWidth="1" outlineLevel="1"/>
    <col min="25" max="25" width="2.33203125" customWidth="1" collapsed="1"/>
    <col min="26" max="26" width="12.83203125" style="18" customWidth="1"/>
    <col min="27" max="27" width="15.83203125" customWidth="1" outlineLevel="1"/>
    <col min="28" max="29" width="50.83203125" customWidth="1" outlineLevel="1"/>
    <col min="30" max="30" width="2.33203125" customWidth="1"/>
    <col min="31" max="31" width="12.83203125" customWidth="1"/>
    <col min="32" max="32" width="15.83203125" hidden="1" customWidth="1" outlineLevel="1"/>
    <col min="33" max="34" width="50.83203125" hidden="1" customWidth="1" outlineLevel="1"/>
    <col min="35" max="35" width="3.83203125" customWidth="1" collapsed="1"/>
  </cols>
  <sheetData>
    <row r="1" spans="1:34" ht="7.5" customHeight="1" x14ac:dyDescent="0.2">
      <c r="A1" s="9"/>
    </row>
    <row r="2" spans="1:34" ht="36" customHeight="1" x14ac:dyDescent="0.2">
      <c r="A2" s="1"/>
      <c r="B2" s="366" t="s">
        <v>148</v>
      </c>
      <c r="C2" s="366"/>
      <c r="D2" s="366"/>
      <c r="E2" s="366"/>
      <c r="F2" s="366"/>
      <c r="G2" s="366"/>
      <c r="H2" s="366"/>
      <c r="I2" s="366"/>
      <c r="K2" s="387" t="s">
        <v>149</v>
      </c>
      <c r="L2" s="387"/>
      <c r="M2" s="387"/>
      <c r="N2" s="387"/>
      <c r="O2" s="387"/>
      <c r="P2" s="387"/>
      <c r="Q2" s="387"/>
      <c r="R2" s="387"/>
      <c r="S2" s="387"/>
      <c r="T2" s="387"/>
      <c r="U2" s="387"/>
      <c r="V2" s="387"/>
      <c r="W2" s="387"/>
      <c r="X2" s="387"/>
      <c r="Y2" s="387"/>
      <c r="Z2" s="387"/>
      <c r="AA2" s="387"/>
      <c r="AB2" s="387"/>
      <c r="AC2" s="387"/>
      <c r="AD2" s="387"/>
      <c r="AE2" s="387"/>
      <c r="AF2" s="387"/>
      <c r="AG2" s="387"/>
      <c r="AH2" s="387"/>
    </row>
    <row r="3" spans="1:34" ht="7.5" customHeight="1" x14ac:dyDescent="0.2">
      <c r="C3" s="16"/>
      <c r="D3" s="16"/>
      <c r="E3" s="16"/>
      <c r="F3" s="16"/>
      <c r="G3" s="16"/>
      <c r="H3" s="16"/>
      <c r="I3" s="16"/>
      <c r="K3" s="21"/>
      <c r="L3" s="21"/>
      <c r="M3" s="21"/>
      <c r="N3" s="21"/>
      <c r="P3" s="21"/>
      <c r="Q3" s="20"/>
      <c r="R3" s="20"/>
      <c r="S3" s="20"/>
      <c r="U3" s="21"/>
      <c r="V3" s="20"/>
      <c r="W3" s="20"/>
      <c r="X3" s="20"/>
      <c r="Z3" s="21"/>
      <c r="AA3" s="20"/>
      <c r="AB3" s="20"/>
      <c r="AC3" s="20"/>
      <c r="AE3" s="21"/>
      <c r="AF3" s="20"/>
      <c r="AG3" s="20"/>
      <c r="AH3" s="20"/>
    </row>
    <row r="4" spans="1:34" ht="45" customHeight="1" x14ac:dyDescent="0.2">
      <c r="B4" s="367" t="s">
        <v>403</v>
      </c>
      <c r="C4" s="367"/>
      <c r="D4" s="367"/>
      <c r="E4" s="367"/>
      <c r="F4" s="367"/>
      <c r="G4" s="367"/>
      <c r="H4" s="367"/>
      <c r="I4" s="367"/>
      <c r="K4" s="162" t="s">
        <v>150</v>
      </c>
      <c r="L4" s="376" t="s">
        <v>151</v>
      </c>
      <c r="M4" s="376"/>
      <c r="N4" s="376"/>
      <c r="P4" s="162" t="s">
        <v>152</v>
      </c>
      <c r="Q4" s="376" t="s">
        <v>153</v>
      </c>
      <c r="R4" s="376"/>
      <c r="S4" s="376"/>
      <c r="U4" s="163" t="s">
        <v>154</v>
      </c>
      <c r="V4" s="376" t="s">
        <v>155</v>
      </c>
      <c r="W4" s="376"/>
      <c r="X4" s="376"/>
      <c r="Z4" s="163" t="s">
        <v>156</v>
      </c>
      <c r="AA4" s="376" t="s">
        <v>157</v>
      </c>
      <c r="AB4" s="376"/>
      <c r="AC4" s="376"/>
      <c r="AE4" s="163" t="s">
        <v>158</v>
      </c>
      <c r="AF4" s="376" t="s">
        <v>159</v>
      </c>
      <c r="AG4" s="376"/>
      <c r="AH4" s="376"/>
    </row>
    <row r="5" spans="1:34" ht="10" customHeight="1" x14ac:dyDescent="0.2"/>
    <row r="6" spans="1:34" ht="22" customHeight="1" x14ac:dyDescent="0.2">
      <c r="B6" s="385" t="s">
        <v>404</v>
      </c>
      <c r="C6" s="385"/>
      <c r="D6" s="386" t="s">
        <v>402</v>
      </c>
      <c r="E6" s="386"/>
      <c r="F6" s="386"/>
      <c r="G6" s="386"/>
      <c r="H6" s="386"/>
      <c r="I6" s="386"/>
      <c r="K6" s="377" t="s">
        <v>436</v>
      </c>
      <c r="L6" s="377"/>
      <c r="M6" s="377"/>
      <c r="N6" s="377"/>
      <c r="O6" s="377"/>
      <c r="P6" s="377"/>
      <c r="Q6" s="377"/>
      <c r="R6" s="377"/>
      <c r="S6" s="377"/>
      <c r="T6" s="377"/>
      <c r="U6" s="377"/>
      <c r="V6" s="377"/>
      <c r="W6" s="377"/>
      <c r="X6" s="377"/>
      <c r="Y6" s="377"/>
      <c r="Z6" s="377"/>
      <c r="AA6" s="377"/>
      <c r="AB6" s="377"/>
      <c r="AC6" s="377"/>
      <c r="AD6" s="377"/>
      <c r="AE6" s="377"/>
    </row>
    <row r="7" spans="1:34" ht="19.5" customHeight="1" x14ac:dyDescent="0.2">
      <c r="A7" s="121"/>
      <c r="B7" s="383" t="s">
        <v>400</v>
      </c>
      <c r="C7" s="378" t="s">
        <v>99</v>
      </c>
      <c r="D7" s="380" t="s">
        <v>132</v>
      </c>
      <c r="E7" s="381"/>
      <c r="F7" s="382" t="s">
        <v>94</v>
      </c>
      <c r="G7" s="380"/>
      <c r="H7" s="381"/>
      <c r="I7" s="383" t="s">
        <v>93</v>
      </c>
    </row>
    <row r="8" spans="1:34" ht="39.75" customHeight="1" x14ac:dyDescent="0.2">
      <c r="A8" s="121"/>
      <c r="B8" s="384"/>
      <c r="C8" s="379"/>
      <c r="D8" s="120" t="s">
        <v>37</v>
      </c>
      <c r="E8" s="122" t="s">
        <v>138</v>
      </c>
      <c r="F8" s="123" t="s">
        <v>205</v>
      </c>
      <c r="G8" s="123" t="s">
        <v>430</v>
      </c>
      <c r="H8" s="123" t="s">
        <v>431</v>
      </c>
      <c r="I8" s="384"/>
      <c r="J8" s="20"/>
      <c r="K8" s="20"/>
      <c r="L8" s="164" t="s">
        <v>160</v>
      </c>
      <c r="M8" s="165" t="s">
        <v>470</v>
      </c>
      <c r="N8" s="165" t="s">
        <v>162</v>
      </c>
      <c r="Q8" s="164" t="s">
        <v>160</v>
      </c>
      <c r="R8" s="165" t="s">
        <v>470</v>
      </c>
      <c r="S8" s="165" t="s">
        <v>163</v>
      </c>
      <c r="V8" s="164" t="s">
        <v>160</v>
      </c>
      <c r="W8" s="165" t="s">
        <v>470</v>
      </c>
      <c r="X8" s="165" t="s">
        <v>162</v>
      </c>
      <c r="AA8" s="164" t="s">
        <v>160</v>
      </c>
      <c r="AB8" s="165" t="s">
        <v>470</v>
      </c>
      <c r="AC8" s="165" t="s">
        <v>162</v>
      </c>
      <c r="AF8" s="164" t="s">
        <v>160</v>
      </c>
      <c r="AG8" s="165" t="s">
        <v>470</v>
      </c>
      <c r="AH8" s="165" t="s">
        <v>162</v>
      </c>
    </row>
    <row r="9" spans="1:34" ht="85" customHeight="1" x14ac:dyDescent="0.2">
      <c r="B9" s="129">
        <v>1</v>
      </c>
      <c r="C9" s="127" t="s">
        <v>47</v>
      </c>
      <c r="D9" s="124">
        <v>4</v>
      </c>
      <c r="E9" s="124">
        <v>4</v>
      </c>
      <c r="F9" s="124">
        <v>4</v>
      </c>
      <c r="G9" s="124">
        <v>3</v>
      </c>
      <c r="H9" s="124">
        <v>3</v>
      </c>
      <c r="I9" s="125" t="s">
        <v>245</v>
      </c>
      <c r="L9" s="294" t="str">
        <f>_xlfn.CONCAT('1.3 IP Pairwise'!K13," ","-"," ",'1.3 IP Pairwise'!L13)</f>
        <v>L1 - Single Element</v>
      </c>
      <c r="M9" s="294" t="str">
        <f>'1.3 IP Pairwise'!M13</f>
        <v>Changes affect one architectural element only (e.g., component, service, or interface).</v>
      </c>
      <c r="N9" s="294" t="str">
        <f>'1.3 IP Pairwise'!N13</f>
        <v>In the CRM system, the Customer Service interface is incorrectly defined. Fixing the issue requires modifying only the Customer Service interface.</v>
      </c>
      <c r="Q9" s="294" t="str">
        <f>_xlfn.CONCAT('1.3 IP Pairwise'!K42," ","-"," ",'1.3 IP Pairwise'!L42)</f>
        <v>L1 - Minor Architectural Adjustment</v>
      </c>
      <c r="R9" s="294" t="str">
        <f>'1.3 IP Pairwise'!M42</f>
        <v>Small changes to architectural elements that do not alter component responsibilities or the overall architectural structure.</v>
      </c>
      <c r="S9" s="294" t="str">
        <f>'1.3 IP Pairwise'!N42</f>
        <v>Rename Component</v>
      </c>
      <c r="V9" s="294" t="str">
        <f>_xlfn.CONCAT('1.3 IP Pairwise'!K71," ","-"," ",'1.3 IP Pairwise'!L71)</f>
        <v>L1 - No Constraint</v>
      </c>
      <c r="W9" s="294" t="str">
        <f>'1.3 IP Pairwise'!M71</f>
        <v>The EA smell does not introduce constraints on how changes to architectural elements can be implemented. Changes can be implemented without restrictions on technology choice, integration approach, or application structure.</v>
      </c>
      <c r="X9" s="294" t="str">
        <f>'1.3 IP Pairwise'!N71</f>
        <v>A duplicate reporting application exists but does not affect other systems; removing or keeping it does not restrict how changes to the architecture can be implemented.</v>
      </c>
      <c r="AA9" s="294" t="str">
        <f>_xlfn.CONCAT('1.3 IP Pairwise'!K100," ","-"," ",'1.3 IP Pairwise'!L100)</f>
        <v>L1 - Minimal Coordination Overhead</v>
      </c>
      <c r="AB9" s="294" t="str">
        <f>'1.3 IP Pairwise'!M100</f>
        <v>The EA-smell instance creates little or no coordination dependency beyond a single stakeholder group.</v>
      </c>
      <c r="AC9" s="294" t="str">
        <f>'1.3 IP Pairwise'!N100</f>
        <v>Duplicate functionality exists in the ERP and payroll systems for calculating timesheets. A business analyst identifies the redundancy and redesigns the business process so that timesheet calculation is performed only in the ERP system. The architectural condition is confined to the responsibility of a single stakeholder group and does not create coordination dependencies with other teams.</v>
      </c>
      <c r="AF9" s="294" t="str">
        <f>_xlfn.CONCAT('1.3 IP Pairwise'!K129," ","-"," ",'1.3 IP Pairwise'!L129)</f>
        <v>L1 - No Impact</v>
      </c>
      <c r="AG9" s="294" t="str">
        <f>'1.3 IP Pairwise'!M129</f>
        <v>No failures or disruptions are observed that can be associated with the EA smell. System operation remains stable, with no incident records or logs indicating operational issues.</v>
      </c>
      <c r="AH9" s="294" t="str">
        <f>'1.3 IP Pairwise'!N129</f>
        <v>An EA smell is identified in the architecture, but no incidents, errors, or operational anomalies have been reported, and all services continue to operate as expected.</v>
      </c>
    </row>
    <row r="10" spans="1:34" ht="85" customHeight="1" x14ac:dyDescent="0.2">
      <c r="B10" s="129">
        <v>2</v>
      </c>
      <c r="C10" s="127" t="s">
        <v>59</v>
      </c>
      <c r="D10" s="124">
        <v>5</v>
      </c>
      <c r="E10" s="124">
        <v>3</v>
      </c>
      <c r="F10" s="124">
        <v>5</v>
      </c>
      <c r="G10" s="124">
        <v>4</v>
      </c>
      <c r="H10" s="124">
        <v>4</v>
      </c>
      <c r="I10" s="125" t="s">
        <v>164</v>
      </c>
      <c r="L10" s="295" t="str">
        <f>_xlfn.CONCAT('1.3 IP Pairwise'!K14," ","-"," ",'1.3 IP Pairwise'!L14)</f>
        <v>L2 - Single System</v>
      </c>
      <c r="M10" s="295" t="str">
        <f>'1.3 IP Pairwise'!M14</f>
        <v>Changes affect multiple architectural elements within the same application/system boundary, but no other systems are involved.</v>
      </c>
      <c r="N10" s="295" t="str">
        <f>'1.3 IP Pairwise'!N14</f>
        <v>Within the ERP system, the Order Service is tightly coupled to the Inventory Service. Resolving the issue requires modifying both services within the ERP system.</v>
      </c>
      <c r="Q10" s="295" t="str">
        <f>_xlfn.CONCAT('1.3 IP Pairwise'!K43," ","-"," ",'1.3 IP Pairwise'!L43)</f>
        <v>L2 - Local Component Modification</v>
      </c>
      <c r="R10" s="295" t="str">
        <f>'1.3 IP Pairwise'!M43</f>
        <v>Changes affecting a single architectural component without altering how the architecture is organized or relationships between components.</v>
      </c>
      <c r="S10" s="295" t="str">
        <f>'1.3 IP Pairwise'!N43</f>
        <v>Remove Dead Component, Inline Service</v>
      </c>
      <c r="V10" s="295" t="str">
        <f>_xlfn.CONCAT('1.3 IP Pairwise'!K72," ","-"," ",'1.3 IP Pairwise'!L72)</f>
        <v>L2 - Minor Constraint</v>
      </c>
      <c r="W10" s="295" t="str">
        <f>'1.3 IP Pairwise'!M72</f>
        <v>The EA smell introduces a localized constraint to a single architectural element (e.g., a component, service, or interface). Changes are restricted to specific implementation choices within that element (e.g., fixed technology, configuration, or interface definition), while the overall architecture remains adaptable, allowing new systems, components, or integrations to be introduced without restriction.</v>
      </c>
      <c r="X10" s="295" t="str">
        <f>'1.3 IP Pairwise'!N72</f>
        <v>An application uses a hard coded configuration for an external service endpoint. Changing the configuration requires modifying the application, but no other architectural elements are affected, and the overall architecture remains flexible.</v>
      </c>
      <c r="AA10" s="295" t="str">
        <f>_xlfn.CONCAT('1.3 IP Pairwise'!K101," ","-"," ",'1.3 IP Pairwise'!L101)</f>
        <v>L2 - Limited Coordination Overhead</v>
      </c>
      <c r="AB10" s="295" t="str">
        <f>'1.3 IP Pairwise'!M101</f>
        <v>The EA-smell instance creates coordination dependencies between two stakeholder groups.</v>
      </c>
      <c r="AC10" s="295" t="str">
        <f>'1.3 IP Pairwise'!N101</f>
        <v>Duplicate functionality exists in the ERP and payroll systems for calculating timesheets. A business analyst decides that timesheet calculation should be performed only in the ERP system. Developers introduce a simple application interface through which the payroll system imports the calculated timesheets from the ERP system. The dependency between the two systems creates a coordination requirement between business stakeholders and application developers.</v>
      </c>
      <c r="AF10" s="295" t="str">
        <f>_xlfn.CONCAT('1.3 IP Pairwise'!K130," ","-"," ",'1.3 IP Pairwise'!L130)</f>
        <v>L2 - Minor Impact</v>
      </c>
      <c r="AG10" s="295" t="str">
        <f>'1.3 IP Pairwise'!M130</f>
        <v>Issues associated with the EA smell may be observable in logs or low-priority events but do not affect system operation. These issues are resolved automatically through built-in mechanisms and do not require manual operational intervention.</v>
      </c>
      <c r="AH10" s="295" t="str">
        <f>'1.3 IP Pairwise'!N130</f>
        <v>Occasional errors related to the EA smell are recorded in system logs but are resolved through retry or fallback mechanisms, and services continue to operate without interruption or user impact.</v>
      </c>
    </row>
    <row r="11" spans="1:34" ht="85" customHeight="1" x14ac:dyDescent="0.2">
      <c r="B11" s="129">
        <v>3</v>
      </c>
      <c r="C11" s="127" t="s">
        <v>65</v>
      </c>
      <c r="D11" s="124">
        <v>3</v>
      </c>
      <c r="E11" s="124">
        <v>3</v>
      </c>
      <c r="F11" s="124">
        <v>3</v>
      </c>
      <c r="G11" s="124">
        <v>2</v>
      </c>
      <c r="H11" s="124">
        <v>2</v>
      </c>
      <c r="I11" s="125" t="s">
        <v>244</v>
      </c>
      <c r="L11" s="296" t="str">
        <f>_xlfn.CONCAT('1.3 IP Pairwise'!K15," ","-"," ",'1.3 IP Pairwise'!L15)</f>
        <v>L3 - Multiple Systems (Limited Scope)</v>
      </c>
      <c r="M11" s="296" t="str">
        <f>'1.3 IP Pairwise'!M15</f>
        <v>Changes affect multiple applications or systems, requiring modifications to a specific type of architectural element within each system (e.g., interfaces or services).</v>
      </c>
      <c r="N11" s="296" t="str">
        <f>'1.3 IP Pairwise'!N15</f>
        <v>The CRM and ERP systems exchange customer data through a poorly designed integration interface. Resolving the issue requires modifying the integration interfaces in both CRM and ERP systems.</v>
      </c>
      <c r="Q11" s="296" t="str">
        <f>_xlfn.CONCAT('1.3 IP Pairwise'!K44," ","-"," ",'1.3 IP Pairwise'!L44)</f>
        <v>L3 - Component Restructuring (Single System)</v>
      </c>
      <c r="R11" s="296" t="str">
        <f>'1.3 IP Pairwise'!M44</f>
        <v>Refactoring that reorganizes responsibilities between architectural components within the same system, modifying component interactions while preserving the overall system structure.</v>
      </c>
      <c r="S11" s="296" t="str">
        <f>'1.3 IP Pairwise'!N44</f>
        <v>Break Up Component, Extract Component, Merge Components</v>
      </c>
      <c r="V11" s="296" t="str">
        <f>_xlfn.CONCAT('1.3 IP Pairwise'!K73," ","-"," ",'1.3 IP Pairwise'!L73)</f>
        <v>L3 - Moderate Constraint</v>
      </c>
      <c r="W11" s="296" t="str">
        <f>'1.3 IP Pairwise'!M73</f>
        <v>The EA smell introduces dependency-driven constraints between architectural elements. Changes to one architectural element require updates to directly dependent architectural elements (e.g., modifying an interface requires updating components that use that interface); however, the impact remains limited to a single level of dependency and does not propagate further.</v>
      </c>
      <c r="X11" s="296" t="str">
        <f>'1.3 IP Pairwise'!N73</f>
        <v>The CRM system exposes an interface consumed by the ERP system. Modifying the interface (e.g., changing required data fields) requires updating the ERP system to maintain compatibility, but no further elements are affected.</v>
      </c>
      <c r="AA11" s="296" t="str">
        <f>_xlfn.CONCAT('1.3 IP Pairwise'!K102," ","-"," ",'1.3 IP Pairwise'!L102)</f>
        <v>L3 - Moderate Coordination Overhead</v>
      </c>
      <c r="AB11" s="296" t="str">
        <f>'1.3 IP Pairwise'!M102</f>
        <v>The EA-smell instance creates coordination dependencies across multiple stakeholder groups.</v>
      </c>
      <c r="AC11" s="296" t="str">
        <f>'1.3 IP Pairwise'!N102</f>
        <v>Duplicate functionality exists in the ERP and payroll systems for calculating timesheets. A business analyst decides that timesheet calculation should be performed only in the ERP system. Developers introduce an application interface for importing the timesheets, while the infrastructure team configures an automated job scheduler to execute the transfer between systems. The resulting dependencies create coordination requirements among business stakeholders, developers, and infrastructure teams.</v>
      </c>
      <c r="AF11" s="296" t="str">
        <f>_xlfn.CONCAT('1.3 IP Pairwise'!K131," ","-"," ",'1.3 IP Pairwise'!L131)</f>
        <v>L3 - Moderate Impact</v>
      </c>
      <c r="AG11" s="296" t="str">
        <f>'1.3 IP Pairwise'!M131</f>
        <v>Failures associated with the EA smell cause a noticeable but localized disruption to system operation and require manual operational intervention to resolve. The impact remains confined to a single component or service and does not degrade business-critical capabilities.</v>
      </c>
      <c r="AH11" s="296" t="str">
        <f>'1.3 IP Pairwise'!N131</f>
        <v>An incident associated with the EA smell results in a localized disruption to a single component or service, requiring manual intervention (e.g., restart or correction), while business-critical capabilities continue to operate normally.</v>
      </c>
    </row>
    <row r="12" spans="1:34" ht="85" customHeight="1" x14ac:dyDescent="0.2">
      <c r="B12" s="129">
        <v>4</v>
      </c>
      <c r="C12" s="127" t="s">
        <v>72</v>
      </c>
      <c r="D12" s="124">
        <v>4</v>
      </c>
      <c r="E12" s="124">
        <v>4</v>
      </c>
      <c r="F12" s="124">
        <v>4</v>
      </c>
      <c r="G12" s="124">
        <v>3</v>
      </c>
      <c r="H12" s="124">
        <v>4</v>
      </c>
      <c r="I12" s="125" t="s">
        <v>246</v>
      </c>
      <c r="L12" s="297" t="str">
        <f>_xlfn.CONCAT('1.3 IP Pairwise'!K16," ","-"," ",'1.3 IP Pairwise'!L16)</f>
        <v>L4 - Multiple Systems (Broad Scope)</v>
      </c>
      <c r="M12" s="297" t="str">
        <f>'1.3 IP Pairwise'!M16</f>
        <v>Changes affect multiple applications or systems and require modifications to multiple types of architectural elements within each system (e.g., services, interfaces, and data structures).</v>
      </c>
      <c r="N12" s="297" t="str">
        <f>'1.3 IP Pairwise'!N16</f>
        <v>The CRM and ERP systems are tightly coupled through multiple interacting components and data exchanges. Resolving the issue requires modifying components, interfaces, and data structures in both systems.</v>
      </c>
      <c r="Q12" s="297" t="str">
        <f>_xlfn.CONCAT('1.3 IP Pairwise'!K45," ","-"," ",'1.3 IP Pairwise'!L45)</f>
        <v>L4 - Architectural Reorganization</v>
      </c>
      <c r="R12" s="297" t="str">
        <f>'1.3 IP Pairwise'!M45</f>
        <v>Refactoring that reorganizes architectural relationships between systems, requiring changes to how components interact across system boundaries and altering integration structures.</v>
      </c>
      <c r="S12" s="297" t="str">
        <f>'1.3 IP Pairwise'!N45</f>
        <v>Move Component, Reorganization</v>
      </c>
      <c r="V12" s="297" t="str">
        <f>_xlfn.CONCAT('1.3 IP Pairwise'!K74," ","-"," ",'1.3 IP Pairwise'!L74)</f>
        <v>L4 - Strong Constraint</v>
      </c>
      <c r="W12" s="297" t="str">
        <f>'1.3 IP Pairwise'!M74</f>
        <v>The EA smell introduces dependency-driven constraints such that architectural elements depend on each other in a chain. Changes to one architectural element require coordinated updates to directly dependent architectural elements, with the impact propagating across multiple levels of dependency.</v>
      </c>
      <c r="X12" s="297" t="str">
        <f>'1.3 IP Pairwise'!N74</f>
        <v>The CRM system exposes an interface consumed by the ERP system, which relies on specific data fields. The ERP system provides this data to the Reporting system. Modifying the CRM interface (e.g., changing required data fields) requires updating the ERP system, which then requires updates in the Reporting system, causing the change to propagate across multiple dependent elements.</v>
      </c>
      <c r="AA12" s="297" t="str">
        <f>_xlfn.CONCAT('1.3 IP Pairwise'!K103," ","-"," ",'1.3 IP Pairwise'!L103)</f>
        <v>L4 - High Coordination Overhead</v>
      </c>
      <c r="AB12" s="297" t="str">
        <f>'1.3 IP Pairwise'!M103</f>
        <v>The EA-smell instance creates coordination dependencies across multiple stakeholder groups and requires recurring involvement of formal architectural governance bodies to align or approve changes affecting the architectural condition (e.g., architecture review boards).</v>
      </c>
      <c r="AC12" s="297" t="str">
        <f>'1.3 IP Pairwise'!N103</f>
        <v>An enterprise application relies on vendor-specific database features, creating vendor lock-in. Removing the dependency requires introducing a database abstraction layer to decouple the application from vendor-specific functionality. The architectural and technology dependencies involved create coordination requirements between developers, infrastructure teams, and enterprise architects and require review and approval through architectural governance.</v>
      </c>
      <c r="AF12" s="297" t="str">
        <f>_xlfn.CONCAT('1.3 IP Pairwise'!K132," ","-"," ",'1.3 IP Pairwise'!L132)</f>
        <v>L4 - High Impact</v>
      </c>
      <c r="AG12" s="297" t="str">
        <f>'1.3 IP Pairwise'!M132</f>
        <v>Failures associated with the EA smell cause disruptions that degrade business-critical capabilities (e.g., slower performance, reduced functionality, or intermittent failures) while the system remains operational. Recovery requires substantial operational effort.</v>
      </c>
      <c r="AH12" s="297" t="str">
        <f>'1.3 IP Pairwise'!N132</f>
        <v>Incidents associated with the EA smell result in degraded performance of a business-critical capability (e.g., slower response times or limited functionality), requiring repeated operational intervention, while the service remains available.</v>
      </c>
    </row>
    <row r="13" spans="1:34" ht="85" customHeight="1" x14ac:dyDescent="0.2">
      <c r="B13" s="129">
        <v>5</v>
      </c>
      <c r="C13" s="127" t="s">
        <v>91</v>
      </c>
      <c r="D13" s="124">
        <v>4</v>
      </c>
      <c r="E13" s="124">
        <v>5</v>
      </c>
      <c r="F13" s="124">
        <v>5</v>
      </c>
      <c r="G13" s="124">
        <v>5</v>
      </c>
      <c r="H13" s="124">
        <v>4</v>
      </c>
      <c r="I13" s="125" t="s">
        <v>247</v>
      </c>
      <c r="L13" s="298" t="str">
        <f>_xlfn.CONCAT('1.3 IP Pairwise'!K17," ","-"," ",'1.3 IP Pairwise'!L17)</f>
        <v>L5 -  Enterprise-Wide Scope</v>
      </c>
      <c r="M13" s="298" t="str">
        <f>'1.3 IP Pairwise'!M17</f>
        <v>Changes affect multiple systems or applications and require modifications to shared or common architectural elements used across systems (e.g., shared data models, integration platforms, or core services).</v>
      </c>
      <c r="N13" s="298" t="str">
        <f>'1.3 IP Pairwise'!N17</f>
        <v>Customer information is stored in a shared data model used by CRM, ERP, and Marketing systems. Resolving the issue requires modifying the shared data model, affecting all dependent systems.</v>
      </c>
      <c r="Q13" s="298" t="str">
        <f>_xlfn.CONCAT('1.3 IP Pairwise'!K46," ","-"," ",'1.3 IP Pairwise'!L46)</f>
        <v>L5 - Architectural Layer Restructuring</v>
      </c>
      <c r="R13" s="298" t="str">
        <f>'1.3 IP Pairwise'!M46</f>
        <v>Refactoring that introduces, removes, or fundamentally restructures architectural layers or abstraction structures, significantly altering the overall architecture.</v>
      </c>
      <c r="S13" s="298" t="str">
        <f>'1.3 IP Pairwise'!N46</f>
        <v>Isolation Layer, Move Service to Different Layer</v>
      </c>
      <c r="V13" s="298" t="str">
        <f>_xlfn.CONCAT('1.3 IP Pairwise'!K75," ","-"," ",'1.3 IP Pairwise'!L75)</f>
        <v>L5 - Severe Constraint</v>
      </c>
      <c r="W13" s="298" t="str">
        <f>'1.3 IP Pairwise'!M75</f>
        <v>The EA smell introduces dependency-driven constraints centered around a shared architectural element that is used by multiple architectural elements. Changes to the shared architectural element require simultaneous coordination across all dependent architectural elements, preventing independent architectural evolution. Consequently, future architectural evolution may require restructuring or replacement of the shared architectural element.</v>
      </c>
      <c r="X13" s="298" t="str">
        <f>'1.3 IP Pairwise'!N75</f>
        <v>The CRM, ERP, and Reporting systems rely on a shared data model that defines common data fields. Modifying the shared data model (e.g., changing required data fields) requires simultaneous updates across all dependent systems, preventing independent modification and requiring restructuring of the shared data model.</v>
      </c>
      <c r="AA13" s="298" t="str">
        <f>_xlfn.CONCAT('1.3 IP Pairwise'!K104," ","-"," ",'1.3 IP Pairwise'!L104)</f>
        <v>L5 - Strategic Coordination Overhead</v>
      </c>
      <c r="AB13" s="298" t="str">
        <f>'1.3 IP Pairwise'!M104</f>
        <v>The EA-smell instance creates coordination dependencies across multiple organizational domains and stakeholder groups and requires strategic decisions or alignment from enterprise leadership or program sponsors (e.g., CIO, steering committee).</v>
      </c>
      <c r="AC13" s="298" t="str">
        <f>'1.3 IP Pairwise'!N104</f>
        <v>Several enterprise applications rely on a vendor-specific database platform, creating strong vendor lock-in. Eliminating the dependency would require migrating multiple systems to an alternative platform and redesigning parts of the application landscape. The resulting cross-system dependencies create coordination requirements across multiple organizational domains and affect the enterprise architecture roadmap, requiring strategic alignment and decisions by enterprise leadership or program sponsors.</v>
      </c>
      <c r="AF13" s="298" t="str">
        <f>_xlfn.CONCAT('1.3 IP Pairwise'!K133," ","-"," ",'1.3 IP Pairwise'!L133)</f>
        <v>L5 - Critical Impact</v>
      </c>
      <c r="AG13" s="298" t="str">
        <f>'1.3 IP Pairwise'!M133</f>
        <v>Failures associated with the EA smell cannot be restored through normal operational actions and result in sustained unavailability of business-critical capabilities.</v>
      </c>
      <c r="AH13" s="298" t="str">
        <f>'1.3 IP Pairwise'!N133</f>
        <v>Persistent incidents associated with the EA smell result in the sustained unavailability of a business-critical capability, and the system cannot be restored through standard operational actions, requiring architectural redesign.</v>
      </c>
    </row>
    <row r="14" spans="1:34" ht="85" hidden="1" customHeight="1" outlineLevel="1" x14ac:dyDescent="0.2">
      <c r="B14" s="130">
        <v>6</v>
      </c>
      <c r="C14" s="128"/>
      <c r="D14" s="126"/>
      <c r="E14" s="126"/>
      <c r="F14" s="126"/>
      <c r="G14" s="126"/>
      <c r="H14" s="126"/>
      <c r="I14" s="126"/>
    </row>
    <row r="15" spans="1:34" ht="85" hidden="1" customHeight="1" outlineLevel="1" x14ac:dyDescent="0.2">
      <c r="B15" s="130">
        <v>7</v>
      </c>
      <c r="C15" s="128"/>
      <c r="D15" s="126"/>
      <c r="E15" s="126"/>
      <c r="F15" s="126"/>
      <c r="G15" s="126"/>
      <c r="H15" s="126"/>
      <c r="I15" s="126"/>
    </row>
    <row r="16" spans="1:34" ht="85" hidden="1" customHeight="1" outlineLevel="1" x14ac:dyDescent="0.2">
      <c r="B16" s="130">
        <v>8</v>
      </c>
      <c r="C16" s="128"/>
      <c r="D16" s="126"/>
      <c r="E16" s="126"/>
      <c r="F16" s="126"/>
      <c r="G16" s="126"/>
      <c r="H16" s="126"/>
      <c r="I16" s="126"/>
    </row>
    <row r="17" spans="2:9" ht="85" hidden="1" customHeight="1" outlineLevel="1" x14ac:dyDescent="0.2">
      <c r="B17" s="130">
        <v>9</v>
      </c>
      <c r="C17" s="128"/>
      <c r="D17" s="126"/>
      <c r="E17" s="126"/>
      <c r="F17" s="126"/>
      <c r="G17" s="126"/>
      <c r="H17" s="126"/>
      <c r="I17" s="126"/>
    </row>
    <row r="18" spans="2:9" ht="85" hidden="1" customHeight="1" outlineLevel="1" x14ac:dyDescent="0.2">
      <c r="B18" s="130">
        <v>10</v>
      </c>
      <c r="C18" s="128"/>
      <c r="D18" s="126"/>
      <c r="E18" s="126"/>
      <c r="F18" s="126"/>
      <c r="G18" s="126"/>
      <c r="H18" s="126"/>
      <c r="I18" s="126"/>
    </row>
    <row r="19" spans="2:9" ht="15" hidden="1" customHeight="1" outlineLevel="1" x14ac:dyDescent="0.2"/>
    <row r="20" spans="2:9" hidden="1" outlineLevel="1" x14ac:dyDescent="0.2"/>
    <row r="21" spans="2:9" collapsed="1" x14ac:dyDescent="0.2"/>
  </sheetData>
  <customSheetViews>
    <customSheetView guid="{A1A3B705-A997-C843-8A73-5252E7FC1F87}" showGridLines="0" hiddenColumns="1">
      <pane xSplit="2" ySplit="10" topLeftCell="C15" activePane="bottomRight" state="frozen"/>
      <selection pane="bottomRight" activeCell="H12" sqref="H12"/>
      <pageMargins left="0.75" right="0.75" top="1" bottom="1" header="0.511811023622047" footer="0.511811023622047"/>
      <pageSetup paperSize="9" orientation="portrait" horizontalDpi="300" verticalDpi="300"/>
    </customSheetView>
  </customSheetViews>
  <mergeCells count="16">
    <mergeCell ref="K6:AE6"/>
    <mergeCell ref="B4:I4"/>
    <mergeCell ref="B2:I2"/>
    <mergeCell ref="C7:C8"/>
    <mergeCell ref="D7:E7"/>
    <mergeCell ref="F7:H7"/>
    <mergeCell ref="I7:I8"/>
    <mergeCell ref="B6:C6"/>
    <mergeCell ref="B7:B8"/>
    <mergeCell ref="D6:I6"/>
    <mergeCell ref="K2:AH2"/>
    <mergeCell ref="AF4:AH4"/>
    <mergeCell ref="L4:N4"/>
    <mergeCell ref="Q4:S4"/>
    <mergeCell ref="V4:X4"/>
    <mergeCell ref="AA4:AC4"/>
  </mergeCells>
  <conditionalFormatting sqref="B6">
    <cfRule type="expression" dxfId="126" priority="33">
      <formula>$H$11="~ Select option ~"</formula>
    </cfRule>
  </conditionalFormatting>
  <conditionalFormatting sqref="D9:I18">
    <cfRule type="cellIs" dxfId="125" priority="1" operator="equal">
      <formula>5</formula>
    </cfRule>
    <cfRule type="cellIs" dxfId="124" priority="2" operator="equal">
      <formula>4</formula>
    </cfRule>
    <cfRule type="cellIs" dxfId="123" priority="3" operator="equal">
      <formula>3</formula>
    </cfRule>
    <cfRule type="cellIs" dxfId="122" priority="4" operator="equal">
      <formula>2</formula>
    </cfRule>
    <cfRule type="cellIs" dxfId="121" priority="5" operator="equal">
      <formula>1</formula>
    </cfRule>
  </conditionalFormatting>
  <dataValidations count="3">
    <dataValidation allowBlank="1" showErrorMessage="1" errorTitle="Invalid Input" error="Enter value 1–5 only" sqref="I9:I13" xr:uid="{F8164552-5418-A447-A081-9BF804B83576}"/>
    <dataValidation type="list" allowBlank="1" showInputMessage="1" showErrorMessage="1" sqref="C9:C18" xr:uid="{4D9FD7AF-9782-A243-8307-11A085BF7ED8}">
      <formula1>SelectedSmells</formula1>
    </dataValidation>
    <dataValidation type="list" allowBlank="1" showErrorMessage="1" errorTitle="Invalid Input" error="Enter value 1–5 only" sqref="D9:H18" xr:uid="{3629E0CA-21B9-CA46-ABC2-AA9BAC970E45}">
      <formula1>"1,2,3,4,5"</formula1>
    </dataValidation>
  </dataValidations>
  <hyperlinks>
    <hyperlink ref="B6:C6" location="'EA Smell Catalogue'!A1" display="Go to EA Smell Catalogue →" xr:uid="{FB13DC9D-3566-4841-8BFD-716C17B61C1E}"/>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5B570-30AE-4A4A-9092-9AC38645B90D}">
  <sheetPr codeName="Sheet10">
    <tabColor theme="8" tint="0.39997558519241921"/>
  </sheetPr>
  <dimension ref="A1:P89"/>
  <sheetViews>
    <sheetView showGridLines="0" tabSelected="1" topLeftCell="A25" zoomScale="70" zoomScaleNormal="70" workbookViewId="0">
      <selection activeCell="I58" sqref="I58"/>
    </sheetView>
  </sheetViews>
  <sheetFormatPr baseColWidth="10" defaultColWidth="8.83203125" defaultRowHeight="20" x14ac:dyDescent="0.2"/>
  <cols>
    <col min="1" max="1" width="3" style="34" customWidth="1"/>
    <col min="2" max="2" width="4" style="47" customWidth="1"/>
    <col min="3" max="3" width="20.83203125" style="35" customWidth="1"/>
    <col min="4" max="5" width="25.83203125" style="34" customWidth="1"/>
    <col min="6" max="6" width="25.83203125" style="35" customWidth="1"/>
    <col min="7" max="8" width="25.83203125" style="34" customWidth="1"/>
    <col min="9" max="9" width="25.83203125" style="116" customWidth="1"/>
    <col min="10" max="12" width="25.83203125" style="34" customWidth="1"/>
    <col min="13" max="16384" width="8.83203125" style="34"/>
  </cols>
  <sheetData>
    <row r="1" spans="1:16" ht="38" customHeight="1" x14ac:dyDescent="0.15">
      <c r="A1" s="389" t="s">
        <v>243</v>
      </c>
      <c r="B1" s="389"/>
      <c r="C1" s="389"/>
      <c r="D1" s="389"/>
      <c r="E1" s="389"/>
      <c r="F1" s="389"/>
      <c r="G1" s="389"/>
      <c r="H1" s="389"/>
      <c r="I1" s="389"/>
      <c r="J1" s="389"/>
      <c r="K1" s="389"/>
      <c r="L1" s="389"/>
    </row>
    <row r="2" spans="1:16" ht="14" customHeight="1" x14ac:dyDescent="0.15">
      <c r="A2" s="41"/>
      <c r="B2" s="45"/>
      <c r="C2" s="48"/>
      <c r="D2" s="41"/>
      <c r="E2" s="41"/>
      <c r="F2" s="48"/>
      <c r="G2" s="41"/>
      <c r="H2" s="41"/>
      <c r="I2" s="115"/>
      <c r="J2" s="41"/>
      <c r="K2" s="41"/>
      <c r="L2" s="41"/>
    </row>
    <row r="3" spans="1:16" ht="14" customHeight="1" x14ac:dyDescent="0.15">
      <c r="A3" s="41"/>
      <c r="B3" s="45"/>
      <c r="C3" s="48"/>
      <c r="D3" s="41"/>
      <c r="E3" s="41"/>
      <c r="F3" s="48"/>
      <c r="G3" s="41"/>
      <c r="H3" s="41"/>
      <c r="I3" s="115"/>
      <c r="J3" s="41"/>
      <c r="K3" s="41"/>
      <c r="L3" s="41"/>
    </row>
    <row r="4" spans="1:16" ht="14" customHeight="1" x14ac:dyDescent="0.15">
      <c r="B4" s="46"/>
    </row>
    <row r="5" spans="1:16" ht="16" customHeight="1" x14ac:dyDescent="0.15">
      <c r="B5" s="388" t="s">
        <v>242</v>
      </c>
      <c r="C5" s="392" t="s">
        <v>248</v>
      </c>
      <c r="D5" s="36"/>
      <c r="G5" s="44"/>
      <c r="H5" s="391"/>
      <c r="I5" s="391"/>
      <c r="J5" s="391"/>
    </row>
    <row r="6" spans="1:16" ht="16" customHeight="1" x14ac:dyDescent="0.15">
      <c r="B6" s="388"/>
      <c r="C6" s="392"/>
      <c r="D6" s="36"/>
      <c r="G6" s="114"/>
      <c r="H6" s="390"/>
      <c r="I6" s="390"/>
      <c r="J6" s="390"/>
    </row>
    <row r="7" spans="1:16" ht="16" customHeight="1" x14ac:dyDescent="0.2">
      <c r="B7" s="388"/>
      <c r="C7" s="392"/>
      <c r="D7" s="36"/>
      <c r="F7" s="147"/>
      <c r="M7"/>
      <c r="N7"/>
      <c r="O7"/>
      <c r="P7"/>
    </row>
    <row r="8" spans="1:16" ht="16" customHeight="1" x14ac:dyDescent="0.2">
      <c r="B8" s="388"/>
      <c r="C8" s="392"/>
      <c r="D8" s="36"/>
      <c r="F8" s="147"/>
      <c r="M8"/>
      <c r="N8"/>
      <c r="O8"/>
      <c r="P8"/>
    </row>
    <row r="9" spans="1:16" ht="16" customHeight="1" x14ac:dyDescent="0.2">
      <c r="B9" s="388"/>
      <c r="C9" s="392"/>
      <c r="D9" s="36"/>
      <c r="F9" s="147"/>
      <c r="M9"/>
      <c r="N9"/>
      <c r="O9"/>
      <c r="P9"/>
    </row>
    <row r="10" spans="1:16" ht="16" customHeight="1" x14ac:dyDescent="0.2">
      <c r="B10" s="388"/>
      <c r="C10" s="392"/>
      <c r="D10" s="36"/>
      <c r="F10" s="147"/>
      <c r="M10"/>
      <c r="N10"/>
      <c r="O10"/>
      <c r="P10"/>
    </row>
    <row r="11" spans="1:16" ht="16" customHeight="1" x14ac:dyDescent="0.2">
      <c r="B11" s="388"/>
      <c r="C11" s="392"/>
      <c r="D11" s="36"/>
      <c r="E11" s="36"/>
      <c r="F11" s="37"/>
      <c r="G11" s="40"/>
      <c r="M11"/>
      <c r="N11"/>
      <c r="O11"/>
      <c r="P11"/>
    </row>
    <row r="12" spans="1:16" ht="16" customHeight="1" x14ac:dyDescent="0.2">
      <c r="B12" s="388"/>
      <c r="C12" s="392"/>
      <c r="D12" s="36"/>
      <c r="E12" s="36"/>
      <c r="M12"/>
      <c r="N12"/>
      <c r="O12"/>
      <c r="P12"/>
    </row>
    <row r="13" spans="1:16" ht="16" customHeight="1" x14ac:dyDescent="0.2">
      <c r="B13" s="388"/>
      <c r="C13" s="392"/>
      <c r="D13" s="36"/>
      <c r="E13" s="36"/>
      <c r="M13"/>
      <c r="N13"/>
      <c r="O13"/>
      <c r="P13"/>
    </row>
    <row r="14" spans="1:16" ht="16" customHeight="1" x14ac:dyDescent="0.2">
      <c r="B14" s="388"/>
      <c r="C14" s="392"/>
      <c r="D14" s="36"/>
      <c r="E14" s="36"/>
      <c r="M14"/>
      <c r="N14"/>
      <c r="O14"/>
      <c r="P14"/>
    </row>
    <row r="15" spans="1:16" ht="16" customHeight="1" x14ac:dyDescent="0.2">
      <c r="B15" s="388"/>
      <c r="C15" s="392"/>
      <c r="D15" s="36"/>
      <c r="E15" s="36"/>
      <c r="G15" s="118"/>
      <c r="H15" s="118"/>
      <c r="I15" s="34"/>
      <c r="M15"/>
      <c r="N15"/>
      <c r="O15"/>
      <c r="P15"/>
    </row>
    <row r="16" spans="1:16" ht="16" customHeight="1" x14ac:dyDescent="0.2">
      <c r="B16" s="388"/>
      <c r="C16" s="392"/>
      <c r="D16" s="36"/>
      <c r="E16" s="36"/>
      <c r="M16"/>
      <c r="N16"/>
      <c r="O16"/>
      <c r="P16"/>
    </row>
    <row r="17" spans="2:16" ht="16" customHeight="1" x14ac:dyDescent="0.2">
      <c r="B17" s="388"/>
      <c r="C17" s="392"/>
      <c r="D17" s="36"/>
      <c r="E17" s="36"/>
      <c r="F17" s="37"/>
      <c r="M17"/>
      <c r="N17"/>
      <c r="O17"/>
      <c r="P17"/>
    </row>
    <row r="18" spans="2:16" ht="16" customHeight="1" x14ac:dyDescent="0.2">
      <c r="B18" s="388"/>
      <c r="C18" s="392"/>
      <c r="D18" s="36"/>
      <c r="E18" s="36"/>
      <c r="F18" s="37"/>
      <c r="M18"/>
      <c r="N18"/>
      <c r="O18"/>
      <c r="P18"/>
    </row>
    <row r="19" spans="2:16" s="38" customFormat="1" ht="16" customHeight="1" x14ac:dyDescent="0.2">
      <c r="B19" s="388"/>
      <c r="C19" s="392"/>
      <c r="D19" s="39"/>
      <c r="E19" s="39"/>
      <c r="F19" s="148"/>
      <c r="G19" s="42"/>
      <c r="I19" s="117"/>
      <c r="M19"/>
      <c r="N19"/>
      <c r="O19"/>
      <c r="P19"/>
    </row>
    <row r="20" spans="2:16" ht="16" customHeight="1" x14ac:dyDescent="0.2">
      <c r="B20" s="388"/>
      <c r="C20" s="392"/>
      <c r="D20" s="36"/>
      <c r="F20" s="149"/>
      <c r="M20"/>
      <c r="N20"/>
      <c r="O20"/>
      <c r="P20"/>
    </row>
    <row r="21" spans="2:16" ht="16" customHeight="1" x14ac:dyDescent="0.2">
      <c r="B21" s="388"/>
      <c r="C21" s="392"/>
      <c r="D21" s="36"/>
      <c r="E21" s="36"/>
      <c r="F21" s="37"/>
      <c r="M21"/>
      <c r="N21"/>
      <c r="O21"/>
      <c r="P21"/>
    </row>
    <row r="22" spans="2:16" ht="16" customHeight="1" x14ac:dyDescent="0.2">
      <c r="B22" s="388"/>
      <c r="C22" s="392"/>
      <c r="D22" s="36"/>
      <c r="M22"/>
      <c r="N22"/>
      <c r="O22"/>
      <c r="P22"/>
    </row>
    <row r="23" spans="2:16" ht="16" customHeight="1" x14ac:dyDescent="0.2">
      <c r="B23" s="388"/>
      <c r="C23" s="392"/>
      <c r="D23" s="36"/>
      <c r="E23" s="36"/>
      <c r="F23" s="37"/>
      <c r="M23"/>
      <c r="N23"/>
      <c r="O23"/>
      <c r="P23"/>
    </row>
    <row r="24" spans="2:16" ht="16" customHeight="1" x14ac:dyDescent="0.2">
      <c r="B24" s="388"/>
      <c r="C24" s="392"/>
      <c r="D24" s="36"/>
      <c r="E24" s="36"/>
      <c r="F24" s="37"/>
      <c r="M24"/>
      <c r="N24"/>
      <c r="O24"/>
      <c r="P24"/>
    </row>
    <row r="25" spans="2:16" ht="16" customHeight="1" x14ac:dyDescent="0.2">
      <c r="B25" s="388"/>
      <c r="C25" s="392"/>
      <c r="D25" s="36"/>
      <c r="E25" s="36"/>
      <c r="F25" s="37"/>
      <c r="M25"/>
      <c r="N25"/>
      <c r="O25"/>
      <c r="P25"/>
    </row>
    <row r="26" spans="2:16" ht="16" customHeight="1" x14ac:dyDescent="0.2">
      <c r="B26" s="388"/>
      <c r="C26" s="392"/>
      <c r="D26" s="36"/>
      <c r="E26" s="36"/>
      <c r="F26" s="37"/>
      <c r="M26"/>
      <c r="N26"/>
      <c r="O26"/>
      <c r="P26"/>
    </row>
    <row r="27" spans="2:16" ht="16" customHeight="1" x14ac:dyDescent="0.2">
      <c r="B27" s="388"/>
      <c r="C27" s="392"/>
      <c r="D27" s="36"/>
      <c r="E27" s="36"/>
      <c r="F27" s="37"/>
      <c r="M27"/>
      <c r="N27"/>
      <c r="O27"/>
      <c r="P27"/>
    </row>
    <row r="28" spans="2:16" ht="16" customHeight="1" x14ac:dyDescent="0.2">
      <c r="B28" s="388"/>
      <c r="C28" s="392"/>
      <c r="D28" s="36"/>
      <c r="E28" s="36"/>
      <c r="F28" s="37"/>
      <c r="M28"/>
      <c r="N28"/>
      <c r="O28"/>
      <c r="P28"/>
    </row>
    <row r="29" spans="2:16" ht="16" customHeight="1" x14ac:dyDescent="0.2">
      <c r="B29" s="388"/>
      <c r="C29" s="392"/>
      <c r="D29" s="36"/>
      <c r="E29" s="36"/>
      <c r="F29" s="37"/>
      <c r="M29"/>
      <c r="N29"/>
      <c r="O29"/>
      <c r="P29"/>
    </row>
    <row r="30" spans="2:16" ht="16" customHeight="1" x14ac:dyDescent="0.2">
      <c r="B30" s="388"/>
      <c r="C30" s="392"/>
      <c r="D30" s="36"/>
      <c r="E30" s="36"/>
      <c r="F30" s="37"/>
      <c r="M30"/>
      <c r="N30"/>
      <c r="O30"/>
      <c r="P30"/>
    </row>
    <row r="31" spans="2:16" ht="16" customHeight="1" x14ac:dyDescent="0.2">
      <c r="B31" s="388"/>
      <c r="C31" s="392"/>
      <c r="D31" s="36"/>
      <c r="E31" s="36"/>
      <c r="F31" s="37"/>
      <c r="M31"/>
      <c r="N31"/>
      <c r="O31"/>
      <c r="P31"/>
    </row>
    <row r="32" spans="2:16" ht="16" customHeight="1" x14ac:dyDescent="0.2">
      <c r="B32" s="388"/>
      <c r="C32" s="392"/>
      <c r="D32" s="36"/>
      <c r="E32" s="36"/>
      <c r="F32" s="37"/>
      <c r="M32"/>
      <c r="N32"/>
      <c r="O32"/>
      <c r="P32"/>
    </row>
    <row r="33" spans="2:16" ht="19" customHeight="1" x14ac:dyDescent="0.2">
      <c r="B33" s="388"/>
      <c r="C33" s="392"/>
      <c r="D33" s="36"/>
      <c r="E33" s="150" t="s">
        <v>407</v>
      </c>
      <c r="F33" s="150" t="s">
        <v>204</v>
      </c>
      <c r="G33" s="131" t="s">
        <v>465</v>
      </c>
      <c r="H33" s="131" t="s">
        <v>466</v>
      </c>
      <c r="I33" s="34"/>
      <c r="M33"/>
      <c r="N33"/>
      <c r="O33"/>
      <c r="P33"/>
    </row>
    <row r="34" spans="2:16" ht="19" customHeight="1" x14ac:dyDescent="0.2">
      <c r="B34" s="388"/>
      <c r="C34" s="392"/>
      <c r="D34" s="36"/>
      <c r="E34" s="288" t="s">
        <v>132</v>
      </c>
      <c r="F34" s="289"/>
      <c r="G34" s="290">
        <f>'1.7 AHP Calculations'!$F$18</f>
        <v>0.5</v>
      </c>
      <c r="H34" s="290">
        <f>Table1[[#This Row],[Local Weight]]</f>
        <v>0.5</v>
      </c>
      <c r="I34" s="34"/>
      <c r="M34"/>
      <c r="N34"/>
      <c r="O34"/>
      <c r="P34"/>
    </row>
    <row r="35" spans="2:16" ht="19" customHeight="1" x14ac:dyDescent="0.2">
      <c r="B35" s="388"/>
      <c r="C35" s="392"/>
      <c r="D35" s="36"/>
      <c r="E35" s="288"/>
      <c r="F35" s="291" t="s">
        <v>37</v>
      </c>
      <c r="G35" s="290">
        <f>'1.7 AHP Calculations'!$D$60</f>
        <v>0.5</v>
      </c>
      <c r="H35" s="290">
        <f>Table1[[#This Row],[Local Weight]]*$G$34</f>
        <v>0.25</v>
      </c>
      <c r="I35" s="34"/>
      <c r="M35"/>
      <c r="N35"/>
      <c r="O35"/>
      <c r="P35"/>
    </row>
    <row r="36" spans="2:16" ht="38" x14ac:dyDescent="0.2">
      <c r="B36" s="388"/>
      <c r="C36" s="392"/>
      <c r="D36" s="36"/>
      <c r="E36" s="292"/>
      <c r="F36" s="291" t="s">
        <v>138</v>
      </c>
      <c r="G36" s="290">
        <f>'1.7 AHP Calculations'!$D$61</f>
        <v>0.5</v>
      </c>
      <c r="H36" s="290">
        <f>Table1[[#This Row],[Local Weight]]*$G$34</f>
        <v>0.25</v>
      </c>
      <c r="I36" s="34"/>
      <c r="M36"/>
      <c r="N36"/>
      <c r="O36"/>
      <c r="P36"/>
    </row>
    <row r="37" spans="2:16" ht="19" customHeight="1" x14ac:dyDescent="0.2">
      <c r="B37" s="388"/>
      <c r="C37" s="392"/>
      <c r="D37" s="36"/>
      <c r="E37" s="288" t="s">
        <v>94</v>
      </c>
      <c r="F37" s="293"/>
      <c r="G37" s="290">
        <f>'1.7 AHP Calculations'!$F$19</f>
        <v>0.5</v>
      </c>
      <c r="H37" s="290">
        <f>Table1[[#This Row],[Local Weight]]</f>
        <v>0.5</v>
      </c>
      <c r="I37" s="34"/>
      <c r="M37"/>
      <c r="N37"/>
      <c r="O37"/>
      <c r="P37"/>
    </row>
    <row r="38" spans="2:16" ht="19" customHeight="1" x14ac:dyDescent="0.2">
      <c r="B38" s="388"/>
      <c r="C38" s="392"/>
      <c r="D38" s="36"/>
      <c r="E38" s="288"/>
      <c r="F38" s="291" t="s">
        <v>205</v>
      </c>
      <c r="G38" s="290">
        <f>'1.7 AHP Calculations'!$D$62</f>
        <v>0.33333333333333331</v>
      </c>
      <c r="H38" s="290">
        <f>Table1[[#This Row],[Local Weight]]*$G$37</f>
        <v>0.16666666666666666</v>
      </c>
      <c r="I38" s="34"/>
      <c r="M38"/>
      <c r="N38"/>
      <c r="O38"/>
      <c r="P38"/>
    </row>
    <row r="39" spans="2:16" ht="57" x14ac:dyDescent="0.2">
      <c r="B39" s="388"/>
      <c r="C39" s="392"/>
      <c r="D39" s="36"/>
      <c r="E39" s="288"/>
      <c r="F39" s="291" t="s">
        <v>399</v>
      </c>
      <c r="G39" s="290">
        <f>'1.7 AHP Calculations'!$D$63</f>
        <v>0.33333333333333331</v>
      </c>
      <c r="H39" s="290">
        <f>Table1[[#This Row],[Local Weight]]*$G$37</f>
        <v>0.16666666666666666</v>
      </c>
      <c r="I39" s="34"/>
      <c r="M39"/>
      <c r="N39"/>
      <c r="O39"/>
      <c r="P39"/>
    </row>
    <row r="40" spans="2:16" ht="38" x14ac:dyDescent="0.2">
      <c r="B40" s="388"/>
      <c r="C40" s="392"/>
      <c r="D40" s="36"/>
      <c r="E40" s="292"/>
      <c r="F40" s="291" t="s">
        <v>295</v>
      </c>
      <c r="G40" s="290">
        <f>'1.7 AHP Calculations'!$D$64</f>
        <v>0.33333333333333331</v>
      </c>
      <c r="H40" s="290">
        <f>Table1[[#This Row],[Local Weight]]*$G$37</f>
        <v>0.16666666666666666</v>
      </c>
      <c r="I40" s="34"/>
      <c r="M40"/>
      <c r="N40"/>
      <c r="O40"/>
      <c r="P40"/>
    </row>
    <row r="41" spans="2:16" ht="16" customHeight="1" x14ac:dyDescent="0.2">
      <c r="B41" s="132"/>
      <c r="C41" s="133"/>
      <c r="D41" s="36"/>
      <c r="E41" s="36"/>
      <c r="H41" s="116"/>
      <c r="I41" s="34"/>
      <c r="M41"/>
      <c r="N41"/>
      <c r="O41"/>
      <c r="P41"/>
    </row>
    <row r="42" spans="2:16" ht="16" customHeight="1" x14ac:dyDescent="0.2">
      <c r="B42" s="132"/>
      <c r="C42" s="133"/>
      <c r="D42" s="36"/>
      <c r="E42" s="432" t="s">
        <v>672</v>
      </c>
      <c r="F42" s="432"/>
      <c r="G42" s="432"/>
      <c r="H42" s="432"/>
      <c r="I42" s="432"/>
      <c r="J42" s="432"/>
      <c r="M42"/>
      <c r="N42"/>
      <c r="O42"/>
      <c r="P42"/>
    </row>
    <row r="43" spans="2:16" ht="16" customHeight="1" x14ac:dyDescent="0.2">
      <c r="B43" s="132"/>
      <c r="C43" s="133"/>
      <c r="D43" s="36"/>
      <c r="E43" s="36"/>
      <c r="F43" s="37"/>
      <c r="M43"/>
      <c r="N43"/>
      <c r="O43"/>
      <c r="P43"/>
    </row>
    <row r="44" spans="2:16" ht="16" customHeight="1" x14ac:dyDescent="0.2">
      <c r="B44" s="399" t="s">
        <v>241</v>
      </c>
      <c r="C44" s="398" t="s">
        <v>249</v>
      </c>
      <c r="D44" s="36"/>
      <c r="E44" s="393" t="s">
        <v>654</v>
      </c>
      <c r="F44" s="394"/>
      <c r="G44" s="394"/>
      <c r="H44" s="394"/>
      <c r="I44" s="394"/>
      <c r="J44" s="394"/>
      <c r="M44"/>
      <c r="N44"/>
      <c r="O44"/>
      <c r="P44"/>
    </row>
    <row r="45" spans="2:16" ht="16" customHeight="1" x14ac:dyDescent="0.2">
      <c r="B45" s="399"/>
      <c r="C45" s="398"/>
      <c r="D45" s="36"/>
      <c r="E45" s="145"/>
      <c r="F45" s="146"/>
      <c r="G45" s="146"/>
      <c r="H45" s="146"/>
      <c r="I45" s="146"/>
      <c r="J45" s="146"/>
      <c r="M45"/>
      <c r="N45"/>
      <c r="O45"/>
      <c r="P45"/>
    </row>
    <row r="46" spans="2:16" s="142" customFormat="1" ht="34" x14ac:dyDescent="0.2">
      <c r="B46" s="399"/>
      <c r="C46" s="398"/>
      <c r="D46" s="36"/>
      <c r="E46" s="143" t="s">
        <v>238</v>
      </c>
      <c r="F46" s="140" t="s">
        <v>408</v>
      </c>
      <c r="G46" s="140" t="s">
        <v>432</v>
      </c>
      <c r="H46" s="140" t="s">
        <v>409</v>
      </c>
      <c r="I46" s="139" t="s">
        <v>433</v>
      </c>
      <c r="J46" s="140" t="s">
        <v>410</v>
      </c>
      <c r="K46" s="141"/>
      <c r="L46" s="141"/>
      <c r="M46" s="141"/>
      <c r="N46" s="141"/>
      <c r="O46" s="141"/>
      <c r="P46" s="141"/>
    </row>
    <row r="47" spans="2:16" ht="16" customHeight="1" x14ac:dyDescent="0.2">
      <c r="B47" s="399"/>
      <c r="C47" s="398"/>
      <c r="D47" s="36"/>
      <c r="E47" s="137" t="s">
        <v>47</v>
      </c>
      <c r="F47" s="138" t="s">
        <v>655</v>
      </c>
      <c r="G47" s="138" t="s">
        <v>656</v>
      </c>
      <c r="H47" s="138" t="s">
        <v>414</v>
      </c>
      <c r="I47" s="138" t="s">
        <v>416</v>
      </c>
      <c r="J47" s="138" t="s">
        <v>419</v>
      </c>
      <c r="K47"/>
      <c r="L47"/>
      <c r="M47"/>
      <c r="N47"/>
      <c r="O47"/>
      <c r="P47"/>
    </row>
    <row r="48" spans="2:16" ht="16" customHeight="1" x14ac:dyDescent="0.2">
      <c r="B48" s="399"/>
      <c r="C48" s="398"/>
      <c r="D48" s="36"/>
      <c r="E48" s="137" t="s">
        <v>65</v>
      </c>
      <c r="F48" s="138" t="s">
        <v>657</v>
      </c>
      <c r="G48" s="138" t="s">
        <v>658</v>
      </c>
      <c r="H48" s="138" t="s">
        <v>413</v>
      </c>
      <c r="I48" s="138" t="s">
        <v>415</v>
      </c>
      <c r="J48" s="138" t="s">
        <v>418</v>
      </c>
      <c r="K48"/>
      <c r="L48"/>
      <c r="M48"/>
      <c r="N48"/>
      <c r="O48"/>
      <c r="P48"/>
    </row>
    <row r="49" spans="2:16" ht="16" customHeight="1" x14ac:dyDescent="0.2">
      <c r="B49" s="399"/>
      <c r="C49" s="398"/>
      <c r="D49" s="36"/>
      <c r="E49" s="137" t="s">
        <v>59</v>
      </c>
      <c r="F49" s="138" t="s">
        <v>659</v>
      </c>
      <c r="G49" s="138" t="s">
        <v>658</v>
      </c>
      <c r="H49" s="138" t="s">
        <v>412</v>
      </c>
      <c r="I49" s="138" t="s">
        <v>417</v>
      </c>
      <c r="J49" s="138" t="s">
        <v>420</v>
      </c>
      <c r="K49"/>
      <c r="L49"/>
      <c r="M49"/>
      <c r="N49"/>
      <c r="O49"/>
      <c r="P49"/>
    </row>
    <row r="50" spans="2:16" ht="16" customHeight="1" x14ac:dyDescent="0.2">
      <c r="B50" s="399"/>
      <c r="C50" s="398"/>
      <c r="D50" s="36"/>
      <c r="E50" s="137" t="s">
        <v>72</v>
      </c>
      <c r="F50" s="138" t="s">
        <v>655</v>
      </c>
      <c r="G50" s="138" t="s">
        <v>656</v>
      </c>
      <c r="H50" s="138" t="s">
        <v>414</v>
      </c>
      <c r="I50" s="138" t="s">
        <v>416</v>
      </c>
      <c r="J50" s="138" t="s">
        <v>420</v>
      </c>
      <c r="K50"/>
      <c r="L50"/>
      <c r="M50"/>
      <c r="N50"/>
      <c r="O50"/>
      <c r="P50"/>
    </row>
    <row r="51" spans="2:16" ht="16" customHeight="1" x14ac:dyDescent="0.2">
      <c r="B51" s="399"/>
      <c r="C51" s="398"/>
      <c r="D51" s="36"/>
      <c r="E51" s="137" t="s">
        <v>91</v>
      </c>
      <c r="F51" s="138" t="s">
        <v>655</v>
      </c>
      <c r="G51" s="138" t="s">
        <v>660</v>
      </c>
      <c r="H51" s="138" t="s">
        <v>412</v>
      </c>
      <c r="I51" s="138" t="s">
        <v>412</v>
      </c>
      <c r="J51" s="138" t="s">
        <v>420</v>
      </c>
      <c r="K51"/>
      <c r="L51"/>
      <c r="M51"/>
      <c r="N51"/>
      <c r="O51"/>
      <c r="P51"/>
    </row>
    <row r="52" spans="2:16" ht="16" customHeight="1" x14ac:dyDescent="0.2">
      <c r="B52" s="399"/>
      <c r="C52" s="398"/>
      <c r="E52" s="137" t="s">
        <v>406</v>
      </c>
      <c r="F52" s="138"/>
      <c r="G52" s="138"/>
      <c r="H52" s="138"/>
      <c r="I52" s="138"/>
      <c r="J52" s="138"/>
      <c r="K52"/>
      <c r="L52"/>
      <c r="M52"/>
      <c r="N52"/>
      <c r="O52"/>
      <c r="P52"/>
    </row>
    <row r="53" spans="2:16" ht="16" customHeight="1" x14ac:dyDescent="0.2">
      <c r="B53" s="399"/>
      <c r="C53" s="398"/>
      <c r="D53" s="36"/>
      <c r="E53"/>
      <c r="F53"/>
      <c r="G53"/>
      <c r="H53"/>
      <c r="I53"/>
      <c r="J53"/>
      <c r="K53"/>
      <c r="L53"/>
      <c r="M53"/>
      <c r="N53"/>
      <c r="O53"/>
      <c r="P53"/>
    </row>
    <row r="54" spans="2:16" ht="16" customHeight="1" x14ac:dyDescent="0.2">
      <c r="B54" s="399"/>
      <c r="C54" s="398"/>
      <c r="D54" s="36"/>
      <c r="E54"/>
      <c r="F54"/>
      <c r="G54"/>
      <c r="H54"/>
      <c r="I54"/>
      <c r="J54"/>
      <c r="K54"/>
      <c r="L54"/>
      <c r="M54"/>
      <c r="N54"/>
      <c r="O54"/>
      <c r="P54"/>
    </row>
    <row r="55" spans="2:16" ht="16" customHeight="1" x14ac:dyDescent="0.2">
      <c r="B55" s="399"/>
      <c r="C55" s="398"/>
      <c r="D55" s="36"/>
      <c r="E55"/>
      <c r="F55"/>
      <c r="G55"/>
      <c r="H55"/>
      <c r="I55"/>
      <c r="J55"/>
      <c r="K55"/>
      <c r="L55"/>
      <c r="M55"/>
      <c r="N55"/>
      <c r="O55"/>
      <c r="P55"/>
    </row>
    <row r="56" spans="2:16" ht="16" customHeight="1" x14ac:dyDescent="0.2">
      <c r="B56" s="399"/>
      <c r="C56" s="398"/>
      <c r="D56" s="36"/>
      <c r="E56"/>
      <c r="F56"/>
      <c r="G56"/>
      <c r="H56"/>
      <c r="I56"/>
      <c r="J56"/>
      <c r="K56"/>
      <c r="L56"/>
      <c r="M56"/>
      <c r="N56"/>
      <c r="O56"/>
      <c r="P56"/>
    </row>
    <row r="57" spans="2:16" ht="16" customHeight="1" x14ac:dyDescent="0.2">
      <c r="B57" s="399"/>
      <c r="C57" s="398"/>
      <c r="D57" s="36"/>
      <c r="E57"/>
      <c r="F57" s="43"/>
      <c r="G57"/>
      <c r="H57"/>
      <c r="I57"/>
      <c r="J57"/>
      <c r="K57"/>
      <c r="L57"/>
      <c r="M57"/>
      <c r="N57"/>
      <c r="O57"/>
      <c r="P57"/>
    </row>
    <row r="58" spans="2:16" ht="16" customHeight="1" x14ac:dyDescent="0.2">
      <c r="B58" s="399"/>
      <c r="C58" s="398"/>
      <c r="D58" s="36"/>
      <c r="E58"/>
      <c r="F58" s="43"/>
      <c r="G58"/>
      <c r="H58"/>
      <c r="I58"/>
      <c r="J58"/>
      <c r="K58"/>
      <c r="L58"/>
      <c r="M58"/>
      <c r="N58"/>
      <c r="O58"/>
      <c r="P58"/>
    </row>
    <row r="59" spans="2:16" ht="16" customHeight="1" x14ac:dyDescent="0.2">
      <c r="B59" s="399"/>
      <c r="C59" s="398"/>
      <c r="D59" s="36"/>
      <c r="E59"/>
      <c r="F59" s="43"/>
      <c r="G59"/>
      <c r="H59"/>
      <c r="I59"/>
      <c r="J59"/>
      <c r="K59"/>
      <c r="L59"/>
      <c r="M59"/>
      <c r="N59"/>
      <c r="O59"/>
      <c r="P59"/>
    </row>
    <row r="60" spans="2:16" ht="16" customHeight="1" x14ac:dyDescent="0.2">
      <c r="B60" s="399"/>
      <c r="C60" s="398"/>
      <c r="D60" s="36"/>
      <c r="E60"/>
      <c r="F60" s="43"/>
      <c r="G60"/>
      <c r="H60"/>
      <c r="I60"/>
      <c r="J60"/>
      <c r="K60"/>
      <c r="L60"/>
      <c r="M60"/>
      <c r="N60"/>
      <c r="O60"/>
      <c r="P60"/>
    </row>
    <row r="61" spans="2:16" ht="20" customHeight="1" x14ac:dyDescent="0.2">
      <c r="B61" s="132"/>
      <c r="C61" s="133"/>
      <c r="D61" s="36"/>
      <c r="E61"/>
      <c r="F61" s="43"/>
      <c r="G61"/>
      <c r="H61"/>
      <c r="I61"/>
      <c r="J61"/>
      <c r="K61"/>
      <c r="L61"/>
      <c r="M61"/>
      <c r="N61"/>
      <c r="O61"/>
      <c r="P61"/>
    </row>
    <row r="62" spans="2:16" ht="20" customHeight="1" x14ac:dyDescent="0.2">
      <c r="B62" s="132"/>
      <c r="C62" s="133"/>
      <c r="D62" s="36"/>
      <c r="E62"/>
      <c r="F62" s="43"/>
      <c r="G62"/>
      <c r="H62"/>
      <c r="I62"/>
      <c r="J62"/>
      <c r="K62"/>
      <c r="L62"/>
      <c r="M62"/>
      <c r="N62"/>
      <c r="O62"/>
      <c r="P62"/>
    </row>
    <row r="63" spans="2:16" ht="20" customHeight="1" x14ac:dyDescent="0.2">
      <c r="B63" s="132"/>
      <c r="C63" s="133"/>
      <c r="D63" s="36"/>
      <c r="E63"/>
      <c r="F63" s="43"/>
      <c r="G63"/>
      <c r="H63"/>
      <c r="I63"/>
      <c r="J63"/>
      <c r="K63"/>
      <c r="L63"/>
      <c r="M63"/>
      <c r="N63"/>
      <c r="O63"/>
      <c r="P63"/>
    </row>
    <row r="64" spans="2:16" ht="65" customHeight="1" x14ac:dyDescent="0.2">
      <c r="B64" s="397" t="s">
        <v>240</v>
      </c>
      <c r="C64" s="396" t="s">
        <v>250</v>
      </c>
      <c r="D64" s="36"/>
      <c r="E64" s="395" t="s">
        <v>661</v>
      </c>
      <c r="F64" s="394"/>
      <c r="G64" s="394"/>
      <c r="H64" s="394"/>
      <c r="I64" s="144"/>
      <c r="J64" s="144"/>
      <c r="M64"/>
      <c r="N64"/>
      <c r="O64"/>
      <c r="P64"/>
    </row>
    <row r="65" spans="2:16" ht="20" customHeight="1" x14ac:dyDescent="0.2">
      <c r="B65" s="397"/>
      <c r="C65" s="396"/>
      <c r="D65" s="36"/>
      <c r="E65" s="134"/>
      <c r="F65" s="134"/>
      <c r="G65" s="135"/>
      <c r="H65" s="135"/>
      <c r="I65" s="136"/>
      <c r="J65" s="135"/>
      <c r="M65"/>
      <c r="N65"/>
      <c r="O65"/>
      <c r="P65"/>
    </row>
    <row r="66" spans="2:16" ht="16" customHeight="1" x14ac:dyDescent="0.2">
      <c r="B66" s="397"/>
      <c r="C66" s="396"/>
      <c r="E66" s="426" t="s">
        <v>203</v>
      </c>
      <c r="F66" s="427" t="s">
        <v>238</v>
      </c>
      <c r="G66" s="427" t="s">
        <v>398</v>
      </c>
      <c r="H66" s="427" t="s">
        <v>464</v>
      </c>
      <c r="I66"/>
      <c r="J66"/>
      <c r="K66"/>
      <c r="L66"/>
    </row>
    <row r="67" spans="2:16" ht="16" customHeight="1" x14ac:dyDescent="0.2">
      <c r="B67" s="397"/>
      <c r="C67" s="396"/>
      <c r="E67" s="138">
        <v>1</v>
      </c>
      <c r="F67" s="137" t="s">
        <v>91</v>
      </c>
      <c r="G67" s="428">
        <v>0.50089602784278153</v>
      </c>
      <c r="H67" s="429">
        <v>0.28007762233969546</v>
      </c>
      <c r="I67"/>
      <c r="J67"/>
      <c r="K67"/>
      <c r="L67"/>
    </row>
    <row r="68" spans="2:16" ht="16" customHeight="1" x14ac:dyDescent="0.2">
      <c r="B68" s="397"/>
      <c r="C68" s="396"/>
      <c r="E68" s="138">
        <v>2</v>
      </c>
      <c r="F68" s="137" t="s">
        <v>59</v>
      </c>
      <c r="G68" s="428">
        <v>0.48673056421940364</v>
      </c>
      <c r="H68" s="429">
        <v>0.27215695786954236</v>
      </c>
      <c r="I68"/>
      <c r="J68"/>
      <c r="K68"/>
      <c r="L68"/>
    </row>
    <row r="69" spans="2:16" ht="16" customHeight="1" x14ac:dyDescent="0.2">
      <c r="B69" s="397"/>
      <c r="C69" s="396"/>
      <c r="E69" s="138">
        <v>3</v>
      </c>
      <c r="F69" s="137" t="s">
        <v>72</v>
      </c>
      <c r="G69" s="428">
        <v>0.29722902437676069</v>
      </c>
      <c r="H69" s="429">
        <v>0.16619656337925617</v>
      </c>
      <c r="I69"/>
      <c r="J69"/>
      <c r="K69"/>
      <c r="L69"/>
    </row>
    <row r="70" spans="2:16" ht="16" customHeight="1" x14ac:dyDescent="0.2">
      <c r="B70" s="397"/>
      <c r="C70" s="396"/>
      <c r="E70" s="138">
        <v>4</v>
      </c>
      <c r="F70" s="137" t="s">
        <v>65</v>
      </c>
      <c r="G70" s="428">
        <v>0.26479366283601874</v>
      </c>
      <c r="H70" s="429">
        <v>0.14806022682417619</v>
      </c>
      <c r="I70"/>
      <c r="J70"/>
      <c r="K70"/>
      <c r="L70"/>
    </row>
    <row r="71" spans="2:16" ht="16" customHeight="1" x14ac:dyDescent="0.2">
      <c r="B71" s="397"/>
      <c r="C71" s="396"/>
      <c r="E71" s="138">
        <v>5</v>
      </c>
      <c r="F71" s="137" t="s">
        <v>47</v>
      </c>
      <c r="G71" s="428">
        <v>0.23876931575032423</v>
      </c>
      <c r="H71" s="429">
        <v>0.1335086295873299</v>
      </c>
      <c r="I71"/>
      <c r="J71"/>
      <c r="K71"/>
      <c r="L71"/>
    </row>
    <row r="72" spans="2:16" ht="16" customHeight="1" x14ac:dyDescent="0.2">
      <c r="B72" s="397"/>
      <c r="C72" s="396"/>
      <c r="E72" s="138"/>
      <c r="F72" s="137" t="s">
        <v>406</v>
      </c>
      <c r="G72" s="428"/>
      <c r="H72" s="429"/>
      <c r="I72"/>
      <c r="J72"/>
      <c r="K72"/>
      <c r="L72"/>
    </row>
    <row r="73" spans="2:16" ht="16" customHeight="1" x14ac:dyDescent="0.2">
      <c r="B73" s="397"/>
      <c r="C73" s="396"/>
      <c r="E73"/>
      <c r="F73"/>
      <c r="G73" s="340"/>
      <c r="H73" s="430"/>
      <c r="I73"/>
      <c r="J73"/>
      <c r="K73"/>
      <c r="L73"/>
    </row>
    <row r="74" spans="2:16" ht="16" customHeight="1" x14ac:dyDescent="0.2">
      <c r="B74" s="397"/>
      <c r="C74" s="396"/>
      <c r="E74"/>
      <c r="F74"/>
      <c r="G74" s="340"/>
      <c r="H74" s="430"/>
      <c r="I74"/>
      <c r="J74"/>
      <c r="K74"/>
      <c r="L74"/>
    </row>
    <row r="75" spans="2:16" ht="16" customHeight="1" x14ac:dyDescent="0.2">
      <c r="B75" s="397"/>
      <c r="C75" s="396"/>
      <c r="E75"/>
      <c r="F75"/>
      <c r="G75" s="430"/>
      <c r="H75" s="430"/>
      <c r="I75"/>
      <c r="J75"/>
      <c r="K75"/>
      <c r="L75"/>
    </row>
    <row r="76" spans="2:16" ht="16" customHeight="1" x14ac:dyDescent="0.2">
      <c r="B76" s="397"/>
      <c r="C76" s="396"/>
      <c r="E76"/>
      <c r="F76"/>
      <c r="G76" s="430"/>
      <c r="H76" s="430"/>
      <c r="I76"/>
      <c r="J76"/>
      <c r="K76"/>
      <c r="L76"/>
    </row>
    <row r="77" spans="2:16" ht="16" customHeight="1" x14ac:dyDescent="0.2">
      <c r="B77" s="397"/>
      <c r="C77" s="396"/>
      <c r="E77" s="9"/>
      <c r="F77" s="43"/>
      <c r="G77" s="431"/>
      <c r="H77" s="341"/>
      <c r="I77"/>
      <c r="J77"/>
      <c r="K77"/>
      <c r="L77"/>
    </row>
    <row r="78" spans="2:16" x14ac:dyDescent="0.2">
      <c r="E78"/>
      <c r="F78" s="9"/>
      <c r="G78"/>
      <c r="H78" s="340"/>
      <c r="I78"/>
    </row>
    <row r="79" spans="2:16" x14ac:dyDescent="0.2">
      <c r="E79"/>
      <c r="F79" s="9"/>
      <c r="G79"/>
      <c r="H79"/>
      <c r="I79"/>
    </row>
    <row r="80" spans="2:16" x14ac:dyDescent="0.2">
      <c r="E80"/>
      <c r="F80" s="9"/>
      <c r="G80"/>
      <c r="H80"/>
      <c r="I80"/>
    </row>
    <row r="81" spans="5:9" x14ac:dyDescent="0.2">
      <c r="E81"/>
      <c r="F81" s="9"/>
      <c r="G81"/>
      <c r="H81"/>
      <c r="I81"/>
    </row>
    <row r="82" spans="5:9" x14ac:dyDescent="0.2">
      <c r="E82"/>
      <c r="F82" s="9"/>
      <c r="G82"/>
      <c r="H82"/>
      <c r="I82"/>
    </row>
    <row r="83" spans="5:9" x14ac:dyDescent="0.2">
      <c r="E83"/>
      <c r="F83" s="9"/>
      <c r="G83"/>
      <c r="H83"/>
      <c r="I83"/>
    </row>
    <row r="84" spans="5:9" x14ac:dyDescent="0.2">
      <c r="E84"/>
      <c r="F84" s="9"/>
      <c r="G84"/>
      <c r="H84"/>
      <c r="I84"/>
    </row>
    <row r="85" spans="5:9" x14ac:dyDescent="0.2">
      <c r="E85"/>
      <c r="F85" s="9"/>
      <c r="G85"/>
      <c r="H85"/>
      <c r="I85"/>
    </row>
    <row r="86" spans="5:9" x14ac:dyDescent="0.2">
      <c r="E86"/>
      <c r="F86" s="9"/>
      <c r="G86"/>
      <c r="H86"/>
      <c r="I86"/>
    </row>
    <row r="87" spans="5:9" x14ac:dyDescent="0.2">
      <c r="E87"/>
      <c r="F87" s="9"/>
      <c r="G87"/>
      <c r="H87"/>
      <c r="I87"/>
    </row>
    <row r="88" spans="5:9" x14ac:dyDescent="0.2">
      <c r="E88"/>
      <c r="F88" s="9"/>
      <c r="G88"/>
      <c r="H88"/>
      <c r="I88"/>
    </row>
    <row r="89" spans="5:9" x14ac:dyDescent="0.2">
      <c r="F89" s="40"/>
    </row>
  </sheetData>
  <mergeCells count="12">
    <mergeCell ref="E42:J42"/>
    <mergeCell ref="E44:J44"/>
    <mergeCell ref="E64:H64"/>
    <mergeCell ref="C64:C77"/>
    <mergeCell ref="B64:B77"/>
    <mergeCell ref="C44:C60"/>
    <mergeCell ref="B44:B60"/>
    <mergeCell ref="B5:B40"/>
    <mergeCell ref="A1:L1"/>
    <mergeCell ref="H6:J6"/>
    <mergeCell ref="H5:J5"/>
    <mergeCell ref="C5:C40"/>
  </mergeCells>
  <conditionalFormatting sqref="H6:J6">
    <cfRule type="containsText" dxfId="120" priority="1" stopIfTrue="1" operator="containsText" text="Acceptable">
      <formula>NOT(ISERROR(SEARCH("Acceptable",H6)))</formula>
    </cfRule>
  </conditionalFormatting>
  <pageMargins left="0.75" right="0.75" top="1" bottom="1" header="0.5" footer="0.5"/>
  <pageSetup orientation="portrait" horizontalDpi="0" verticalDpi="0"/>
  <ignoredErrors>
    <ignoredError sqref="H37" formula="1"/>
  </ignoredErrors>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E634-8E71-3744-8934-23002EAC3135}">
  <sheetPr codeName="Sheet11">
    <tabColor rgb="FF92D050"/>
  </sheetPr>
  <dimension ref="A1:AW53"/>
  <sheetViews>
    <sheetView showGridLines="0" zoomScale="75" zoomScaleNormal="100" workbookViewId="0">
      <selection activeCell="AB53" sqref="AB53"/>
    </sheetView>
  </sheetViews>
  <sheetFormatPr baseColWidth="10" defaultRowHeight="13" outlineLevelCol="1" x14ac:dyDescent="0.15"/>
  <cols>
    <col min="1" max="1" width="2.33203125" style="79" customWidth="1"/>
    <col min="2" max="2" width="16.1640625" style="81" customWidth="1"/>
    <col min="3" max="3" width="10.83203125" style="82"/>
    <col min="4" max="4" width="10.83203125" style="82" customWidth="1"/>
    <col min="5" max="9" width="10.83203125" style="82"/>
    <col min="10" max="10" width="10.83203125" style="79"/>
    <col min="11" max="11" width="2.33203125" style="79" customWidth="1"/>
    <col min="12" max="12" width="16.1640625" style="81" customWidth="1" outlineLevel="1"/>
    <col min="13" max="18" width="10.83203125" style="82" customWidth="1" outlineLevel="1"/>
    <col min="19" max="19" width="10.83203125" style="82" customWidth="1"/>
    <col min="20" max="20" width="10.83203125" style="79"/>
    <col min="21" max="21" width="2.33203125" style="79" customWidth="1"/>
    <col min="22" max="22" width="16.1640625" style="81" customWidth="1" outlineLevel="1"/>
    <col min="23" max="29" width="10.83203125" style="82" customWidth="1" outlineLevel="1"/>
    <col min="30" max="30" width="10.83203125" style="82" customWidth="1"/>
    <col min="31" max="31" width="10.83203125" style="79"/>
    <col min="32" max="32" width="2.33203125" style="79" customWidth="1"/>
    <col min="33" max="33" width="16.1640625" style="81" customWidth="1" outlineLevel="1"/>
    <col min="34" max="39" width="10.83203125" style="82" customWidth="1" outlineLevel="1"/>
    <col min="40" max="40" width="10.83203125" style="82"/>
    <col min="41" max="41" width="10.83203125" style="79"/>
    <col min="42" max="42" width="2.33203125" style="79" customWidth="1"/>
    <col min="43" max="43" width="16.1640625" style="81" customWidth="1" outlineLevel="1"/>
    <col min="44" max="49" width="10.83203125" style="82" customWidth="1" outlineLevel="1"/>
    <col min="50" max="16384" width="10.83203125" style="79"/>
  </cols>
  <sheetData>
    <row r="1" spans="1:49" ht="43" x14ac:dyDescent="0.2">
      <c r="A1" s="1"/>
      <c r="B1" s="366" t="s">
        <v>37</v>
      </c>
      <c r="C1" s="366"/>
      <c r="D1" s="366"/>
      <c r="E1" s="366"/>
      <c r="F1" s="366"/>
      <c r="G1" s="366"/>
      <c r="H1" s="366"/>
      <c r="I1" s="16"/>
      <c r="J1" s="161" t="s">
        <v>138</v>
      </c>
      <c r="K1" s="1"/>
      <c r="L1" s="366" t="s">
        <v>262</v>
      </c>
      <c r="M1" s="366"/>
      <c r="N1" s="366"/>
      <c r="O1" s="366"/>
      <c r="P1" s="366"/>
      <c r="Q1" s="366"/>
      <c r="R1" s="366"/>
      <c r="S1" s="16"/>
      <c r="T1" s="160" t="s">
        <v>205</v>
      </c>
      <c r="U1" s="1"/>
      <c r="V1" s="366" t="s">
        <v>205</v>
      </c>
      <c r="W1" s="366"/>
      <c r="X1" s="366"/>
      <c r="Y1" s="366"/>
      <c r="Z1" s="366"/>
      <c r="AA1" s="366"/>
      <c r="AB1" s="366"/>
      <c r="AC1" s="7"/>
      <c r="AD1" s="16"/>
      <c r="AE1" s="160" t="s">
        <v>434</v>
      </c>
      <c r="AF1" s="1"/>
      <c r="AG1" s="366" t="s">
        <v>206</v>
      </c>
      <c r="AH1" s="366"/>
      <c r="AI1" s="366"/>
      <c r="AJ1" s="366"/>
      <c r="AK1" s="366"/>
      <c r="AL1" s="366"/>
      <c r="AM1" s="366"/>
      <c r="AN1" s="16"/>
      <c r="AO1" s="160" t="s">
        <v>295</v>
      </c>
      <c r="AP1" s="1"/>
      <c r="AQ1" s="366" t="s">
        <v>295</v>
      </c>
      <c r="AR1" s="366"/>
      <c r="AS1" s="366"/>
      <c r="AT1" s="366"/>
      <c r="AU1" s="366"/>
      <c r="AV1" s="366"/>
      <c r="AW1" s="366"/>
    </row>
    <row r="3" spans="1:49" x14ac:dyDescent="0.15">
      <c r="A3" s="80"/>
      <c r="B3" s="400" t="s">
        <v>357</v>
      </c>
      <c r="C3" s="400"/>
      <c r="D3" s="400"/>
      <c r="E3" s="400"/>
      <c r="F3" s="400"/>
      <c r="G3" s="400"/>
      <c r="H3" s="400"/>
      <c r="I3" s="157"/>
      <c r="K3" s="80"/>
      <c r="L3" s="400" t="s">
        <v>357</v>
      </c>
      <c r="M3" s="400"/>
      <c r="N3" s="400"/>
      <c r="O3" s="400"/>
      <c r="P3" s="400"/>
      <c r="Q3" s="400"/>
      <c r="R3" s="400"/>
      <c r="S3" s="157"/>
      <c r="U3" s="80"/>
      <c r="V3" s="400" t="s">
        <v>357</v>
      </c>
      <c r="W3" s="400"/>
      <c r="X3" s="400"/>
      <c r="Y3" s="400"/>
      <c r="Z3" s="400"/>
      <c r="AA3" s="400"/>
      <c r="AB3" s="400"/>
      <c r="AC3" s="19"/>
      <c r="AD3" s="157"/>
      <c r="AF3" s="80"/>
      <c r="AG3" s="400" t="s">
        <v>357</v>
      </c>
      <c r="AH3" s="400"/>
      <c r="AI3" s="400"/>
      <c r="AJ3" s="400"/>
      <c r="AK3" s="400"/>
      <c r="AL3" s="400"/>
      <c r="AM3" s="400"/>
      <c r="AN3" s="157"/>
      <c r="AP3" s="80"/>
      <c r="AQ3" s="400" t="s">
        <v>357</v>
      </c>
      <c r="AR3" s="400"/>
      <c r="AS3" s="400"/>
      <c r="AT3" s="400"/>
      <c r="AU3" s="400"/>
      <c r="AV3" s="400"/>
      <c r="AW3" s="400"/>
    </row>
    <row r="4" spans="1:49" ht="14" thickBot="1" x14ac:dyDescent="0.2"/>
    <row r="5" spans="1:49" x14ac:dyDescent="0.15">
      <c r="B5" s="92" t="s">
        <v>160</v>
      </c>
      <c r="C5" s="93" t="s">
        <v>269</v>
      </c>
      <c r="D5" s="93" t="s">
        <v>270</v>
      </c>
      <c r="E5" s="93" t="s">
        <v>271</v>
      </c>
      <c r="F5" s="93" t="s">
        <v>272</v>
      </c>
      <c r="G5" s="94" t="s">
        <v>273</v>
      </c>
      <c r="L5" s="92" t="s">
        <v>160</v>
      </c>
      <c r="M5" s="93" t="s">
        <v>269</v>
      </c>
      <c r="N5" s="93" t="s">
        <v>270</v>
      </c>
      <c r="O5" s="93" t="s">
        <v>271</v>
      </c>
      <c r="P5" s="93" t="s">
        <v>272</v>
      </c>
      <c r="Q5" s="94" t="s">
        <v>273</v>
      </c>
      <c r="V5" s="92" t="s">
        <v>160</v>
      </c>
      <c r="W5" s="93" t="s">
        <v>269</v>
      </c>
      <c r="X5" s="93" t="s">
        <v>270</v>
      </c>
      <c r="Y5" s="93" t="s">
        <v>271</v>
      </c>
      <c r="Z5" s="93" t="s">
        <v>272</v>
      </c>
      <c r="AA5" s="94" t="s">
        <v>273</v>
      </c>
      <c r="AG5" s="92" t="s">
        <v>160</v>
      </c>
      <c r="AH5" s="93" t="s">
        <v>269</v>
      </c>
      <c r="AI5" s="93" t="s">
        <v>270</v>
      </c>
      <c r="AJ5" s="93" t="s">
        <v>271</v>
      </c>
      <c r="AK5" s="93" t="s">
        <v>272</v>
      </c>
      <c r="AL5" s="94" t="s">
        <v>273</v>
      </c>
      <c r="AQ5" s="92" t="s">
        <v>160</v>
      </c>
      <c r="AR5" s="93" t="s">
        <v>269</v>
      </c>
      <c r="AS5" s="93" t="s">
        <v>270</v>
      </c>
      <c r="AT5" s="93" t="s">
        <v>271</v>
      </c>
      <c r="AU5" s="93" t="s">
        <v>272</v>
      </c>
      <c r="AV5" s="94" t="s">
        <v>273</v>
      </c>
    </row>
    <row r="6" spans="1:49" x14ac:dyDescent="0.15">
      <c r="B6" s="95" t="s">
        <v>269</v>
      </c>
      <c r="C6" s="83">
        <v>1</v>
      </c>
      <c r="D6" s="84">
        <f>IF('1.3 IP Pairwise'!$G$13="",NA(),'1.3 IP Pairwise'!$G$13)</f>
        <v>2</v>
      </c>
      <c r="E6" s="84">
        <f>IF('1.3 IP Pairwise'!$G$14="",NA(),'1.3 IP Pairwise'!$G$14)</f>
        <v>3</v>
      </c>
      <c r="F6" s="84">
        <f>IF('1.3 IP Pairwise'!$G$15="",NA(),'1.3 IP Pairwise'!$G$15)</f>
        <v>5</v>
      </c>
      <c r="G6" s="85">
        <f>IF('1.3 IP Pairwise'!$G$16="",NA(),'1.3 IP Pairwise'!$G$16)</f>
        <v>7</v>
      </c>
      <c r="L6" s="95" t="s">
        <v>269</v>
      </c>
      <c r="M6" s="83">
        <v>1</v>
      </c>
      <c r="N6" s="84">
        <f>IF('1.3 IP Pairwise'!$G$42="",NA(),'1.3 IP Pairwise'!$G$42)</f>
        <v>2</v>
      </c>
      <c r="O6" s="84">
        <f>IF('1.3 IP Pairwise'!$G$43="",NA(),'1.3 IP Pairwise'!$G$43)</f>
        <v>3</v>
      </c>
      <c r="P6" s="84">
        <f>IF('1.3 IP Pairwise'!$G$44="",NA(),'1.3 IP Pairwise'!$G$44)</f>
        <v>5</v>
      </c>
      <c r="Q6" s="85">
        <f>IF('1.3 IP Pairwise'!$G$45="",NA(),'1.3 IP Pairwise'!$G$45)</f>
        <v>7</v>
      </c>
      <c r="V6" s="95" t="s">
        <v>269</v>
      </c>
      <c r="W6" s="83">
        <v>1</v>
      </c>
      <c r="X6" s="84">
        <f>IF('1.3 IP Pairwise'!$G$71="",NA(),'1.3 IP Pairwise'!$G$71)</f>
        <v>0.5</v>
      </c>
      <c r="Y6" s="84">
        <f>IF('1.3 IP Pairwise'!$G$72="",NA(),'1.3 IP Pairwise'!$G$72)</f>
        <v>0.33333333333333331</v>
      </c>
      <c r="Z6" s="84">
        <f>IF('1.3 IP Pairwise'!$G$73="",NA(),'1.3 IP Pairwise'!$G$73)</f>
        <v>0.2</v>
      </c>
      <c r="AA6" s="85">
        <f>IF('1.3 IP Pairwise'!$G$74="",NA(),'1.3 IP Pairwise'!$G$74)</f>
        <v>0.1111111111111111</v>
      </c>
      <c r="AG6" s="95" t="s">
        <v>269</v>
      </c>
      <c r="AH6" s="83">
        <v>1</v>
      </c>
      <c r="AI6" s="84">
        <f>IF('1.3 IP Pairwise'!$G$100="",NA(),'1.3 IP Pairwise'!$G$100)</f>
        <v>0.33333333333333331</v>
      </c>
      <c r="AJ6" s="84">
        <f>IF('1.3 IP Pairwise'!$G$101="",NA(),'1.3 IP Pairwise'!$G$101)</f>
        <v>0.2</v>
      </c>
      <c r="AK6" s="84">
        <f>IF('1.3 IP Pairwise'!$G$102="",NA(),'1.3 IP Pairwise'!$G$102)</f>
        <v>0.14285714285714285</v>
      </c>
      <c r="AL6" s="85">
        <f>IF('1.3 IP Pairwise'!$G$103="",NA(),'1.3 IP Pairwise'!$G$103)</f>
        <v>0.1111111111111111</v>
      </c>
      <c r="AQ6" s="95" t="s">
        <v>269</v>
      </c>
      <c r="AR6" s="83">
        <v>1</v>
      </c>
      <c r="AS6" s="84">
        <f>IF('1.3 IP Pairwise'!$G$129="",NA(),'1.3 IP Pairwise'!$G$129)</f>
        <v>0.5</v>
      </c>
      <c r="AT6" s="84">
        <f>IF('1.3 IP Pairwise'!$G$130="",NA(),'1.3 IP Pairwise'!$G$130)</f>
        <v>0.2</v>
      </c>
      <c r="AU6" s="84">
        <f>IF('1.3 IP Pairwise'!$G$131="",NA(),'1.3 IP Pairwise'!$G$131)</f>
        <v>0.14285714285714285</v>
      </c>
      <c r="AV6" s="85">
        <f>IF('1.3 IP Pairwise'!$G$132="",NA(),'1.3 IP Pairwise'!$G$132)</f>
        <v>0.1111111111111111</v>
      </c>
    </row>
    <row r="7" spans="1:49" x14ac:dyDescent="0.15">
      <c r="B7" s="95" t="s">
        <v>270</v>
      </c>
      <c r="C7" s="84">
        <f>IFERROR(1/D6,NA())</f>
        <v>0.5</v>
      </c>
      <c r="D7" s="83">
        <v>1</v>
      </c>
      <c r="E7" s="84">
        <f>IF('1.3 IP Pairwise'!$G$17="",NA(),'1.3 IP Pairwise'!$G$17)</f>
        <v>3</v>
      </c>
      <c r="F7" s="84">
        <f>IF('1.3 IP Pairwise'!$G$18="",NA(),'1.3 IP Pairwise'!$G$18)</f>
        <v>5</v>
      </c>
      <c r="G7" s="85">
        <f>IF('1.3 IP Pairwise'!$G$19="",NA(),'1.3 IP Pairwise'!$G$19)</f>
        <v>7</v>
      </c>
      <c r="L7" s="95" t="s">
        <v>270</v>
      </c>
      <c r="M7" s="84">
        <f>IFERROR(1/N6,NA())</f>
        <v>0.5</v>
      </c>
      <c r="N7" s="83">
        <v>1</v>
      </c>
      <c r="O7" s="84">
        <f>IF('1.3 IP Pairwise'!$G$46="",NA(),'1.3 IP Pairwise'!$G$46)</f>
        <v>2</v>
      </c>
      <c r="P7" s="84">
        <f>IF('1.3 IP Pairwise'!$G$47="",NA(),'1.3 IP Pairwise'!$G$47)</f>
        <v>5</v>
      </c>
      <c r="Q7" s="85">
        <f>IF('1.3 IP Pairwise'!$G$48="",NA(),'1.3 IP Pairwise'!$G$48)</f>
        <v>7</v>
      </c>
      <c r="V7" s="95" t="s">
        <v>270</v>
      </c>
      <c r="W7" s="84">
        <f>IFERROR(1/X6,NA())</f>
        <v>2</v>
      </c>
      <c r="X7" s="83">
        <v>1</v>
      </c>
      <c r="Y7" s="84">
        <f>IF('1.3 IP Pairwise'!$G$75="",NA(),'1.3 IP Pairwise'!$G$75)</f>
        <v>0.33333333333333331</v>
      </c>
      <c r="Z7" s="84">
        <f>IF('1.3 IP Pairwise'!$G$76="",NA(),'1.3 IP Pairwise'!$G$76)</f>
        <v>0.2</v>
      </c>
      <c r="AA7" s="85">
        <f>IF('1.3 IP Pairwise'!$G$77="",NA(),'1.3 IP Pairwise'!$G$77)</f>
        <v>0.14285714285714285</v>
      </c>
      <c r="AG7" s="95" t="s">
        <v>270</v>
      </c>
      <c r="AH7" s="84">
        <f>IFERROR(1/AI6,NA())</f>
        <v>3</v>
      </c>
      <c r="AI7" s="83">
        <v>1</v>
      </c>
      <c r="AJ7" s="84">
        <f>IF('1.3 IP Pairwise'!$G$104="",NA(),'1.3 IP Pairwise'!$G$104)</f>
        <v>0.33333333333333331</v>
      </c>
      <c r="AK7" s="84">
        <f>IF('1.3 IP Pairwise'!$G$105="",NA(),'1.3 IP Pairwise'!$G$105)</f>
        <v>0.2</v>
      </c>
      <c r="AL7" s="85">
        <f>IF('1.3 IP Pairwise'!$G$106="",NA(),'1.3 IP Pairwise'!$G$106)</f>
        <v>0.14285714285714285</v>
      </c>
      <c r="AQ7" s="95" t="s">
        <v>270</v>
      </c>
      <c r="AR7" s="84">
        <f>IFERROR(1/AS6,NA())</f>
        <v>2</v>
      </c>
      <c r="AS7" s="83">
        <v>1</v>
      </c>
      <c r="AT7" s="84">
        <f>IF('1.3 IP Pairwise'!$G$133="",NA(),'1.3 IP Pairwise'!$G$133)</f>
        <v>0.33333333333333331</v>
      </c>
      <c r="AU7" s="84">
        <f>IF('1.3 IP Pairwise'!$G$134="",NA(),'1.3 IP Pairwise'!$G$134)</f>
        <v>0.14285714285714285</v>
      </c>
      <c r="AV7" s="85">
        <f>IF('1.3 IP Pairwise'!$G$135="",NA(),'1.3 IP Pairwise'!$G$135)</f>
        <v>0.1111111111111111</v>
      </c>
    </row>
    <row r="8" spans="1:49" x14ac:dyDescent="0.15">
      <c r="B8" s="95" t="s">
        <v>271</v>
      </c>
      <c r="C8" s="84">
        <f>IFERROR(1/E6,NA())</f>
        <v>0.33333333333333331</v>
      </c>
      <c r="D8" s="84">
        <f>IFERROR(1/E7,NA())</f>
        <v>0.33333333333333331</v>
      </c>
      <c r="E8" s="83">
        <v>1</v>
      </c>
      <c r="F8" s="84">
        <f>IF('1.3 IP Pairwise'!$G$20="",NA(),'1.3 IP Pairwise'!$G$20)</f>
        <v>2</v>
      </c>
      <c r="G8" s="85">
        <f>IF('1.3 IP Pairwise'!$G$21="",NA(),'1.3 IP Pairwise'!$G$21)</f>
        <v>5</v>
      </c>
      <c r="L8" s="95" t="s">
        <v>271</v>
      </c>
      <c r="M8" s="84">
        <f>IFERROR(1/O6,NA())</f>
        <v>0.33333333333333331</v>
      </c>
      <c r="N8" s="84">
        <f>IFERROR(1/O7,NA())</f>
        <v>0.5</v>
      </c>
      <c r="O8" s="83">
        <v>1</v>
      </c>
      <c r="P8" s="84">
        <f>IF('1.3 IP Pairwise'!$G$49="",NA(),'1.3 IP Pairwise'!$G$49)</f>
        <v>5</v>
      </c>
      <c r="Q8" s="85">
        <f>IF('1.3 IP Pairwise'!$G$50="",NA(),'1.3 IP Pairwise'!$G$50)</f>
        <v>5</v>
      </c>
      <c r="V8" s="95" t="s">
        <v>271</v>
      </c>
      <c r="W8" s="84">
        <f>IFERROR(1/Y6,NA())</f>
        <v>3</v>
      </c>
      <c r="X8" s="84">
        <f>IFERROR(1/Y7,NA())</f>
        <v>3</v>
      </c>
      <c r="Y8" s="83">
        <v>1</v>
      </c>
      <c r="Z8" s="84">
        <f>IF('1.3 IP Pairwise'!$G$78="",NA(),'1.3 IP Pairwise'!$G$78)</f>
        <v>0.2</v>
      </c>
      <c r="AA8" s="85">
        <f>IF('1.3 IP Pairwise'!$G$79="",NA(),'1.3 IP Pairwise'!$G$79)</f>
        <v>0.14285714285714285</v>
      </c>
      <c r="AG8" s="95" t="s">
        <v>271</v>
      </c>
      <c r="AH8" s="84">
        <f>IFERROR(1/AJ6,NA())</f>
        <v>5</v>
      </c>
      <c r="AI8" s="84">
        <f>IFERROR(1/AJ7,NA())</f>
        <v>3</v>
      </c>
      <c r="AJ8" s="83">
        <v>1</v>
      </c>
      <c r="AK8" s="84">
        <f>IF('1.3 IP Pairwise'!$G$107="",NA(),'1.3 IP Pairwise'!$G$107)</f>
        <v>0.2</v>
      </c>
      <c r="AL8" s="85">
        <f>IF('1.3 IP Pairwise'!$G$108="",NA(),'1.3 IP Pairwise'!$G$108)</f>
        <v>0.14285714285714285</v>
      </c>
      <c r="AQ8" s="95" t="s">
        <v>271</v>
      </c>
      <c r="AR8" s="84">
        <f>IFERROR(1/AT6,NA())</f>
        <v>5</v>
      </c>
      <c r="AS8" s="84">
        <f>IFERROR(1/AT7,NA())</f>
        <v>3</v>
      </c>
      <c r="AT8" s="83">
        <v>1</v>
      </c>
      <c r="AU8" s="84">
        <f>IF('1.3 IP Pairwise'!$G$136="",NA(),'1.3 IP Pairwise'!$G$136)</f>
        <v>0.2</v>
      </c>
      <c r="AV8" s="85">
        <f>IF('1.3 IP Pairwise'!$G$137="",NA(),'1.3 IP Pairwise'!$G$137)</f>
        <v>0.14285714285714285</v>
      </c>
    </row>
    <row r="9" spans="1:49" x14ac:dyDescent="0.15">
      <c r="B9" s="95" t="s">
        <v>272</v>
      </c>
      <c r="C9" s="84">
        <f>IFERROR(1/F6,NA())</f>
        <v>0.2</v>
      </c>
      <c r="D9" s="84">
        <f>IFERROR(1/F7,NA())</f>
        <v>0.2</v>
      </c>
      <c r="E9" s="84">
        <f>IFERROR(1/F8,NA())</f>
        <v>0.5</v>
      </c>
      <c r="F9" s="83">
        <v>1</v>
      </c>
      <c r="G9" s="85">
        <f>IF('1.3 IP Pairwise'!$G$22="",NA(),'1.3 IP Pairwise'!$G$22)</f>
        <v>5</v>
      </c>
      <c r="L9" s="95" t="s">
        <v>272</v>
      </c>
      <c r="M9" s="84">
        <f>IFERROR(1/P6,NA())</f>
        <v>0.2</v>
      </c>
      <c r="N9" s="84">
        <f>IFERROR(1/P7,NA())</f>
        <v>0.2</v>
      </c>
      <c r="O9" s="84">
        <f>IFERROR(1/P8,NA())</f>
        <v>0.2</v>
      </c>
      <c r="P9" s="83">
        <v>1</v>
      </c>
      <c r="Q9" s="85">
        <f>IF('1.3 IP Pairwise'!$G$51="",NA(),'1.3 IP Pairwise'!$G$51)</f>
        <v>5</v>
      </c>
      <c r="V9" s="95" t="s">
        <v>272</v>
      </c>
      <c r="W9" s="84">
        <f>IFERROR(1/Z6,NA())</f>
        <v>5</v>
      </c>
      <c r="X9" s="84">
        <f>IFERROR(1/Z7,NA())</f>
        <v>5</v>
      </c>
      <c r="Y9" s="84">
        <f>IFERROR(1/Z8,NA())</f>
        <v>5</v>
      </c>
      <c r="Z9" s="83">
        <v>1</v>
      </c>
      <c r="AA9" s="85">
        <f>IF('1.3 IP Pairwise'!$G$80="",NA(),'1.3 IP Pairwise'!$G$80)</f>
        <v>0.2</v>
      </c>
      <c r="AG9" s="95" t="s">
        <v>272</v>
      </c>
      <c r="AH9" s="84">
        <f>IFERROR(1/AK6,NA())</f>
        <v>7</v>
      </c>
      <c r="AI9" s="84">
        <f>IFERROR(1/AK7,NA())</f>
        <v>5</v>
      </c>
      <c r="AJ9" s="84">
        <f>IFERROR(1/AK8,NA())</f>
        <v>5</v>
      </c>
      <c r="AK9" s="83">
        <v>1</v>
      </c>
      <c r="AL9" s="85">
        <f>IF('1.3 IP Pairwise'!$G$109="",NA(),'1.3 IP Pairwise'!$G$109)</f>
        <v>0.33333333333333331</v>
      </c>
      <c r="AQ9" s="95" t="s">
        <v>272</v>
      </c>
      <c r="AR9" s="84">
        <f>IFERROR(1/AU6,NA())</f>
        <v>7</v>
      </c>
      <c r="AS9" s="84">
        <f>IFERROR(1/AU7,NA())</f>
        <v>7</v>
      </c>
      <c r="AT9" s="84">
        <f>IFERROR(1/AU8,NA())</f>
        <v>5</v>
      </c>
      <c r="AU9" s="83">
        <v>1</v>
      </c>
      <c r="AV9" s="85">
        <f>IF('1.3 IP Pairwise'!$G$138="",NA(),'1.3 IP Pairwise'!$G$138)</f>
        <v>0.33333333333333331</v>
      </c>
    </row>
    <row r="10" spans="1:49" x14ac:dyDescent="0.15">
      <c r="B10" s="95" t="s">
        <v>273</v>
      </c>
      <c r="C10" s="84">
        <f>IFERROR(1/G6,NA())</f>
        <v>0.14285714285714285</v>
      </c>
      <c r="D10" s="84">
        <f>IFERROR(1/G7,NA())</f>
        <v>0.14285714285714285</v>
      </c>
      <c r="E10" s="84">
        <f>IFERROR(1/G8,NA())</f>
        <v>0.2</v>
      </c>
      <c r="F10" s="84">
        <f>IFERROR(1/G9,NA())</f>
        <v>0.2</v>
      </c>
      <c r="G10" s="86">
        <v>1</v>
      </c>
      <c r="L10" s="95" t="s">
        <v>273</v>
      </c>
      <c r="M10" s="84">
        <f>IFERROR(1/Q6,NA())</f>
        <v>0.14285714285714285</v>
      </c>
      <c r="N10" s="84">
        <f>IFERROR(1/Q7,NA())</f>
        <v>0.14285714285714285</v>
      </c>
      <c r="O10" s="84">
        <f>IFERROR(1/Q8,NA())</f>
        <v>0.2</v>
      </c>
      <c r="P10" s="84">
        <f>IFERROR(1/Q9,NA())</f>
        <v>0.2</v>
      </c>
      <c r="Q10" s="86">
        <v>1</v>
      </c>
      <c r="V10" s="95" t="s">
        <v>273</v>
      </c>
      <c r="W10" s="84">
        <f>IFERROR(1/AA6,NA())</f>
        <v>9</v>
      </c>
      <c r="X10" s="84">
        <f>IFERROR(1/AA7,NA())</f>
        <v>7</v>
      </c>
      <c r="Y10" s="84">
        <f>IFERROR(1/AA8,NA())</f>
        <v>7</v>
      </c>
      <c r="Z10" s="84">
        <f>IFERROR(1/AA9,NA())</f>
        <v>5</v>
      </c>
      <c r="AA10" s="86">
        <v>1</v>
      </c>
      <c r="AG10" s="95" t="s">
        <v>273</v>
      </c>
      <c r="AH10" s="84">
        <f>IFERROR(1/AL6,NA())</f>
        <v>9</v>
      </c>
      <c r="AI10" s="84">
        <f>IFERROR(1/AL7,NA())</f>
        <v>7</v>
      </c>
      <c r="AJ10" s="84">
        <f>IFERROR(1/AL8,NA())</f>
        <v>7</v>
      </c>
      <c r="AK10" s="84">
        <f>IFERROR(1/AL9,NA())</f>
        <v>3</v>
      </c>
      <c r="AL10" s="86">
        <v>1</v>
      </c>
      <c r="AQ10" s="95" t="s">
        <v>273</v>
      </c>
      <c r="AR10" s="84">
        <f>IFERROR(1/AV6,NA())</f>
        <v>9</v>
      </c>
      <c r="AS10" s="84">
        <f>IFERROR(1/AV7,NA())</f>
        <v>9</v>
      </c>
      <c r="AT10" s="84">
        <f>IFERROR(1/AV8,NA())</f>
        <v>7</v>
      </c>
      <c r="AU10" s="84">
        <f>IFERROR(1/AV9,NA())</f>
        <v>3</v>
      </c>
      <c r="AV10" s="86">
        <v>1</v>
      </c>
    </row>
    <row r="11" spans="1:49" ht="14" thickBot="1" x14ac:dyDescent="0.2">
      <c r="B11" s="87" t="s">
        <v>303</v>
      </c>
      <c r="C11" s="88">
        <f>SUM(C6:C10)</f>
        <v>2.176190476190476</v>
      </c>
      <c r="D11" s="88">
        <f>SUM(D6:D10)</f>
        <v>3.6761904761904765</v>
      </c>
      <c r="E11" s="88">
        <f>SUM(E6:E10)</f>
        <v>7.7</v>
      </c>
      <c r="F11" s="88">
        <f>SUM(F6:F10)</f>
        <v>13.2</v>
      </c>
      <c r="G11" s="89">
        <f>SUM(G6:G10)</f>
        <v>25</v>
      </c>
      <c r="L11" s="87" t="s">
        <v>303</v>
      </c>
      <c r="M11" s="88">
        <f>SUM(M6:M10)</f>
        <v>2.176190476190476</v>
      </c>
      <c r="N11" s="88">
        <f>SUM(N6:N10)</f>
        <v>3.842857142857143</v>
      </c>
      <c r="O11" s="88">
        <f>SUM(O6:O10)</f>
        <v>6.4</v>
      </c>
      <c r="P11" s="88">
        <f>SUM(P6:P10)</f>
        <v>16.2</v>
      </c>
      <c r="Q11" s="89">
        <f>SUM(Q6:Q10)</f>
        <v>25</v>
      </c>
      <c r="V11" s="87" t="s">
        <v>303</v>
      </c>
      <c r="W11" s="88">
        <f>SUM(W6:W10)</f>
        <v>20</v>
      </c>
      <c r="X11" s="88">
        <f>SUM(X6:X10)</f>
        <v>16.5</v>
      </c>
      <c r="Y11" s="88">
        <f>SUM(Y6:Y10)</f>
        <v>13.666666666666666</v>
      </c>
      <c r="Z11" s="88">
        <f>SUM(Z6:Z10)</f>
        <v>6.6</v>
      </c>
      <c r="AA11" s="89">
        <f>SUM(AA6:AA10)</f>
        <v>1.5968253968253969</v>
      </c>
      <c r="AG11" s="87" t="s">
        <v>303</v>
      </c>
      <c r="AH11" s="88">
        <f>SUM(AH6:AH10)</f>
        <v>25</v>
      </c>
      <c r="AI11" s="88">
        <f>SUM(AI6:AI10)</f>
        <v>16.333333333333332</v>
      </c>
      <c r="AJ11" s="88">
        <f>SUM(AJ6:AJ10)</f>
        <v>13.533333333333333</v>
      </c>
      <c r="AK11" s="88">
        <f>SUM(AK6:AK10)</f>
        <v>4.5428571428571427</v>
      </c>
      <c r="AL11" s="89">
        <f>SUM(AL6:AL10)</f>
        <v>1.7301587301587302</v>
      </c>
      <c r="AQ11" s="87" t="s">
        <v>303</v>
      </c>
      <c r="AR11" s="88">
        <f>SUM(AR6:AR10)</f>
        <v>24</v>
      </c>
      <c r="AS11" s="88">
        <f>SUM(AS6:AS10)</f>
        <v>20.5</v>
      </c>
      <c r="AT11" s="88">
        <f>SUM(AT6:AT10)</f>
        <v>13.533333333333333</v>
      </c>
      <c r="AU11" s="88">
        <f>SUM(AU6:AU10)</f>
        <v>4.4857142857142858</v>
      </c>
      <c r="AV11" s="89">
        <f>SUM(AV6:AV10)</f>
        <v>1.6984126984126984</v>
      </c>
    </row>
    <row r="13" spans="1:49" x14ac:dyDescent="0.15">
      <c r="A13" s="80"/>
      <c r="B13" s="400" t="s">
        <v>304</v>
      </c>
      <c r="C13" s="400"/>
      <c r="D13" s="400"/>
      <c r="E13" s="400"/>
      <c r="F13" s="400"/>
      <c r="G13" s="400"/>
      <c r="H13" s="400"/>
      <c r="I13" s="157"/>
      <c r="K13" s="80"/>
      <c r="L13" s="400" t="s">
        <v>304</v>
      </c>
      <c r="M13" s="400"/>
      <c r="N13" s="400"/>
      <c r="O13" s="400"/>
      <c r="P13" s="400"/>
      <c r="Q13" s="400"/>
      <c r="R13" s="400"/>
      <c r="S13" s="157"/>
      <c r="U13" s="80"/>
      <c r="V13" s="400" t="s">
        <v>304</v>
      </c>
      <c r="W13" s="400"/>
      <c r="X13" s="400"/>
      <c r="Y13" s="400"/>
      <c r="Z13" s="400"/>
      <c r="AA13" s="400"/>
      <c r="AB13" s="400"/>
      <c r="AC13" s="19"/>
      <c r="AD13" s="157"/>
      <c r="AF13" s="80"/>
      <c r="AG13" s="400" t="s">
        <v>304</v>
      </c>
      <c r="AH13" s="400"/>
      <c r="AI13" s="400"/>
      <c r="AJ13" s="400"/>
      <c r="AK13" s="400"/>
      <c r="AL13" s="400"/>
      <c r="AM13" s="400"/>
      <c r="AN13" s="157"/>
      <c r="AP13" s="80"/>
      <c r="AQ13" s="400" t="s">
        <v>304</v>
      </c>
      <c r="AR13" s="400"/>
      <c r="AS13" s="400"/>
      <c r="AT13" s="400"/>
      <c r="AU13" s="400"/>
      <c r="AV13" s="400"/>
      <c r="AW13" s="400"/>
    </row>
    <row r="14" spans="1:49" ht="14" thickBot="1" x14ac:dyDescent="0.2"/>
    <row r="15" spans="1:49" x14ac:dyDescent="0.15">
      <c r="B15" s="92" t="s">
        <v>160</v>
      </c>
      <c r="C15" s="93" t="s">
        <v>269</v>
      </c>
      <c r="D15" s="93" t="s">
        <v>270</v>
      </c>
      <c r="E15" s="93" t="s">
        <v>271</v>
      </c>
      <c r="F15" s="93" t="s">
        <v>272</v>
      </c>
      <c r="G15" s="94" t="s">
        <v>273</v>
      </c>
      <c r="L15" s="92" t="s">
        <v>160</v>
      </c>
      <c r="M15" s="93" t="s">
        <v>269</v>
      </c>
      <c r="N15" s="93" t="s">
        <v>270</v>
      </c>
      <c r="O15" s="93" t="s">
        <v>271</v>
      </c>
      <c r="P15" s="93" t="s">
        <v>272</v>
      </c>
      <c r="Q15" s="94" t="s">
        <v>273</v>
      </c>
      <c r="V15" s="92" t="s">
        <v>160</v>
      </c>
      <c r="W15" s="93" t="s">
        <v>269</v>
      </c>
      <c r="X15" s="93" t="s">
        <v>270</v>
      </c>
      <c r="Y15" s="93" t="s">
        <v>271</v>
      </c>
      <c r="Z15" s="93" t="s">
        <v>272</v>
      </c>
      <c r="AA15" s="94" t="s">
        <v>273</v>
      </c>
      <c r="AG15" s="92" t="s">
        <v>160</v>
      </c>
      <c r="AH15" s="93" t="s">
        <v>269</v>
      </c>
      <c r="AI15" s="93" t="s">
        <v>270</v>
      </c>
      <c r="AJ15" s="93" t="s">
        <v>271</v>
      </c>
      <c r="AK15" s="93" t="s">
        <v>272</v>
      </c>
      <c r="AL15" s="94" t="s">
        <v>273</v>
      </c>
      <c r="AQ15" s="92" t="s">
        <v>160</v>
      </c>
      <c r="AR15" s="93" t="s">
        <v>269</v>
      </c>
      <c r="AS15" s="93" t="s">
        <v>270</v>
      </c>
      <c r="AT15" s="93" t="s">
        <v>271</v>
      </c>
      <c r="AU15" s="93" t="s">
        <v>272</v>
      </c>
      <c r="AV15" s="94" t="s">
        <v>273</v>
      </c>
    </row>
    <row r="16" spans="1:49" x14ac:dyDescent="0.15">
      <c r="B16" s="95" t="s">
        <v>269</v>
      </c>
      <c r="C16" s="96">
        <f>$C6/$C$11</f>
        <v>0.45951859956236329</v>
      </c>
      <c r="D16" s="96">
        <f>$D6/$D$11</f>
        <v>0.54404145077720201</v>
      </c>
      <c r="E16" s="96">
        <f>$E6/$E$11</f>
        <v>0.38961038961038963</v>
      </c>
      <c r="F16" s="96">
        <f>$F6/$F$11</f>
        <v>0.37878787878787878</v>
      </c>
      <c r="G16" s="97">
        <f>$G6/$G$11</f>
        <v>0.28000000000000003</v>
      </c>
      <c r="L16" s="95" t="s">
        <v>269</v>
      </c>
      <c r="M16" s="96">
        <f>$M6/$M$11</f>
        <v>0.45951859956236329</v>
      </c>
      <c r="N16" s="96">
        <f>$N6/$N$11</f>
        <v>0.5204460966542751</v>
      </c>
      <c r="O16" s="96">
        <f>$O6/$O$11</f>
        <v>0.46875</v>
      </c>
      <c r="P16" s="96">
        <f>$P6/$P$11</f>
        <v>0.30864197530864201</v>
      </c>
      <c r="Q16" s="97">
        <f>$Q6/$Q$11</f>
        <v>0.28000000000000003</v>
      </c>
      <c r="V16" s="95" t="s">
        <v>269</v>
      </c>
      <c r="W16" s="96">
        <f>$W6/$W$11</f>
        <v>0.05</v>
      </c>
      <c r="X16" s="96">
        <f>$X6/$X$11</f>
        <v>3.0303030303030304E-2</v>
      </c>
      <c r="Y16" s="96">
        <f>$Y6/$Y$11</f>
        <v>2.4390243902439025E-2</v>
      </c>
      <c r="Z16" s="96">
        <f>$Z6/$Z$11</f>
        <v>3.0303030303030307E-2</v>
      </c>
      <c r="AA16" s="97">
        <f>$AA6/$AA$11</f>
        <v>6.9582504970178913E-2</v>
      </c>
      <c r="AG16" s="95" t="s">
        <v>269</v>
      </c>
      <c r="AH16" s="96">
        <f>$AH6/$AH$11</f>
        <v>0.04</v>
      </c>
      <c r="AI16" s="96">
        <f>$AI6/$AI$11</f>
        <v>2.0408163265306124E-2</v>
      </c>
      <c r="AJ16" s="96">
        <f>$AJ6/$AJ$11</f>
        <v>1.477832512315271E-2</v>
      </c>
      <c r="AK16" s="96">
        <f>$AK6/$AK$11</f>
        <v>3.1446540880503145E-2</v>
      </c>
      <c r="AL16" s="97">
        <f>$AL6/$AL$11</f>
        <v>6.4220183486238522E-2</v>
      </c>
      <c r="AQ16" s="95" t="s">
        <v>269</v>
      </c>
      <c r="AR16" s="96">
        <f>$AR6/$AR$11</f>
        <v>4.1666666666666664E-2</v>
      </c>
      <c r="AS16" s="96">
        <f>$AS6/$AS$11</f>
        <v>2.4390243902439025E-2</v>
      </c>
      <c r="AT16" s="96">
        <f>$AT6/$AT$11</f>
        <v>1.477832512315271E-2</v>
      </c>
      <c r="AU16" s="96">
        <f>$AU6/$AU$11</f>
        <v>3.1847133757961783E-2</v>
      </c>
      <c r="AV16" s="97">
        <f>$AV6/$AV$11</f>
        <v>6.5420560747663545E-2</v>
      </c>
    </row>
    <row r="17" spans="1:49" x14ac:dyDescent="0.15">
      <c r="B17" s="95" t="s">
        <v>270</v>
      </c>
      <c r="C17" s="96">
        <f t="shared" ref="C17:C20" si="0">$C7/$C$11</f>
        <v>0.22975929978118165</v>
      </c>
      <c r="D17" s="96">
        <f t="shared" ref="D17:D20" si="1">$D7/$D$11</f>
        <v>0.272020725388601</v>
      </c>
      <c r="E17" s="96">
        <f t="shared" ref="E17:E20" si="2">$E7/$E$11</f>
        <v>0.38961038961038963</v>
      </c>
      <c r="F17" s="96">
        <f t="shared" ref="F17:F20" si="3">$F7/$F$11</f>
        <v>0.37878787878787878</v>
      </c>
      <c r="G17" s="97">
        <f t="shared" ref="G17:G20" si="4">$G7/$G$11</f>
        <v>0.28000000000000003</v>
      </c>
      <c r="L17" s="95" t="s">
        <v>270</v>
      </c>
      <c r="M17" s="96">
        <f t="shared" ref="M17:M20" si="5">$M7/$M$11</f>
        <v>0.22975929978118165</v>
      </c>
      <c r="N17" s="96">
        <f t="shared" ref="N17:N20" si="6">$N7/$N$11</f>
        <v>0.26022304832713755</v>
      </c>
      <c r="O17" s="96">
        <f t="shared" ref="O17:O20" si="7">$O7/$O$11</f>
        <v>0.3125</v>
      </c>
      <c r="P17" s="96">
        <f t="shared" ref="P17:P20" si="8">$P7/$P$11</f>
        <v>0.30864197530864201</v>
      </c>
      <c r="Q17" s="97">
        <f t="shared" ref="Q17:Q19" si="9">$Q7/$Q$11</f>
        <v>0.28000000000000003</v>
      </c>
      <c r="V17" s="95" t="s">
        <v>270</v>
      </c>
      <c r="W17" s="96">
        <f t="shared" ref="W17:W20" si="10">$W7/$W$11</f>
        <v>0.1</v>
      </c>
      <c r="X17" s="96">
        <f t="shared" ref="X17:X20" si="11">$X7/$X$11</f>
        <v>6.0606060606060608E-2</v>
      </c>
      <c r="Y17" s="96">
        <f t="shared" ref="Y17:Y20" si="12">$Y7/$Y$11</f>
        <v>2.4390243902439025E-2</v>
      </c>
      <c r="Z17" s="96">
        <f t="shared" ref="Z17:Z20" si="13">$Z7/$Z$11</f>
        <v>3.0303030303030307E-2</v>
      </c>
      <c r="AA17" s="97">
        <f t="shared" ref="AA17:AA20" si="14">$AA7/$AA$11</f>
        <v>8.9463220675944324E-2</v>
      </c>
      <c r="AG17" s="95" t="s">
        <v>270</v>
      </c>
      <c r="AH17" s="96">
        <f t="shared" ref="AH17:AH20" si="15">$AH7/$AH$11</f>
        <v>0.12</v>
      </c>
      <c r="AI17" s="96">
        <f t="shared" ref="AI17:AI20" si="16">$AI7/$AI$11</f>
        <v>6.1224489795918373E-2</v>
      </c>
      <c r="AJ17" s="96">
        <f t="shared" ref="AJ17:AJ20" si="17">$AJ7/$AJ$11</f>
        <v>2.463054187192118E-2</v>
      </c>
      <c r="AK17" s="96">
        <f t="shared" ref="AK17:AK20" si="18">$AK7/$AK$11</f>
        <v>4.4025157232704407E-2</v>
      </c>
      <c r="AL17" s="97">
        <f t="shared" ref="AL17:AL20" si="19">$AL7/$AL$11</f>
        <v>8.2568807339449532E-2</v>
      </c>
      <c r="AQ17" s="95" t="s">
        <v>270</v>
      </c>
      <c r="AR17" s="96">
        <f t="shared" ref="AR17:AR20" si="20">$AR7/$AR$11</f>
        <v>8.3333333333333329E-2</v>
      </c>
      <c r="AS17" s="96">
        <f t="shared" ref="AS17:AS20" si="21">$AS7/$AS$11</f>
        <v>4.878048780487805E-2</v>
      </c>
      <c r="AT17" s="96">
        <f t="shared" ref="AT17:AT20" si="22">$AT7/$AT$11</f>
        <v>2.463054187192118E-2</v>
      </c>
      <c r="AU17" s="96">
        <f t="shared" ref="AU17:AU20" si="23">$AU7/$AU$11</f>
        <v>3.1847133757961783E-2</v>
      </c>
      <c r="AV17" s="97">
        <f t="shared" ref="AV17:AV20" si="24">$AV7/$AV$11</f>
        <v>6.5420560747663545E-2</v>
      </c>
    </row>
    <row r="18" spans="1:49" x14ac:dyDescent="0.15">
      <c r="B18" s="95" t="s">
        <v>271</v>
      </c>
      <c r="C18" s="96">
        <f t="shared" si="0"/>
        <v>0.15317286652078774</v>
      </c>
      <c r="D18" s="96">
        <f t="shared" si="1"/>
        <v>9.0673575129533668E-2</v>
      </c>
      <c r="E18" s="96">
        <f t="shared" si="2"/>
        <v>0.12987012987012986</v>
      </c>
      <c r="F18" s="96">
        <f t="shared" si="3"/>
        <v>0.15151515151515152</v>
      </c>
      <c r="G18" s="97">
        <f t="shared" si="4"/>
        <v>0.2</v>
      </c>
      <c r="L18" s="95" t="s">
        <v>271</v>
      </c>
      <c r="M18" s="96">
        <f t="shared" si="5"/>
        <v>0.15317286652078774</v>
      </c>
      <c r="N18" s="96">
        <f t="shared" si="6"/>
        <v>0.13011152416356878</v>
      </c>
      <c r="O18" s="96">
        <f t="shared" si="7"/>
        <v>0.15625</v>
      </c>
      <c r="P18" s="96">
        <f t="shared" si="8"/>
        <v>0.30864197530864201</v>
      </c>
      <c r="Q18" s="97">
        <f t="shared" si="9"/>
        <v>0.2</v>
      </c>
      <c r="V18" s="95" t="s">
        <v>271</v>
      </c>
      <c r="W18" s="96">
        <f t="shared" si="10"/>
        <v>0.15</v>
      </c>
      <c r="X18" s="96">
        <f t="shared" si="11"/>
        <v>0.18181818181818182</v>
      </c>
      <c r="Y18" s="96">
        <f t="shared" si="12"/>
        <v>7.3170731707317083E-2</v>
      </c>
      <c r="Z18" s="96">
        <f t="shared" si="13"/>
        <v>3.0303030303030307E-2</v>
      </c>
      <c r="AA18" s="97">
        <f t="shared" si="14"/>
        <v>8.9463220675944324E-2</v>
      </c>
      <c r="AG18" s="95" t="s">
        <v>271</v>
      </c>
      <c r="AH18" s="96">
        <f t="shared" si="15"/>
        <v>0.2</v>
      </c>
      <c r="AI18" s="96">
        <f t="shared" si="16"/>
        <v>0.18367346938775511</v>
      </c>
      <c r="AJ18" s="96">
        <f t="shared" si="17"/>
        <v>7.3891625615763554E-2</v>
      </c>
      <c r="AK18" s="96">
        <f t="shared" si="18"/>
        <v>4.4025157232704407E-2</v>
      </c>
      <c r="AL18" s="97">
        <f t="shared" si="19"/>
        <v>8.2568807339449532E-2</v>
      </c>
      <c r="AQ18" s="95" t="s">
        <v>271</v>
      </c>
      <c r="AR18" s="96">
        <f t="shared" si="20"/>
        <v>0.20833333333333334</v>
      </c>
      <c r="AS18" s="96">
        <f t="shared" si="21"/>
        <v>0.14634146341463414</v>
      </c>
      <c r="AT18" s="96">
        <f t="shared" si="22"/>
        <v>7.3891625615763554E-2</v>
      </c>
      <c r="AU18" s="96">
        <f t="shared" si="23"/>
        <v>4.4585987261146501E-2</v>
      </c>
      <c r="AV18" s="97">
        <f t="shared" si="24"/>
        <v>8.4112149532710276E-2</v>
      </c>
    </row>
    <row r="19" spans="1:49" x14ac:dyDescent="0.15">
      <c r="B19" s="95" t="s">
        <v>272</v>
      </c>
      <c r="C19" s="96">
        <f t="shared" si="0"/>
        <v>9.1903719912472662E-2</v>
      </c>
      <c r="D19" s="96">
        <f t="shared" si="1"/>
        <v>5.4404145077720206E-2</v>
      </c>
      <c r="E19" s="96">
        <f t="shared" si="2"/>
        <v>6.4935064935064929E-2</v>
      </c>
      <c r="F19" s="96">
        <f t="shared" si="3"/>
        <v>7.575757575757576E-2</v>
      </c>
      <c r="G19" s="97">
        <f t="shared" si="4"/>
        <v>0.2</v>
      </c>
      <c r="L19" s="95" t="s">
        <v>272</v>
      </c>
      <c r="M19" s="96">
        <f t="shared" si="5"/>
        <v>9.1903719912472662E-2</v>
      </c>
      <c r="N19" s="96">
        <f t="shared" si="6"/>
        <v>5.204460966542751E-2</v>
      </c>
      <c r="O19" s="96">
        <f t="shared" si="7"/>
        <v>3.125E-2</v>
      </c>
      <c r="P19" s="96">
        <f t="shared" si="8"/>
        <v>6.1728395061728399E-2</v>
      </c>
      <c r="Q19" s="97">
        <f t="shared" si="9"/>
        <v>0.2</v>
      </c>
      <c r="V19" s="95" t="s">
        <v>272</v>
      </c>
      <c r="W19" s="96">
        <f t="shared" si="10"/>
        <v>0.25</v>
      </c>
      <c r="X19" s="96">
        <f t="shared" si="11"/>
        <v>0.30303030303030304</v>
      </c>
      <c r="Y19" s="96">
        <f t="shared" si="12"/>
        <v>0.36585365853658536</v>
      </c>
      <c r="Z19" s="96">
        <f t="shared" si="13"/>
        <v>0.15151515151515152</v>
      </c>
      <c r="AA19" s="97">
        <f t="shared" si="14"/>
        <v>0.12524850894632206</v>
      </c>
      <c r="AG19" s="95" t="s">
        <v>272</v>
      </c>
      <c r="AH19" s="96">
        <f t="shared" si="15"/>
        <v>0.28000000000000003</v>
      </c>
      <c r="AI19" s="96">
        <f t="shared" si="16"/>
        <v>0.30612244897959184</v>
      </c>
      <c r="AJ19" s="96">
        <f t="shared" si="17"/>
        <v>0.36945812807881773</v>
      </c>
      <c r="AK19" s="96">
        <f t="shared" si="18"/>
        <v>0.22012578616352202</v>
      </c>
      <c r="AL19" s="97">
        <f t="shared" si="19"/>
        <v>0.19266055045871558</v>
      </c>
      <c r="AQ19" s="95" t="s">
        <v>272</v>
      </c>
      <c r="AR19" s="96">
        <f>$AR9/$AR$11</f>
        <v>0.29166666666666669</v>
      </c>
      <c r="AS19" s="96">
        <f t="shared" si="21"/>
        <v>0.34146341463414637</v>
      </c>
      <c r="AT19" s="96">
        <f t="shared" si="22"/>
        <v>0.36945812807881773</v>
      </c>
      <c r="AU19" s="96">
        <f t="shared" si="23"/>
        <v>0.22292993630573249</v>
      </c>
      <c r="AV19" s="97">
        <f t="shared" si="24"/>
        <v>0.19626168224299065</v>
      </c>
    </row>
    <row r="20" spans="1:49" x14ac:dyDescent="0.15">
      <c r="B20" s="95" t="s">
        <v>273</v>
      </c>
      <c r="C20" s="96">
        <f t="shared" si="0"/>
        <v>6.5645514223194756E-2</v>
      </c>
      <c r="D20" s="96">
        <f t="shared" si="1"/>
        <v>3.8860103626942998E-2</v>
      </c>
      <c r="E20" s="96">
        <f t="shared" si="2"/>
        <v>2.5974025974025976E-2</v>
      </c>
      <c r="F20" s="96">
        <f t="shared" si="3"/>
        <v>1.5151515151515154E-2</v>
      </c>
      <c r="G20" s="97">
        <f t="shared" si="4"/>
        <v>0.04</v>
      </c>
      <c r="L20" s="95" t="s">
        <v>273</v>
      </c>
      <c r="M20" s="96">
        <f t="shared" si="5"/>
        <v>6.5645514223194756E-2</v>
      </c>
      <c r="N20" s="96">
        <f t="shared" si="6"/>
        <v>3.7174721189591073E-2</v>
      </c>
      <c r="O20" s="96">
        <f t="shared" si="7"/>
        <v>3.125E-2</v>
      </c>
      <c r="P20" s="96">
        <f t="shared" si="8"/>
        <v>1.234567901234568E-2</v>
      </c>
      <c r="Q20" s="97">
        <f>$Q10/$Q$11</f>
        <v>0.04</v>
      </c>
      <c r="V20" s="95" t="s">
        <v>273</v>
      </c>
      <c r="W20" s="96">
        <f t="shared" si="10"/>
        <v>0.45</v>
      </c>
      <c r="X20" s="96">
        <f t="shared" si="11"/>
        <v>0.42424242424242425</v>
      </c>
      <c r="Y20" s="96">
        <f t="shared" si="12"/>
        <v>0.51219512195121952</v>
      </c>
      <c r="Z20" s="96">
        <f t="shared" si="13"/>
        <v>0.75757575757575757</v>
      </c>
      <c r="AA20" s="97">
        <f t="shared" si="14"/>
        <v>0.62624254473161034</v>
      </c>
      <c r="AG20" s="95" t="s">
        <v>273</v>
      </c>
      <c r="AH20" s="96">
        <f t="shared" si="15"/>
        <v>0.36</v>
      </c>
      <c r="AI20" s="96">
        <f t="shared" si="16"/>
        <v>0.4285714285714286</v>
      </c>
      <c r="AJ20" s="96">
        <f t="shared" si="17"/>
        <v>0.51724137931034486</v>
      </c>
      <c r="AK20" s="96">
        <f t="shared" si="18"/>
        <v>0.66037735849056611</v>
      </c>
      <c r="AL20" s="97">
        <f t="shared" si="19"/>
        <v>0.57798165137614677</v>
      </c>
      <c r="AQ20" s="95" t="s">
        <v>273</v>
      </c>
      <c r="AR20" s="96">
        <f t="shared" si="20"/>
        <v>0.375</v>
      </c>
      <c r="AS20" s="96">
        <f t="shared" si="21"/>
        <v>0.43902439024390244</v>
      </c>
      <c r="AT20" s="96">
        <f t="shared" si="22"/>
        <v>0.51724137931034486</v>
      </c>
      <c r="AU20" s="96">
        <f t="shared" si="23"/>
        <v>0.66878980891719741</v>
      </c>
      <c r="AV20" s="97">
        <f t="shared" si="24"/>
        <v>0.58878504672897203</v>
      </c>
    </row>
    <row r="21" spans="1:49" ht="14" thickBot="1" x14ac:dyDescent="0.2">
      <c r="B21" s="87" t="s">
        <v>303</v>
      </c>
      <c r="C21" s="88">
        <f>SUM(C16:C20)</f>
        <v>1</v>
      </c>
      <c r="D21" s="88">
        <f>SUM(D16:D20)</f>
        <v>0.99999999999999989</v>
      </c>
      <c r="E21" s="88">
        <f>SUM(E16:E20)</f>
        <v>1</v>
      </c>
      <c r="F21" s="88">
        <f>SUM(F16:F20)</f>
        <v>1</v>
      </c>
      <c r="G21" s="89">
        <f>SUM(G16:G20)</f>
        <v>1</v>
      </c>
      <c r="L21" s="87" t="s">
        <v>303</v>
      </c>
      <c r="M21" s="88">
        <f>SUM(M16:M20)</f>
        <v>1</v>
      </c>
      <c r="N21" s="88">
        <f>SUM(N16:N20)</f>
        <v>1</v>
      </c>
      <c r="O21" s="88">
        <f>SUM(O16:O20)</f>
        <v>1</v>
      </c>
      <c r="P21" s="88">
        <f>SUM(P16:P20)</f>
        <v>1.0000000000000002</v>
      </c>
      <c r="Q21" s="89">
        <f>SUM(Q16:Q20)</f>
        <v>1</v>
      </c>
      <c r="V21" s="87" t="s">
        <v>303</v>
      </c>
      <c r="W21" s="88">
        <f>SUM(W16:W20)</f>
        <v>1</v>
      </c>
      <c r="X21" s="88">
        <f>SUM(X16:X20)</f>
        <v>1</v>
      </c>
      <c r="Y21" s="88">
        <f>SUM(Y16:Y20)</f>
        <v>1</v>
      </c>
      <c r="Z21" s="88">
        <f>SUM(Z16:Z20)</f>
        <v>1</v>
      </c>
      <c r="AA21" s="89">
        <f>SUM(AA16:AA20)</f>
        <v>1</v>
      </c>
      <c r="AG21" s="87" t="s">
        <v>303</v>
      </c>
      <c r="AH21" s="88">
        <f>SUM(AH16:AH20)</f>
        <v>1</v>
      </c>
      <c r="AI21" s="88">
        <f>SUM(AI16:AI20)</f>
        <v>1</v>
      </c>
      <c r="AJ21" s="88">
        <f>SUM(AJ16:AJ20)</f>
        <v>1</v>
      </c>
      <c r="AK21" s="88">
        <f>SUM(AK16:AK20)</f>
        <v>1</v>
      </c>
      <c r="AL21" s="89">
        <f>SUM(AL16:AL20)</f>
        <v>0.99999999999999989</v>
      </c>
      <c r="AQ21" s="87" t="s">
        <v>303</v>
      </c>
      <c r="AR21" s="88">
        <f>SUM(AR16:AR20)</f>
        <v>1</v>
      </c>
      <c r="AS21" s="88">
        <f>SUM(AS16:AS20)</f>
        <v>1</v>
      </c>
      <c r="AT21" s="88">
        <f>SUM(AT16:AT20)</f>
        <v>1</v>
      </c>
      <c r="AU21" s="88">
        <f>SUM(AU16:AU20)</f>
        <v>1</v>
      </c>
      <c r="AV21" s="89">
        <f>SUM(AV16:AV20)</f>
        <v>1</v>
      </c>
    </row>
    <row r="23" spans="1:49" x14ac:dyDescent="0.15">
      <c r="A23" s="80"/>
      <c r="B23" s="400" t="s">
        <v>358</v>
      </c>
      <c r="C23" s="400"/>
      <c r="D23" s="400"/>
      <c r="E23" s="400"/>
      <c r="F23" s="400"/>
      <c r="G23" s="400"/>
      <c r="H23" s="400"/>
      <c r="I23" s="157"/>
      <c r="K23" s="80"/>
      <c r="L23" s="400" t="s">
        <v>358</v>
      </c>
      <c r="M23" s="400"/>
      <c r="N23" s="400"/>
      <c r="O23" s="400"/>
      <c r="P23" s="400"/>
      <c r="Q23" s="400"/>
      <c r="R23" s="400"/>
      <c r="S23" s="157"/>
      <c r="U23" s="80"/>
      <c r="V23" s="400" t="s">
        <v>358</v>
      </c>
      <c r="W23" s="400"/>
      <c r="X23" s="400"/>
      <c r="Y23" s="400"/>
      <c r="Z23" s="400"/>
      <c r="AA23" s="400"/>
      <c r="AB23" s="400"/>
      <c r="AC23" s="19"/>
      <c r="AD23" s="157"/>
      <c r="AF23" s="80"/>
      <c r="AG23" s="400" t="s">
        <v>358</v>
      </c>
      <c r="AH23" s="400"/>
      <c r="AI23" s="400"/>
      <c r="AJ23" s="400"/>
      <c r="AK23" s="400"/>
      <c r="AL23" s="400"/>
      <c r="AM23" s="400"/>
      <c r="AN23" s="157"/>
      <c r="AP23" s="80"/>
      <c r="AQ23" s="400" t="s">
        <v>358</v>
      </c>
      <c r="AR23" s="400"/>
      <c r="AS23" s="400"/>
      <c r="AT23" s="400"/>
      <c r="AU23" s="400"/>
      <c r="AV23" s="400"/>
      <c r="AW23" s="400"/>
    </row>
    <row r="24" spans="1:49" ht="14" thickBot="1" x14ac:dyDescent="0.2"/>
    <row r="25" spans="1:49" s="232" customFormat="1" ht="28" x14ac:dyDescent="0.2">
      <c r="B25" s="233" t="s">
        <v>160</v>
      </c>
      <c r="C25" s="235" t="s">
        <v>464</v>
      </c>
      <c r="D25" s="236" t="s">
        <v>463</v>
      </c>
      <c r="L25" s="234" t="s">
        <v>160</v>
      </c>
      <c r="M25" s="235" t="s">
        <v>464</v>
      </c>
      <c r="N25" s="236" t="s">
        <v>463</v>
      </c>
      <c r="V25" s="234" t="s">
        <v>160</v>
      </c>
      <c r="W25" s="235" t="s">
        <v>464</v>
      </c>
      <c r="X25" s="236" t="s">
        <v>463</v>
      </c>
      <c r="AG25" s="234" t="s">
        <v>160</v>
      </c>
      <c r="AH25" s="235" t="s">
        <v>464</v>
      </c>
      <c r="AI25" s="236" t="s">
        <v>463</v>
      </c>
      <c r="AQ25" s="234" t="s">
        <v>160</v>
      </c>
      <c r="AR25" s="235" t="s">
        <v>464</v>
      </c>
      <c r="AS25" s="236" t="s">
        <v>463</v>
      </c>
    </row>
    <row r="26" spans="1:49" ht="16" x14ac:dyDescent="0.25">
      <c r="B26" s="95" t="s">
        <v>269</v>
      </c>
      <c r="C26" s="108" cm="1">
        <f t="array" ref="C26:C30">_xlfn.LET(_xlpm.A,$C$6:$G$10,_xlpm.v0,_xlfn.SEQUENCE(5,,0.2,0),_xlpm.v,_xlfn.REDUCE(_xlpm.v0,_xlfn.SEQUENCE(50),_xlfn.LAMBDA(_xlpm.x,_xlpm.k,_xlfn.LET(_xlpm.y,MMULT(_xlpm.A,_xlpm.x),_xlpm.y/SUM(_xlpm.y)))),_xlpm.v)</f>
        <v>0.41463319151562805</v>
      </c>
      <c r="D26" s="237">
        <f>$C26/MAX($C$26:$C$30)</f>
        <v>1</v>
      </c>
      <c r="E26" s="60"/>
      <c r="F26" s="61"/>
      <c r="H26"/>
      <c r="I26"/>
      <c r="J26" s="59"/>
      <c r="L26" s="152" t="s">
        <v>269</v>
      </c>
      <c r="M26" s="108" cm="1">
        <f t="array" ref="M26:M30">_xlfn.LET(_xlpm.A,$M$6:$Q$10,_xlpm.v0,_xlfn.SEQUENCE(5,,0.2,0),_xlpm.v,_xlfn.REDUCE(_xlpm.v0,_xlfn.SEQUENCE(50),_xlfn.LAMBDA(_xlpm.x,_xlpm.k,_xlfn.LET(_xlpm.y,MMULT(_xlpm.A,_xlpm.x),_xlpm.y/SUM(_xlpm.y)))),_xlpm.v)</f>
        <v>0.40842529809392303</v>
      </c>
      <c r="N26" s="239">
        <f>$M26/MAX($M$26:$M$30)</f>
        <v>1</v>
      </c>
      <c r="V26" s="152" t="s">
        <v>269</v>
      </c>
      <c r="W26" s="108" cm="1">
        <f t="array" ref="W26:W30">_xlfn.LET(_xlpm.A,$W$6:$AA$10,_xlpm.v0,_xlfn.SEQUENCE(5,,0.2,0),_xlpm.v,_xlfn.REDUCE(_xlpm.v0,_xlfn.SEQUENCE(50),_xlfn.LAMBDA(_xlpm.x,_xlpm.k,_xlfn.LET(_xlpm.y,MMULT(_xlpm.A,_xlpm.x),_xlpm.y/SUM(_xlpm.y)))),_xlpm.v)</f>
        <v>3.8443545901576046E-2</v>
      </c>
      <c r="X26" s="239">
        <f>$W26/MAX($W$26:$W$30)</f>
        <v>6.6383715741056018E-2</v>
      </c>
      <c r="AG26" s="152" t="s">
        <v>269</v>
      </c>
      <c r="AH26" s="108" cm="1">
        <f t="array" ref="AH26:AH30">_xlfn.LET(_xlpm.A,$AH$6:$AL$10,_xlpm.v0,_xlfn.SEQUENCE(5,,0.2,0),_xlpm.v,_xlfn.REDUCE(_xlpm.v0,_xlfn.SEQUENCE(50),_xlfn.LAMBDA(_xlpm.x,_xlpm.k,_xlfn.LET(_xlpm.y,MMULT(_xlpm.A,_xlpm.x),_xlpm.y/SUM(_xlpm.y)))),_xlpm.v)</f>
        <v>3.1738513862318019E-2</v>
      </c>
      <c r="AI26" s="239">
        <f>$AH26/MAX($AH$26:$AH$30)</f>
        <v>6.079776154648308E-2</v>
      </c>
      <c r="AQ26" s="152" t="s">
        <v>269</v>
      </c>
      <c r="AR26" s="155" cm="1">
        <f t="array" ref="AR26:AR30">_xlfn.LET(_xlpm.A,$AR$6:$AV$10,_xlpm.v0,_xlfn.SEQUENCE(5,,0.2,0),_xlpm.v,_xlfn.REDUCE(_xlpm.v0,_xlfn.SEQUENCE(50),_xlfn.LAMBDA(_xlpm.x,_xlpm.k,_xlfn.LET(_xlpm.y,MMULT(_xlpm.A,_xlpm.x),_xlpm.y/SUM(_xlpm.y)))),_xlpm.v)</f>
        <v>3.3262387801449161E-2</v>
      </c>
      <c r="AS26" s="239">
        <f>$AR26/MAX($AR$26:$AR$30)</f>
        <v>6.2663215017101231E-2</v>
      </c>
    </row>
    <row r="27" spans="1:49" ht="16" x14ac:dyDescent="0.25">
      <c r="B27" s="95" t="s">
        <v>270</v>
      </c>
      <c r="C27" s="108">
        <v>0.31532999914574367</v>
      </c>
      <c r="D27" s="237">
        <f>$C27/MAX($C$26:$C$30)</f>
        <v>0.76050351394470661</v>
      </c>
      <c r="E27" s="60"/>
      <c r="F27" s="61"/>
      <c r="H27"/>
      <c r="I27"/>
      <c r="J27" s="59"/>
      <c r="L27" s="152" t="s">
        <v>270</v>
      </c>
      <c r="M27" s="108">
        <v>0.2821358935333268</v>
      </c>
      <c r="N27" s="239">
        <f t="shared" ref="N27:N30" si="25">$M27/MAX($M$26:$M$30)</f>
        <v>0.69078946590728996</v>
      </c>
      <c r="V27" s="152" t="s">
        <v>270</v>
      </c>
      <c r="W27" s="108">
        <v>5.3948216876286946E-2</v>
      </c>
      <c r="X27" s="239">
        <f t="shared" ref="X27:X30" si="26">$W27/MAX($W$26:$W$30)</f>
        <v>9.3156939867647698E-2</v>
      </c>
      <c r="AG27" s="152" t="s">
        <v>270</v>
      </c>
      <c r="AH27" s="108">
        <v>5.9589519503098459E-2</v>
      </c>
      <c r="AI27" s="239">
        <f t="shared" ref="AI27:AI30" si="27">$AH27/MAX($AH$26:$AH$30)</f>
        <v>0.11414867794803181</v>
      </c>
      <c r="AQ27" s="152" t="s">
        <v>270</v>
      </c>
      <c r="AR27" s="108">
        <v>4.6429752193092921E-2</v>
      </c>
      <c r="AS27" s="239">
        <f t="shared" ref="AS27:AS30" si="28">$AR27/MAX($AR$26:$AR$30)</f>
        <v>8.7469293011482249E-2</v>
      </c>
    </row>
    <row r="28" spans="1:49" ht="16" x14ac:dyDescent="0.25">
      <c r="B28" s="95" t="s">
        <v>271</v>
      </c>
      <c r="C28" s="108">
        <v>0.14206794297697048</v>
      </c>
      <c r="D28" s="237">
        <f t="shared" ref="D28:D30" si="29">$C28/MAX($C$26:$C$30)</f>
        <v>0.34263523973481935</v>
      </c>
      <c r="E28" s="60"/>
      <c r="F28" s="61"/>
      <c r="H28"/>
      <c r="I28"/>
      <c r="J28" s="59"/>
      <c r="L28" s="152" t="s">
        <v>271</v>
      </c>
      <c r="M28" s="108">
        <v>0.19430052663066277</v>
      </c>
      <c r="N28" s="239">
        <f t="shared" si="25"/>
        <v>0.47573088037749484</v>
      </c>
      <c r="V28" s="152" t="s">
        <v>271</v>
      </c>
      <c r="W28" s="108">
        <v>9.242313338736069E-2</v>
      </c>
      <c r="X28" s="239">
        <f t="shared" si="26"/>
        <v>0.15959482588812723</v>
      </c>
      <c r="AG28" s="152" t="s">
        <v>271</v>
      </c>
      <c r="AH28" s="108">
        <v>0.10671307315841699</v>
      </c>
      <c r="AI28" s="239">
        <f t="shared" si="27"/>
        <v>0.20441776208938081</v>
      </c>
      <c r="AQ28" s="152" t="s">
        <v>271</v>
      </c>
      <c r="AR28" s="108">
        <v>0.10165457129809566</v>
      </c>
      <c r="AS28" s="239">
        <f t="shared" si="28"/>
        <v>0.19150766615878043</v>
      </c>
    </row>
    <row r="29" spans="1:49" ht="16" x14ac:dyDescent="0.25">
      <c r="B29" s="95" t="s">
        <v>272</v>
      </c>
      <c r="C29" s="108">
        <v>9.2503292598383732E-2</v>
      </c>
      <c r="D29" s="237">
        <f t="shared" si="29"/>
        <v>0.22309669001715018</v>
      </c>
      <c r="E29" s="60"/>
      <c r="F29" s="61"/>
      <c r="H29"/>
      <c r="I29"/>
      <c r="J29" s="59"/>
      <c r="L29" s="152" t="s">
        <v>272</v>
      </c>
      <c r="M29" s="108">
        <v>8.0159319496065876E-2</v>
      </c>
      <c r="N29" s="239">
        <f t="shared" si="25"/>
        <v>0.19626433492283854</v>
      </c>
      <c r="V29" s="152" t="s">
        <v>272</v>
      </c>
      <c r="W29" s="108">
        <v>0.23607401503201358</v>
      </c>
      <c r="X29" s="239">
        <f t="shared" si="26"/>
        <v>0.40764892884380116</v>
      </c>
      <c r="AG29" s="152" t="s">
        <v>272</v>
      </c>
      <c r="AH29" s="108">
        <v>0.27992464328338174</v>
      </c>
      <c r="AI29" s="239">
        <f t="shared" si="27"/>
        <v>0.5362189227622649</v>
      </c>
      <c r="AQ29" s="152" t="s">
        <v>272</v>
      </c>
      <c r="AR29" s="108">
        <v>0.28784126777336422</v>
      </c>
      <c r="AS29" s="239">
        <f t="shared" si="28"/>
        <v>0.54226591791739931</v>
      </c>
    </row>
    <row r="30" spans="1:49" ht="17" thickBot="1" x14ac:dyDescent="0.3">
      <c r="B30" s="98" t="s">
        <v>273</v>
      </c>
      <c r="C30" s="113">
        <v>3.5465573763274083E-2</v>
      </c>
      <c r="D30" s="238">
        <f t="shared" si="29"/>
        <v>8.5534816047010409E-2</v>
      </c>
      <c r="E30" s="60"/>
      <c r="F30" s="61"/>
      <c r="H30"/>
      <c r="I30"/>
      <c r="J30" s="59"/>
      <c r="L30" s="153" t="s">
        <v>273</v>
      </c>
      <c r="M30" s="154">
        <v>3.4978962246021553E-2</v>
      </c>
      <c r="N30" s="240">
        <f t="shared" si="25"/>
        <v>8.5643476075709837E-2</v>
      </c>
      <c r="V30" s="153" t="s">
        <v>273</v>
      </c>
      <c r="W30" s="154">
        <v>0.57911108880276263</v>
      </c>
      <c r="X30" s="240">
        <f t="shared" si="26"/>
        <v>1</v>
      </c>
      <c r="AG30" s="153" t="s">
        <v>273</v>
      </c>
      <c r="AH30" s="154">
        <v>0.52203425019278482</v>
      </c>
      <c r="AI30" s="240">
        <f t="shared" si="27"/>
        <v>1</v>
      </c>
      <c r="AQ30" s="153" t="s">
        <v>273</v>
      </c>
      <c r="AR30" s="154">
        <v>0.53081202093399804</v>
      </c>
      <c r="AS30" s="240">
        <f t="shared" si="28"/>
        <v>1</v>
      </c>
    </row>
    <row r="32" spans="1:49" x14ac:dyDescent="0.15">
      <c r="A32" s="80"/>
      <c r="B32" s="400" t="s">
        <v>387</v>
      </c>
      <c r="C32" s="400"/>
      <c r="D32" s="400"/>
      <c r="E32" s="400"/>
      <c r="F32" s="400"/>
      <c r="G32" s="400"/>
      <c r="H32" s="400"/>
      <c r="I32" s="157"/>
      <c r="K32" s="80"/>
      <c r="L32" s="400" t="s">
        <v>387</v>
      </c>
      <c r="M32" s="400"/>
      <c r="N32" s="400"/>
      <c r="O32" s="400"/>
      <c r="P32" s="400"/>
      <c r="Q32" s="400"/>
      <c r="R32" s="400"/>
      <c r="S32" s="157"/>
      <c r="U32" s="80"/>
      <c r="V32" s="400" t="s">
        <v>387</v>
      </c>
      <c r="W32" s="400"/>
      <c r="X32" s="400"/>
      <c r="Y32" s="400"/>
      <c r="Z32" s="400"/>
      <c r="AA32" s="400"/>
      <c r="AB32" s="400"/>
      <c r="AC32" s="19"/>
      <c r="AD32" s="157"/>
      <c r="AF32" s="80"/>
      <c r="AG32" s="400" t="s">
        <v>387</v>
      </c>
      <c r="AH32" s="400"/>
      <c r="AI32" s="400"/>
      <c r="AJ32" s="400"/>
      <c r="AK32" s="400"/>
      <c r="AL32" s="400"/>
      <c r="AM32" s="400"/>
      <c r="AN32" s="157"/>
      <c r="AP32" s="80"/>
      <c r="AQ32" s="400" t="s">
        <v>387</v>
      </c>
      <c r="AR32" s="400"/>
      <c r="AS32" s="400"/>
      <c r="AT32" s="400"/>
      <c r="AU32" s="400"/>
      <c r="AV32" s="400"/>
      <c r="AW32" s="400"/>
    </row>
    <row r="33" spans="2:49" ht="14" thickBot="1" x14ac:dyDescent="0.2"/>
    <row r="34" spans="2:49" x14ac:dyDescent="0.15">
      <c r="B34" s="92" t="s">
        <v>160</v>
      </c>
      <c r="C34" s="93" t="s">
        <v>269</v>
      </c>
      <c r="D34" s="93" t="s">
        <v>270</v>
      </c>
      <c r="E34" s="93" t="s">
        <v>271</v>
      </c>
      <c r="F34" s="93" t="s">
        <v>272</v>
      </c>
      <c r="G34" s="93" t="s">
        <v>273</v>
      </c>
      <c r="H34" s="102" t="s">
        <v>336</v>
      </c>
      <c r="I34" s="158"/>
      <c r="L34" s="92" t="s">
        <v>160</v>
      </c>
      <c r="M34" s="93" t="s">
        <v>269</v>
      </c>
      <c r="N34" s="93" t="s">
        <v>270</v>
      </c>
      <c r="O34" s="93" t="s">
        <v>271</v>
      </c>
      <c r="P34" s="93" t="s">
        <v>272</v>
      </c>
      <c r="Q34" s="93" t="s">
        <v>273</v>
      </c>
      <c r="R34" s="102" t="s">
        <v>336</v>
      </c>
      <c r="S34" s="158"/>
      <c r="V34" s="92" t="s">
        <v>160</v>
      </c>
      <c r="W34" s="93" t="s">
        <v>269</v>
      </c>
      <c r="X34" s="93" t="s">
        <v>270</v>
      </c>
      <c r="Y34" s="93" t="s">
        <v>271</v>
      </c>
      <c r="Z34" s="93" t="s">
        <v>272</v>
      </c>
      <c r="AA34" s="93" t="s">
        <v>273</v>
      </c>
      <c r="AB34" s="102" t="s">
        <v>336</v>
      </c>
      <c r="AC34" s="156"/>
      <c r="AD34" s="158"/>
      <c r="AG34" s="92" t="s">
        <v>160</v>
      </c>
      <c r="AH34" s="93" t="s">
        <v>269</v>
      </c>
      <c r="AI34" s="93" t="s">
        <v>270</v>
      </c>
      <c r="AJ34" s="93" t="s">
        <v>271</v>
      </c>
      <c r="AK34" s="93" t="s">
        <v>272</v>
      </c>
      <c r="AL34" s="93" t="s">
        <v>273</v>
      </c>
      <c r="AM34" s="102" t="s">
        <v>336</v>
      </c>
      <c r="AN34" s="158"/>
      <c r="AQ34" s="92" t="s">
        <v>160</v>
      </c>
      <c r="AR34" s="93" t="s">
        <v>269</v>
      </c>
      <c r="AS34" s="93" t="s">
        <v>270</v>
      </c>
      <c r="AT34" s="93" t="s">
        <v>271</v>
      </c>
      <c r="AU34" s="93" t="s">
        <v>272</v>
      </c>
      <c r="AV34" s="93" t="s">
        <v>273</v>
      </c>
      <c r="AW34" s="102" t="s">
        <v>336</v>
      </c>
    </row>
    <row r="35" spans="2:49" x14ac:dyDescent="0.15">
      <c r="B35" s="95" t="s">
        <v>269</v>
      </c>
      <c r="C35" s="99">
        <f>$C6*$C$26</f>
        <v>0.41463319151562805</v>
      </c>
      <c r="D35" s="99">
        <f>$D6*$C$27</f>
        <v>0.63065999829148733</v>
      </c>
      <c r="E35" s="99">
        <f>$E6*$C$28</f>
        <v>0.42620382893091147</v>
      </c>
      <c r="F35" s="99">
        <f>$F6*$C$29</f>
        <v>0.46251646299191868</v>
      </c>
      <c r="G35" s="99">
        <f>$G6*$C$30</f>
        <v>0.24825901634291858</v>
      </c>
      <c r="H35" s="100">
        <f>SUM(C35:G35)</f>
        <v>2.1822724980728641</v>
      </c>
      <c r="I35" s="159"/>
      <c r="L35" s="95" t="s">
        <v>269</v>
      </c>
      <c r="M35" s="99">
        <f>$M6*$M$26</f>
        <v>0.40842529809392303</v>
      </c>
      <c r="N35" s="99">
        <f>$N6*$M$27</f>
        <v>0.5642717870666536</v>
      </c>
      <c r="O35" s="99">
        <f>$O6*$M$28</f>
        <v>0.58290157989198832</v>
      </c>
      <c r="P35" s="99">
        <f>$P6*$M$29</f>
        <v>0.40079659748032936</v>
      </c>
      <c r="Q35" s="99">
        <f>$Q6*$M$30</f>
        <v>0.24485273572215088</v>
      </c>
      <c r="R35" s="100">
        <f>SUM(M35:Q35)</f>
        <v>2.2012479982550452</v>
      </c>
      <c r="S35" s="159"/>
      <c r="V35" s="95" t="s">
        <v>269</v>
      </c>
      <c r="W35" s="99">
        <f>$W6*$W$26</f>
        <v>3.8443545901576046E-2</v>
      </c>
      <c r="X35" s="99">
        <f>$X6*$W$27</f>
        <v>2.6974108438143473E-2</v>
      </c>
      <c r="Y35" s="99">
        <f>$Y6*$W$28</f>
        <v>3.080771112912023E-2</v>
      </c>
      <c r="Z35" s="99">
        <f>$Z6*$W$29</f>
        <v>4.7214803006402718E-2</v>
      </c>
      <c r="AA35" s="99">
        <f>$AA6*$W$30</f>
        <v>6.4345676533640289E-2</v>
      </c>
      <c r="AB35" s="100">
        <f>SUM(W35:AA35)</f>
        <v>0.20778584500888275</v>
      </c>
      <c r="AC35" s="99"/>
      <c r="AD35" s="159"/>
      <c r="AG35" s="95" t="s">
        <v>269</v>
      </c>
      <c r="AH35" s="99">
        <f>$AH6*$AH$26</f>
        <v>3.1738513862318019E-2</v>
      </c>
      <c r="AI35" s="99">
        <f>$AI6*$AH$27</f>
        <v>1.9863173167699484E-2</v>
      </c>
      <c r="AJ35" s="99">
        <f>$AJ6*$AH$28</f>
        <v>2.1342614631683399E-2</v>
      </c>
      <c r="AK35" s="99">
        <f>$AK6*$AH$29</f>
        <v>3.9989234754768815E-2</v>
      </c>
      <c r="AL35" s="99">
        <f>$AL6*$AH$30</f>
        <v>5.800380557697609E-2</v>
      </c>
      <c r="AM35" s="100">
        <f>SUM(AH35:AL35)</f>
        <v>0.17093734199344582</v>
      </c>
      <c r="AN35" s="159"/>
      <c r="AQ35" s="95" t="s">
        <v>269</v>
      </c>
      <c r="AR35" s="99">
        <f>$AR6*$AR$26</f>
        <v>3.3262387801449161E-2</v>
      </c>
      <c r="AS35" s="99">
        <f>$AS6*$AR$27</f>
        <v>2.3214876096546461E-2</v>
      </c>
      <c r="AT35" s="99">
        <f>$AT6*$AR$28</f>
        <v>2.0330914259619134E-2</v>
      </c>
      <c r="AU35" s="99">
        <f>$AU6*$AR$29</f>
        <v>4.1120181110480603E-2</v>
      </c>
      <c r="AV35" s="99">
        <f>$AV6*$AR$30</f>
        <v>5.8979113437110889E-2</v>
      </c>
      <c r="AW35" s="100">
        <f>SUM(AR35:AV35)</f>
        <v>0.17690747270520624</v>
      </c>
    </row>
    <row r="36" spans="2:49" x14ac:dyDescent="0.15">
      <c r="B36" s="95" t="s">
        <v>270</v>
      </c>
      <c r="C36" s="99">
        <f t="shared" ref="C36:C39" si="30">$C7*$C$26</f>
        <v>0.20731659575781403</v>
      </c>
      <c r="D36" s="99">
        <f t="shared" ref="D36:D39" si="31">$D7*$C$27</f>
        <v>0.31532999914574367</v>
      </c>
      <c r="E36" s="99">
        <f t="shared" ref="E36:E39" si="32">$E7*$C$28</f>
        <v>0.42620382893091147</v>
      </c>
      <c r="F36" s="99">
        <f t="shared" ref="F36:F39" si="33">$F7*$C$29</f>
        <v>0.46251646299191868</v>
      </c>
      <c r="G36" s="99">
        <f t="shared" ref="G36:G39" si="34">$G7*$C$30</f>
        <v>0.24825901634291858</v>
      </c>
      <c r="H36" s="100">
        <f t="shared" ref="H36:H39" si="35">SUM(C36:G36)</f>
        <v>1.6596259031693064</v>
      </c>
      <c r="I36" s="159"/>
      <c r="L36" s="95" t="s">
        <v>270</v>
      </c>
      <c r="M36" s="99">
        <f t="shared" ref="M36:M39" si="36">$M7*$M$26</f>
        <v>0.20421264904696151</v>
      </c>
      <c r="N36" s="99">
        <f t="shared" ref="N36:N39" si="37">$N7*$M$27</f>
        <v>0.2821358935333268</v>
      </c>
      <c r="O36" s="99">
        <f t="shared" ref="O36:O39" si="38">$O7*$M$28</f>
        <v>0.38860105326132555</v>
      </c>
      <c r="P36" s="99">
        <f t="shared" ref="P36:P39" si="39">$P7*$M$29</f>
        <v>0.40079659748032936</v>
      </c>
      <c r="Q36" s="99">
        <f t="shared" ref="Q36:Q39" si="40">$Q7*$M$30</f>
        <v>0.24485273572215088</v>
      </c>
      <c r="R36" s="100">
        <f t="shared" ref="R36:R39" si="41">SUM(M36:Q36)</f>
        <v>1.520598929044094</v>
      </c>
      <c r="S36" s="159"/>
      <c r="V36" s="95" t="s">
        <v>270</v>
      </c>
      <c r="W36" s="99">
        <f t="shared" ref="W36:W39" si="42">$W7*$W$26</f>
        <v>7.6887091803152091E-2</v>
      </c>
      <c r="X36" s="99">
        <f t="shared" ref="X36:X39" si="43">$X7*$W$27</f>
        <v>5.3948216876286946E-2</v>
      </c>
      <c r="Y36" s="99">
        <f t="shared" ref="Y36:Y39" si="44">$Y7*$W$28</f>
        <v>3.080771112912023E-2</v>
      </c>
      <c r="Z36" s="99">
        <f t="shared" ref="Z36:Z39" si="45">$Z7*$W$29</f>
        <v>4.7214803006402718E-2</v>
      </c>
      <c r="AA36" s="99">
        <f t="shared" ref="AA36:AA39" si="46">$AA7*$W$30</f>
        <v>8.2730155543251804E-2</v>
      </c>
      <c r="AB36" s="100">
        <f t="shared" ref="AB36:AB39" si="47">SUM(W36:AA36)</f>
        <v>0.29158797835821382</v>
      </c>
      <c r="AC36" s="99"/>
      <c r="AD36" s="159"/>
      <c r="AG36" s="95" t="s">
        <v>270</v>
      </c>
      <c r="AH36" s="99">
        <f t="shared" ref="AH36:AH39" si="48">$AH7*$AH$26</f>
        <v>9.5215541586954056E-2</v>
      </c>
      <c r="AI36" s="99">
        <f t="shared" ref="AI36:AI39" si="49">$AI7*$AH$27</f>
        <v>5.9589519503098459E-2</v>
      </c>
      <c r="AJ36" s="99">
        <f t="shared" ref="AJ36:AJ39" si="50">$AJ7*$AH$28</f>
        <v>3.5571024386138995E-2</v>
      </c>
      <c r="AK36" s="99">
        <f t="shared" ref="AK36:AK39" si="51">$AK7*$AH$29</f>
        <v>5.5984928656676348E-2</v>
      </c>
      <c r="AL36" s="99">
        <f t="shared" ref="AL36:AL39" si="52">$AL7*$AH$30</f>
        <v>7.4576321456112107E-2</v>
      </c>
      <c r="AM36" s="100">
        <f t="shared" ref="AM36:AM39" si="53">SUM(AH36:AL36)</f>
        <v>0.32093733558897997</v>
      </c>
      <c r="AN36" s="159"/>
      <c r="AQ36" s="95" t="s">
        <v>270</v>
      </c>
      <c r="AR36" s="99">
        <f t="shared" ref="AR36:AR39" si="54">$AR7*$AR$26</f>
        <v>6.6524775602898323E-2</v>
      </c>
      <c r="AS36" s="99">
        <f t="shared" ref="AS36:AS39" si="55">$AS7*$AR$27</f>
        <v>4.6429752193092921E-2</v>
      </c>
      <c r="AT36" s="99">
        <f t="shared" ref="AT36:AT39" si="56">$AT7*$AR$28</f>
        <v>3.3884857099365215E-2</v>
      </c>
      <c r="AU36" s="99">
        <f t="shared" ref="AU36:AU39" si="57">$AU7*$AR$29</f>
        <v>4.1120181110480603E-2</v>
      </c>
      <c r="AV36" s="99">
        <f t="shared" ref="AV36:AV39" si="58">$AV7*$AR$30</f>
        <v>5.8979113437110889E-2</v>
      </c>
      <c r="AW36" s="100">
        <f t="shared" ref="AW36:AW39" si="59">SUM(AR36:AV36)</f>
        <v>0.24693867944294795</v>
      </c>
    </row>
    <row r="37" spans="2:49" x14ac:dyDescent="0.15">
      <c r="B37" s="95" t="s">
        <v>271</v>
      </c>
      <c r="C37" s="99">
        <f t="shared" si="30"/>
        <v>0.13821106383854267</v>
      </c>
      <c r="D37" s="99">
        <f t="shared" si="31"/>
        <v>0.10510999971524788</v>
      </c>
      <c r="E37" s="99">
        <f t="shared" si="32"/>
        <v>0.14206794297697048</v>
      </c>
      <c r="F37" s="99">
        <f t="shared" si="33"/>
        <v>0.18500658519676746</v>
      </c>
      <c r="G37" s="99">
        <f t="shared" si="34"/>
        <v>0.17732786881637042</v>
      </c>
      <c r="H37" s="100">
        <f t="shared" si="35"/>
        <v>0.74772346054389893</v>
      </c>
      <c r="I37" s="159"/>
      <c r="L37" s="95" t="s">
        <v>271</v>
      </c>
      <c r="M37" s="99">
        <f t="shared" si="36"/>
        <v>0.13614176603130768</v>
      </c>
      <c r="N37" s="99">
        <f t="shared" si="37"/>
        <v>0.1410679467666634</v>
      </c>
      <c r="O37" s="99">
        <f t="shared" si="38"/>
        <v>0.19430052663066277</v>
      </c>
      <c r="P37" s="99">
        <f t="shared" si="39"/>
        <v>0.40079659748032936</v>
      </c>
      <c r="Q37" s="99">
        <f t="shared" si="40"/>
        <v>0.17489481123010775</v>
      </c>
      <c r="R37" s="100">
        <f t="shared" si="41"/>
        <v>1.0472016481390711</v>
      </c>
      <c r="S37" s="159"/>
      <c r="V37" s="95" t="s">
        <v>271</v>
      </c>
      <c r="W37" s="99">
        <f t="shared" si="42"/>
        <v>0.11533063770472814</v>
      </c>
      <c r="X37" s="99">
        <f t="shared" si="43"/>
        <v>0.16184465062886083</v>
      </c>
      <c r="Y37" s="99">
        <f t="shared" si="44"/>
        <v>9.242313338736069E-2</v>
      </c>
      <c r="Z37" s="99">
        <f t="shared" si="45"/>
        <v>4.7214803006402718E-2</v>
      </c>
      <c r="AA37" s="99">
        <f t="shared" si="46"/>
        <v>8.2730155543251804E-2</v>
      </c>
      <c r="AB37" s="100">
        <f t="shared" si="47"/>
        <v>0.49954338027060419</v>
      </c>
      <c r="AC37" s="99"/>
      <c r="AD37" s="159"/>
      <c r="AG37" s="95" t="s">
        <v>271</v>
      </c>
      <c r="AH37" s="99">
        <f t="shared" si="48"/>
        <v>0.15869256931159009</v>
      </c>
      <c r="AI37" s="99">
        <f t="shared" si="49"/>
        <v>0.17876855850929538</v>
      </c>
      <c r="AJ37" s="99">
        <f t="shared" si="50"/>
        <v>0.10671307315841699</v>
      </c>
      <c r="AK37" s="99">
        <f t="shared" si="51"/>
        <v>5.5984928656676348E-2</v>
      </c>
      <c r="AL37" s="99">
        <f t="shared" si="52"/>
        <v>7.4576321456112107E-2</v>
      </c>
      <c r="AM37" s="100">
        <f t="shared" si="53"/>
        <v>0.5747354510920909</v>
      </c>
      <c r="AN37" s="159"/>
      <c r="AQ37" s="95" t="s">
        <v>271</v>
      </c>
      <c r="AR37" s="99">
        <f t="shared" si="54"/>
        <v>0.16631193900724581</v>
      </c>
      <c r="AS37" s="99">
        <f t="shared" si="55"/>
        <v>0.13928925657927876</v>
      </c>
      <c r="AT37" s="99">
        <f t="shared" si="56"/>
        <v>0.10165457129809566</v>
      </c>
      <c r="AU37" s="99">
        <f t="shared" si="57"/>
        <v>5.7568253554672849E-2</v>
      </c>
      <c r="AV37" s="99">
        <f t="shared" si="58"/>
        <v>7.5830288704856863E-2</v>
      </c>
      <c r="AW37" s="100">
        <f t="shared" si="59"/>
        <v>0.54065430914414991</v>
      </c>
    </row>
    <row r="38" spans="2:49" x14ac:dyDescent="0.15">
      <c r="B38" s="95" t="s">
        <v>272</v>
      </c>
      <c r="C38" s="99">
        <f t="shared" si="30"/>
        <v>8.2926638303125619E-2</v>
      </c>
      <c r="D38" s="99">
        <f t="shared" si="31"/>
        <v>6.3065999829148733E-2</v>
      </c>
      <c r="E38" s="99">
        <f t="shared" si="32"/>
        <v>7.103397148848524E-2</v>
      </c>
      <c r="F38" s="99">
        <f t="shared" si="33"/>
        <v>9.2503292598383732E-2</v>
      </c>
      <c r="G38" s="99">
        <f t="shared" si="34"/>
        <v>0.17732786881637042</v>
      </c>
      <c r="H38" s="100">
        <f t="shared" si="35"/>
        <v>0.48685777103551375</v>
      </c>
      <c r="I38" s="159"/>
      <c r="L38" s="95" t="s">
        <v>272</v>
      </c>
      <c r="M38" s="99">
        <f t="shared" si="36"/>
        <v>8.1685059618784611E-2</v>
      </c>
      <c r="N38" s="99">
        <f t="shared" si="37"/>
        <v>5.642717870666536E-2</v>
      </c>
      <c r="O38" s="99">
        <f t="shared" si="38"/>
        <v>3.8860105326132557E-2</v>
      </c>
      <c r="P38" s="99">
        <f t="shared" si="39"/>
        <v>8.0159319496065876E-2</v>
      </c>
      <c r="Q38" s="99">
        <f t="shared" si="40"/>
        <v>0.17489481123010775</v>
      </c>
      <c r="R38" s="100">
        <f t="shared" si="41"/>
        <v>0.43202647437775615</v>
      </c>
      <c r="S38" s="159"/>
      <c r="V38" s="95" t="s">
        <v>272</v>
      </c>
      <c r="W38" s="99">
        <f t="shared" si="42"/>
        <v>0.19221772950788024</v>
      </c>
      <c r="X38" s="99">
        <f t="shared" si="43"/>
        <v>0.26974108438143474</v>
      </c>
      <c r="Y38" s="99">
        <f t="shared" si="44"/>
        <v>0.46211566693680345</v>
      </c>
      <c r="Z38" s="99">
        <f t="shared" si="45"/>
        <v>0.23607401503201358</v>
      </c>
      <c r="AA38" s="99">
        <f t="shared" si="46"/>
        <v>0.11582221776055253</v>
      </c>
      <c r="AB38" s="100">
        <f t="shared" si="47"/>
        <v>1.2759707136186846</v>
      </c>
      <c r="AC38" s="99"/>
      <c r="AD38" s="159"/>
      <c r="AG38" s="95" t="s">
        <v>272</v>
      </c>
      <c r="AH38" s="99">
        <f t="shared" si="48"/>
        <v>0.22216959703622613</v>
      </c>
      <c r="AI38" s="99">
        <f t="shared" si="49"/>
        <v>0.29794759751549227</v>
      </c>
      <c r="AJ38" s="99">
        <f t="shared" si="50"/>
        <v>0.53356536579208491</v>
      </c>
      <c r="AK38" s="99">
        <f t="shared" si="51"/>
        <v>0.27992464328338174</v>
      </c>
      <c r="AL38" s="99">
        <f t="shared" si="52"/>
        <v>0.17401141673092826</v>
      </c>
      <c r="AM38" s="100">
        <f t="shared" si="53"/>
        <v>1.5076186203581134</v>
      </c>
      <c r="AN38" s="159"/>
      <c r="AQ38" s="95" t="s">
        <v>272</v>
      </c>
      <c r="AR38" s="99">
        <f t="shared" si="54"/>
        <v>0.23283671461014413</v>
      </c>
      <c r="AS38" s="99">
        <f t="shared" si="55"/>
        <v>0.32500826535165045</v>
      </c>
      <c r="AT38" s="99">
        <f t="shared" si="56"/>
        <v>0.50827285649047826</v>
      </c>
      <c r="AU38" s="99">
        <f t="shared" si="57"/>
        <v>0.28784126777336422</v>
      </c>
      <c r="AV38" s="99">
        <f t="shared" si="58"/>
        <v>0.17693734031133268</v>
      </c>
      <c r="AW38" s="100">
        <f t="shared" si="59"/>
        <v>1.5308964445369697</v>
      </c>
    </row>
    <row r="39" spans="2:49" ht="14" thickBot="1" x14ac:dyDescent="0.2">
      <c r="B39" s="98" t="s">
        <v>273</v>
      </c>
      <c r="C39" s="112">
        <f t="shared" si="30"/>
        <v>5.9233313073661149E-2</v>
      </c>
      <c r="D39" s="112">
        <f t="shared" si="31"/>
        <v>4.5047142735106238E-2</v>
      </c>
      <c r="E39" s="112">
        <f t="shared" si="32"/>
        <v>2.8413588595394099E-2</v>
      </c>
      <c r="F39" s="112">
        <f t="shared" si="33"/>
        <v>1.8500658519676746E-2</v>
      </c>
      <c r="G39" s="112">
        <f t="shared" si="34"/>
        <v>3.5465573763274083E-2</v>
      </c>
      <c r="H39" s="101">
        <f t="shared" si="35"/>
        <v>0.18666027668711233</v>
      </c>
      <c r="I39" s="159"/>
      <c r="L39" s="98" t="s">
        <v>273</v>
      </c>
      <c r="M39" s="112">
        <f t="shared" si="36"/>
        <v>5.8346471156274712E-2</v>
      </c>
      <c r="N39" s="112">
        <f t="shared" si="37"/>
        <v>4.0305127647618115E-2</v>
      </c>
      <c r="O39" s="112">
        <f t="shared" si="38"/>
        <v>3.8860105326132557E-2</v>
      </c>
      <c r="P39" s="112">
        <f t="shared" si="39"/>
        <v>1.6031863899213177E-2</v>
      </c>
      <c r="Q39" s="112">
        <f t="shared" si="40"/>
        <v>3.4978962246021553E-2</v>
      </c>
      <c r="R39" s="101">
        <f t="shared" si="41"/>
        <v>0.18852253027526011</v>
      </c>
      <c r="S39" s="159"/>
      <c r="V39" s="98" t="s">
        <v>273</v>
      </c>
      <c r="W39" s="112">
        <f t="shared" si="42"/>
        <v>0.34599191311418442</v>
      </c>
      <c r="X39" s="112">
        <f t="shared" si="43"/>
        <v>0.37763751813400864</v>
      </c>
      <c r="Y39" s="112">
        <f t="shared" si="44"/>
        <v>0.64696193371152488</v>
      </c>
      <c r="Z39" s="112">
        <f t="shared" si="45"/>
        <v>1.1803700751600679</v>
      </c>
      <c r="AA39" s="112">
        <f t="shared" si="46"/>
        <v>0.57911108880276263</v>
      </c>
      <c r="AB39" s="101">
        <f t="shared" si="47"/>
        <v>3.1300725289225486</v>
      </c>
      <c r="AC39" s="99"/>
      <c r="AD39" s="159"/>
      <c r="AG39" s="98" t="s">
        <v>273</v>
      </c>
      <c r="AH39" s="112">
        <f t="shared" si="48"/>
        <v>0.28564662476086217</v>
      </c>
      <c r="AI39" s="112">
        <f t="shared" si="49"/>
        <v>0.41712663652168924</v>
      </c>
      <c r="AJ39" s="112">
        <f t="shared" si="50"/>
        <v>0.74699151210891901</v>
      </c>
      <c r="AK39" s="112">
        <f t="shared" si="51"/>
        <v>0.83977392985014521</v>
      </c>
      <c r="AL39" s="112">
        <f t="shared" si="52"/>
        <v>0.52203425019278482</v>
      </c>
      <c r="AM39" s="101">
        <f t="shared" si="53"/>
        <v>2.8115729534344003</v>
      </c>
      <c r="AN39" s="159"/>
      <c r="AQ39" s="98" t="s">
        <v>273</v>
      </c>
      <c r="AR39" s="112">
        <f t="shared" si="54"/>
        <v>0.29936149021304248</v>
      </c>
      <c r="AS39" s="112">
        <f t="shared" si="55"/>
        <v>0.41786776973783629</v>
      </c>
      <c r="AT39" s="112">
        <f t="shared" si="56"/>
        <v>0.71158199908666964</v>
      </c>
      <c r="AU39" s="112">
        <f t="shared" si="57"/>
        <v>0.86352380332009271</v>
      </c>
      <c r="AV39" s="112">
        <f t="shared" si="58"/>
        <v>0.53081202093399804</v>
      </c>
      <c r="AW39" s="101">
        <f t="shared" si="59"/>
        <v>2.8231470832916394</v>
      </c>
    </row>
    <row r="40" spans="2:49" ht="14" thickBot="1" x14ac:dyDescent="0.2"/>
    <row r="41" spans="2:49" x14ac:dyDescent="0.15">
      <c r="B41" s="92" t="s">
        <v>160</v>
      </c>
      <c r="C41" s="103" t="s">
        <v>359</v>
      </c>
      <c r="L41" s="92" t="s">
        <v>160</v>
      </c>
      <c r="M41" s="103" t="s">
        <v>359</v>
      </c>
      <c r="V41" s="92" t="s">
        <v>160</v>
      </c>
      <c r="W41" s="103" t="s">
        <v>359</v>
      </c>
      <c r="AG41" s="92" t="s">
        <v>160</v>
      </c>
      <c r="AH41" s="103" t="s">
        <v>359</v>
      </c>
      <c r="AQ41" s="92" t="s">
        <v>160</v>
      </c>
      <c r="AR41" s="103" t="s">
        <v>359</v>
      </c>
    </row>
    <row r="42" spans="2:49" x14ac:dyDescent="0.15">
      <c r="B42" s="95" t="s">
        <v>269</v>
      </c>
      <c r="C42" s="100">
        <f>$H35/$C$26</f>
        <v>5.2631399095086948</v>
      </c>
      <c r="L42" s="95" t="s">
        <v>269</v>
      </c>
      <c r="M42" s="100">
        <f>$R35/$M$26</f>
        <v>5.3895975800912259</v>
      </c>
      <c r="V42" s="95" t="s">
        <v>269</v>
      </c>
      <c r="W42" s="100">
        <f>$AB35/$W$26</f>
        <v>5.4049604461789329</v>
      </c>
      <c r="AG42" s="95" t="s">
        <v>269</v>
      </c>
      <c r="AH42" s="100">
        <f>$AM35/$AH$26</f>
        <v>5.3858017024670302</v>
      </c>
      <c r="AQ42" s="95" t="s">
        <v>269</v>
      </c>
      <c r="AR42" s="100">
        <f>$AW35/$AR$26</f>
        <v>5.3185439891209132</v>
      </c>
    </row>
    <row r="43" spans="2:49" x14ac:dyDescent="0.15">
      <c r="B43" s="95" t="s">
        <v>270</v>
      </c>
      <c r="C43" s="100">
        <f>$H36/$C$27</f>
        <v>5.2631399095086957</v>
      </c>
      <c r="L43" s="95" t="s">
        <v>270</v>
      </c>
      <c r="M43" s="100">
        <f>$R36/$M$27</f>
        <v>5.3895975800912268</v>
      </c>
      <c r="V43" s="95" t="s">
        <v>270</v>
      </c>
      <c r="W43" s="100">
        <f>$AB36/$W$27</f>
        <v>5.4049604461789347</v>
      </c>
      <c r="AG43" s="95" t="s">
        <v>270</v>
      </c>
      <c r="AH43" s="100">
        <f>$AM36/$AH$27</f>
        <v>5.3858017024670302</v>
      </c>
      <c r="AQ43" s="95" t="s">
        <v>270</v>
      </c>
      <c r="AR43" s="100">
        <f>$AW36/$AR$27</f>
        <v>5.3185439891209141</v>
      </c>
    </row>
    <row r="44" spans="2:49" x14ac:dyDescent="0.15">
      <c r="B44" s="95" t="s">
        <v>271</v>
      </c>
      <c r="C44" s="100">
        <f>$H37/$C$28</f>
        <v>5.2631399095086957</v>
      </c>
      <c r="L44" s="95" t="s">
        <v>271</v>
      </c>
      <c r="M44" s="100">
        <f>$R37/$M$28</f>
        <v>5.3895975800912268</v>
      </c>
      <c r="V44" s="95" t="s">
        <v>271</v>
      </c>
      <c r="W44" s="100">
        <f>$AB37/$W$28</f>
        <v>5.4049604461789347</v>
      </c>
      <c r="AG44" s="95" t="s">
        <v>271</v>
      </c>
      <c r="AH44" s="100">
        <f>$AM37/$AH$28</f>
        <v>5.3858017024670293</v>
      </c>
      <c r="AQ44" s="95" t="s">
        <v>271</v>
      </c>
      <c r="AR44" s="100">
        <f>$AW37/$AR$28</f>
        <v>5.3185439891209123</v>
      </c>
    </row>
    <row r="45" spans="2:49" x14ac:dyDescent="0.15">
      <c r="B45" s="95" t="s">
        <v>272</v>
      </c>
      <c r="C45" s="100">
        <f>$H38/$C$29</f>
        <v>5.2631399095086957</v>
      </c>
      <c r="L45" s="95" t="s">
        <v>272</v>
      </c>
      <c r="M45" s="100">
        <f>$R38/$M$29</f>
        <v>5.3895975800912268</v>
      </c>
      <c r="V45" s="95" t="s">
        <v>272</v>
      </c>
      <c r="W45" s="100">
        <f>$AB38/$W$29</f>
        <v>5.4049604461789347</v>
      </c>
      <c r="AG45" s="95" t="s">
        <v>272</v>
      </c>
      <c r="AH45" s="100">
        <f>$AM38/$AH$29</f>
        <v>5.3858017024670302</v>
      </c>
      <c r="AQ45" s="95" t="s">
        <v>272</v>
      </c>
      <c r="AR45" s="100">
        <f>$AW38/$AR$29</f>
        <v>5.3185439891209141</v>
      </c>
    </row>
    <row r="46" spans="2:49" ht="14" thickBot="1" x14ac:dyDescent="0.2">
      <c r="B46" s="98" t="s">
        <v>273</v>
      </c>
      <c r="C46" s="101">
        <f>$H39/$C$30</f>
        <v>5.2631399095086957</v>
      </c>
      <c r="L46" s="98" t="s">
        <v>273</v>
      </c>
      <c r="M46" s="101">
        <f>$R39/$M$30</f>
        <v>5.3895975800912259</v>
      </c>
      <c r="V46" s="98" t="s">
        <v>273</v>
      </c>
      <c r="W46" s="101">
        <f>$AB39/$W$30</f>
        <v>5.4049604461789347</v>
      </c>
      <c r="AG46" s="98" t="s">
        <v>273</v>
      </c>
      <c r="AH46" s="101">
        <f>$AM39/$AH$30</f>
        <v>5.3858017024670302</v>
      </c>
      <c r="AQ46" s="98" t="s">
        <v>273</v>
      </c>
      <c r="AR46" s="101">
        <f>$AW39/$AR$30</f>
        <v>5.3185439891209132</v>
      </c>
    </row>
    <row r="47" spans="2:49" x14ac:dyDescent="0.15">
      <c r="C47" s="99"/>
      <c r="M47" s="99"/>
      <c r="W47" s="99"/>
      <c r="AH47" s="99"/>
      <c r="AR47" s="99"/>
    </row>
    <row r="48" spans="2:49" x14ac:dyDescent="0.15">
      <c r="B48" s="90" t="s">
        <v>361</v>
      </c>
      <c r="C48" s="91">
        <f>COUNTA($B$6:$B$10)</f>
        <v>5</v>
      </c>
      <c r="L48" s="90" t="s">
        <v>361</v>
      </c>
      <c r="M48" s="91">
        <f>COUNTA($L$6:$L$10)</f>
        <v>5</v>
      </c>
      <c r="V48" s="90" t="s">
        <v>361</v>
      </c>
      <c r="W48" s="91">
        <f>COUNTA($V$6:$V$10)</f>
        <v>5</v>
      </c>
      <c r="AG48" s="90" t="s">
        <v>361</v>
      </c>
      <c r="AH48" s="91">
        <f>COUNTA($AH$6:$AH$10)</f>
        <v>5</v>
      </c>
      <c r="AQ48" s="90" t="s">
        <v>361</v>
      </c>
      <c r="AR48" s="91">
        <f>COUNTA($AQ$6:$AQ$10)</f>
        <v>5</v>
      </c>
    </row>
    <row r="49" spans="2:44" x14ac:dyDescent="0.15">
      <c r="B49" s="90" t="s">
        <v>306</v>
      </c>
      <c r="C49" s="91">
        <f>SUM($C$42:$C$46)/COUNT($C$42:$C$46)</f>
        <v>5.2631399095086948</v>
      </c>
      <c r="L49" s="90" t="s">
        <v>306</v>
      </c>
      <c r="M49" s="91">
        <f>SUM($M$42:$M$46)/COUNT($M$42:$M$46)</f>
        <v>5.3895975800912268</v>
      </c>
      <c r="V49" s="90" t="s">
        <v>306</v>
      </c>
      <c r="W49" s="91">
        <f>SUM($W$42:$W$46)/COUNT($W$42:$W$46)</f>
        <v>5.4049604461789347</v>
      </c>
      <c r="AG49" s="90" t="s">
        <v>306</v>
      </c>
      <c r="AH49" s="91">
        <f>SUM($AH$42:$AH$46)/COUNT($AH$42:$AH$46)</f>
        <v>5.3858017024670302</v>
      </c>
      <c r="AQ49" s="90" t="s">
        <v>306</v>
      </c>
      <c r="AR49" s="91">
        <f>SUM($AR$42:$AR$46)/COUNT($AR$42:$AR$46)</f>
        <v>5.3185439891209132</v>
      </c>
    </row>
    <row r="50" spans="2:44" x14ac:dyDescent="0.15">
      <c r="B50" s="90" t="s">
        <v>305</v>
      </c>
      <c r="C50" s="91">
        <f>($C$49-$C$48)/($C$48-1)</f>
        <v>6.5784977377173703E-2</v>
      </c>
      <c r="L50" s="90" t="s">
        <v>305</v>
      </c>
      <c r="M50" s="91">
        <f>($M$49-$M$48)/($M$48-1)</f>
        <v>9.7399395022806701E-2</v>
      </c>
      <c r="V50" s="90" t="s">
        <v>305</v>
      </c>
      <c r="W50" s="91">
        <f>($W$49-$W$48)/($W$48-1)</f>
        <v>0.10124011154473367</v>
      </c>
      <c r="AG50" s="90" t="s">
        <v>305</v>
      </c>
      <c r="AH50" s="91">
        <f>($AH$49-$AH$48)/($AH$48-1)</f>
        <v>9.645042561675754E-2</v>
      </c>
      <c r="AQ50" s="90" t="s">
        <v>305</v>
      </c>
      <c r="AR50" s="91">
        <f>($AR$49-$AR$48)/($AR$48-1)</f>
        <v>7.9635997280228299E-2</v>
      </c>
    </row>
    <row r="51" spans="2:44" x14ac:dyDescent="0.15">
      <c r="B51" s="90" t="s">
        <v>360</v>
      </c>
      <c r="C51" s="91">
        <f>_xlfn.XLOOKUP($C$48,'AHP Saaty Reference'!$B$22:$B$37,'AHP Saaty Reference'!$C$22:$C$37)</f>
        <v>1.1100000000000001</v>
      </c>
      <c r="L51" s="90" t="s">
        <v>360</v>
      </c>
      <c r="M51" s="91">
        <f>_xlfn.XLOOKUP($M$48,'AHP Saaty Reference'!$B$22:$B$37,'AHP Saaty Reference'!$C$22:$C$37)</f>
        <v>1.1100000000000001</v>
      </c>
      <c r="V51" s="90" t="s">
        <v>360</v>
      </c>
      <c r="W51" s="91">
        <f>_xlfn.XLOOKUP($W$48,'AHP Saaty Reference'!$B$22:$B$37,'AHP Saaty Reference'!$C$22:$C$37)</f>
        <v>1.1100000000000001</v>
      </c>
      <c r="AG51" s="90" t="s">
        <v>360</v>
      </c>
      <c r="AH51" s="91">
        <f>_xlfn.XLOOKUP($AH$48,'AHP Saaty Reference'!$B$22:$B$37,'AHP Saaty Reference'!$C$22:$C$37)</f>
        <v>1.1100000000000001</v>
      </c>
      <c r="AQ51" s="90" t="s">
        <v>360</v>
      </c>
      <c r="AR51" s="91">
        <f>_xlfn.XLOOKUP($AR$48,'AHP Saaty Reference'!$B$22:$B$37,'AHP Saaty Reference'!$C$22:$C$37)</f>
        <v>1.1100000000000001</v>
      </c>
    </row>
    <row r="52" spans="2:44" x14ac:dyDescent="0.15">
      <c r="B52" s="90" t="s">
        <v>229</v>
      </c>
      <c r="C52" s="91">
        <f>$C$50/$C$51</f>
        <v>5.9265745384841167E-2</v>
      </c>
      <c r="L52" s="90" t="s">
        <v>229</v>
      </c>
      <c r="M52" s="91">
        <f>$M$50/$M$51</f>
        <v>8.7747202723249276E-2</v>
      </c>
      <c r="V52" s="90" t="s">
        <v>229</v>
      </c>
      <c r="W52" s="91">
        <f>$W$50/$W$51</f>
        <v>9.1207307697958248E-2</v>
      </c>
      <c r="AG52" s="90" t="s">
        <v>229</v>
      </c>
      <c r="AH52" s="91">
        <f>$AH$50/$AH$51</f>
        <v>8.6892275330412189E-2</v>
      </c>
      <c r="AQ52" s="90" t="s">
        <v>229</v>
      </c>
      <c r="AR52" s="91">
        <f>$AR$50/$AR$51</f>
        <v>7.1744141693899366E-2</v>
      </c>
    </row>
    <row r="53" spans="2:44" x14ac:dyDescent="0.15">
      <c r="B53" s="90" t="s">
        <v>307</v>
      </c>
      <c r="C53" s="91" t="str">
        <f>IF(C52&lt;=0.1,"Acceptable","Not Acceptable — Revise judgments")</f>
        <v>Acceptable</v>
      </c>
      <c r="L53" s="90" t="s">
        <v>307</v>
      </c>
      <c r="M53" s="91" t="str">
        <f>IF(M52&lt;=0.1,"Acceptable","Not Acceptable — Revise judgments")</f>
        <v>Acceptable</v>
      </c>
      <c r="V53" s="90" t="s">
        <v>307</v>
      </c>
      <c r="W53" s="91" t="str">
        <f>IF(W52&lt;=0.1,"Acceptable","Not Acceptable — Revise judgments")</f>
        <v>Acceptable</v>
      </c>
      <c r="AG53" s="90" t="s">
        <v>307</v>
      </c>
      <c r="AH53" s="91" t="str">
        <f>IF(AH52&lt;=0.1,"Acceptable","Not Acceptable — Revise judgments")</f>
        <v>Acceptable</v>
      </c>
      <c r="AQ53" s="90" t="s">
        <v>307</v>
      </c>
      <c r="AR53" s="91" t="str">
        <f>IF(AR52&lt;=0.1,"Acceptable","Not Acceptable — Revise judgments")</f>
        <v>Acceptable</v>
      </c>
    </row>
  </sheetData>
  <mergeCells count="25">
    <mergeCell ref="L1:R1"/>
    <mergeCell ref="V1:AB1"/>
    <mergeCell ref="AG1:AM1"/>
    <mergeCell ref="AQ1:AW1"/>
    <mergeCell ref="B32:H32"/>
    <mergeCell ref="B23:H23"/>
    <mergeCell ref="B13:H13"/>
    <mergeCell ref="B3:H3"/>
    <mergeCell ref="B1:H1"/>
    <mergeCell ref="L3:R3"/>
    <mergeCell ref="L13:R13"/>
    <mergeCell ref="L23:R23"/>
    <mergeCell ref="L32:R32"/>
    <mergeCell ref="V3:AB3"/>
    <mergeCell ref="V13:AB13"/>
    <mergeCell ref="V23:AB23"/>
    <mergeCell ref="AQ3:AW3"/>
    <mergeCell ref="AQ13:AW13"/>
    <mergeCell ref="AQ23:AW23"/>
    <mergeCell ref="AQ32:AW32"/>
    <mergeCell ref="V32:AB32"/>
    <mergeCell ref="AG3:AM3"/>
    <mergeCell ref="AG13:AM13"/>
    <mergeCell ref="AG23:AM23"/>
    <mergeCell ref="AG32:AM32"/>
  </mergeCells>
  <conditionalFormatting sqref="A53:XFD53">
    <cfRule type="containsText" dxfId="119" priority="1" operator="containsText" text="Not Acceptable">
      <formula>NOT(ISERROR(SEARCH("Not Acceptable",A53)))</formula>
    </cfRule>
    <cfRule type="containsText" dxfId="118" priority="2" operator="containsText" text="Acceptable">
      <formula>NOT(ISERROR(SEARCH("Acceptable",A53)))</formula>
    </cfRule>
  </conditionalFormatting>
  <conditionalFormatting sqref="D6:G6 E6:G7 C7:C10 F8:G8 D8:D10 E9 G9 E10:F10">
    <cfRule type="cellIs" dxfId="117" priority="11" operator="notEqual">
      <formula>0</formula>
    </cfRule>
  </conditionalFormatting>
  <conditionalFormatting sqref="N6:Q6 O7:Q7 M7:M10 P8:Q8 N8:N10 O9 Q9 O10:P10">
    <cfRule type="cellIs" dxfId="116" priority="6" operator="notEqual">
      <formula>0</formula>
    </cfRule>
  </conditionalFormatting>
  <conditionalFormatting sqref="X6:AA6 Y7:AA7 W7:W10 Z8:AA8 X8:X10 Y9 AA9 Y10:Z10">
    <cfRule type="cellIs" dxfId="115" priority="5" operator="notEqual">
      <formula>0</formula>
    </cfRule>
  </conditionalFormatting>
  <conditionalFormatting sqref="AI6:AL6 AJ7:AL7 AH7:AH10 AK8:AL8 AI8:AI10 AJ9 AL9 AJ10:AK10">
    <cfRule type="cellIs" dxfId="114" priority="4" operator="notEqual">
      <formula>0</formula>
    </cfRule>
  </conditionalFormatting>
  <conditionalFormatting sqref="AS6:AV6 AT7:AV7 AR7:AR10 AU8:AV8 AS8:AS10 AT9 AV9 AT10:AU10">
    <cfRule type="cellIs" dxfId="113" priority="3" operator="notEqual">
      <formula>0</formula>
    </cfRule>
  </conditionalFormatting>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75EC0-D7BB-3140-9A8D-4C2E80DB349F}">
  <sheetPr codeName="Sheet7">
    <tabColor rgb="FF92D050"/>
  </sheetPr>
  <dimension ref="A1:Z80"/>
  <sheetViews>
    <sheetView showGridLines="0" zoomScale="50" zoomScaleNormal="90" workbookViewId="0">
      <pane ySplit="6" topLeftCell="A42" activePane="bottomLeft" state="frozen"/>
      <selection activeCell="AP32" sqref="AP32"/>
      <selection pane="bottomLeft" activeCell="D60" sqref="D60"/>
    </sheetView>
  </sheetViews>
  <sheetFormatPr baseColWidth="10" defaultColWidth="8.6640625" defaultRowHeight="15" customHeight="1" outlineLevelCol="1" x14ac:dyDescent="0.15"/>
  <cols>
    <col min="1" max="1" width="3" style="168" customWidth="1"/>
    <col min="2" max="2" width="29.83203125" style="168" customWidth="1"/>
    <col min="3" max="20" width="18.83203125" style="168" customWidth="1"/>
    <col min="21" max="25" width="18.83203125" style="168" hidden="1" customWidth="1" outlineLevel="1"/>
    <col min="26" max="26" width="22.1640625" style="168" bestFit="1" customWidth="1" collapsed="1"/>
    <col min="27" max="31" width="22.1640625" style="168" bestFit="1" customWidth="1"/>
    <col min="32" max="32" width="22.6640625" style="168" bestFit="1" customWidth="1"/>
    <col min="33" max="33" width="27.1640625" style="168" bestFit="1" customWidth="1"/>
    <col min="34" max="34" width="23.5" style="168" bestFit="1" customWidth="1"/>
    <col min="35" max="35" width="22.5" style="168" bestFit="1" customWidth="1"/>
    <col min="36" max="36" width="23.1640625" style="168" bestFit="1" customWidth="1"/>
    <col min="37" max="16384" width="8.6640625" style="168"/>
  </cols>
  <sheetData>
    <row r="1" spans="2:14" ht="18" customHeight="1" x14ac:dyDescent="0.15">
      <c r="B1" s="200" t="s">
        <v>208</v>
      </c>
      <c r="C1" s="167"/>
      <c r="D1" s="167"/>
      <c r="E1" s="167"/>
      <c r="F1" s="167"/>
      <c r="G1" s="167"/>
      <c r="H1" s="167"/>
      <c r="I1" s="167"/>
      <c r="J1" s="167"/>
      <c r="K1" s="167"/>
      <c r="L1" s="167"/>
      <c r="M1" s="167"/>
      <c r="N1" s="167"/>
    </row>
    <row r="2" spans="2:14" ht="10" customHeight="1" x14ac:dyDescent="0.15">
      <c r="B2" s="201"/>
    </row>
    <row r="3" spans="2:14" ht="18" customHeight="1" x14ac:dyDescent="0.15">
      <c r="B3" s="401" t="s">
        <v>209</v>
      </c>
      <c r="C3" s="401"/>
      <c r="D3" s="401"/>
      <c r="E3" s="401"/>
      <c r="F3" s="401"/>
      <c r="G3" s="401"/>
      <c r="H3" s="401"/>
      <c r="I3" s="401"/>
      <c r="J3" s="401"/>
      <c r="K3" s="401"/>
      <c r="L3" s="401"/>
      <c r="M3" s="401"/>
      <c r="N3" s="401"/>
    </row>
    <row r="4" spans="2:14" ht="15" customHeight="1" x14ac:dyDescent="0.15">
      <c r="B4" s="401"/>
      <c r="C4" s="401"/>
      <c r="D4" s="401"/>
      <c r="E4" s="401"/>
      <c r="F4" s="401"/>
      <c r="G4" s="401"/>
      <c r="H4" s="401"/>
      <c r="I4" s="401"/>
      <c r="J4" s="401"/>
      <c r="K4" s="401"/>
      <c r="L4" s="401"/>
      <c r="M4" s="401"/>
      <c r="N4" s="401"/>
    </row>
    <row r="5" spans="2:14" ht="18" customHeight="1" x14ac:dyDescent="0.15">
      <c r="B5" s="401"/>
      <c r="C5" s="401"/>
      <c r="D5" s="401"/>
      <c r="E5" s="401"/>
      <c r="F5" s="401"/>
      <c r="G5" s="401"/>
      <c r="H5" s="401"/>
      <c r="I5" s="401"/>
      <c r="J5" s="401"/>
      <c r="K5" s="401"/>
      <c r="L5" s="401"/>
      <c r="M5" s="401"/>
      <c r="N5" s="401"/>
    </row>
    <row r="6" spans="2:14" ht="15" customHeight="1" x14ac:dyDescent="0.15">
      <c r="B6" s="189"/>
      <c r="C6" s="189"/>
      <c r="D6" s="189"/>
      <c r="E6" s="189"/>
      <c r="F6" s="189"/>
      <c r="G6" s="189"/>
      <c r="H6" s="189"/>
      <c r="I6" s="189"/>
      <c r="J6" s="189"/>
      <c r="K6" s="189"/>
      <c r="L6" s="189"/>
      <c r="M6" s="190"/>
      <c r="N6" s="190"/>
    </row>
    <row r="7" spans="2:14" ht="10" customHeight="1" x14ac:dyDescent="0.15">
      <c r="B7" s="169"/>
      <c r="C7" s="169"/>
      <c r="D7" s="169"/>
      <c r="E7" s="169"/>
      <c r="F7" s="169"/>
      <c r="G7" s="169"/>
      <c r="H7" s="169"/>
      <c r="I7" s="169"/>
      <c r="J7" s="169"/>
      <c r="K7" s="169"/>
      <c r="L7" s="169"/>
      <c r="M7" s="169"/>
      <c r="N7" s="169"/>
    </row>
    <row r="8" spans="2:14" ht="18" customHeight="1" x14ac:dyDescent="0.15">
      <c r="B8" s="170" t="s">
        <v>210</v>
      </c>
    </row>
    <row r="9" spans="2:14" ht="18" customHeight="1" x14ac:dyDescent="0.15"/>
    <row r="10" spans="2:14" s="172" customFormat="1" ht="18" customHeight="1" x14ac:dyDescent="0.15">
      <c r="B10" s="202" t="s">
        <v>211</v>
      </c>
      <c r="C10" s="171"/>
      <c r="D10" s="171"/>
      <c r="E10" s="171"/>
      <c r="F10" s="171"/>
      <c r="G10" s="171"/>
      <c r="H10" s="171"/>
      <c r="I10" s="171"/>
      <c r="J10" s="171"/>
      <c r="K10" s="171"/>
      <c r="L10" s="171"/>
      <c r="M10" s="171"/>
      <c r="N10" s="171"/>
    </row>
    <row r="11" spans="2:14" ht="18" customHeight="1" thickBot="1" x14ac:dyDescent="0.2">
      <c r="B11" s="191"/>
    </row>
    <row r="12" spans="2:14" ht="40" customHeight="1" x14ac:dyDescent="0.15">
      <c r="B12" s="255" t="s">
        <v>212</v>
      </c>
      <c r="C12" s="256" t="s">
        <v>132</v>
      </c>
      <c r="D12" s="257" t="s">
        <v>94</v>
      </c>
    </row>
    <row r="13" spans="2:14" ht="18" customHeight="1" x14ac:dyDescent="0.15">
      <c r="B13" s="258" t="s">
        <v>132</v>
      </c>
      <c r="C13" s="251">
        <v>1</v>
      </c>
      <c r="D13" s="259">
        <f>IF('1.2 Weights'!$H$9="",
   NA(),
   IF('1.2 Weights'!$F$9="Equal importance",1,'1.2 Weights'!$H$9)
)</f>
        <v>1</v>
      </c>
    </row>
    <row r="14" spans="2:14" ht="18" customHeight="1" x14ac:dyDescent="0.15">
      <c r="B14" s="258" t="s">
        <v>94</v>
      </c>
      <c r="C14" s="253">
        <f>IF($D$13="","",1/$D$13)</f>
        <v>1</v>
      </c>
      <c r="D14" s="260">
        <v>1</v>
      </c>
    </row>
    <row r="15" spans="2:14" ht="18" customHeight="1" thickBot="1" x14ac:dyDescent="0.2">
      <c r="B15" s="261" t="s">
        <v>213</v>
      </c>
      <c r="C15" s="262">
        <f>SUM(C13:C14)</f>
        <v>2</v>
      </c>
      <c r="D15" s="263">
        <f>SUM(D13:D14)</f>
        <v>2</v>
      </c>
    </row>
    <row r="16" spans="2:14" ht="18" customHeight="1" thickBot="1" x14ac:dyDescent="0.2">
      <c r="B16" s="191"/>
    </row>
    <row r="17" spans="2:14" s="173" customFormat="1" ht="40" customHeight="1" x14ac:dyDescent="0.15">
      <c r="B17" s="255" t="s">
        <v>212</v>
      </c>
      <c r="C17" s="256" t="s">
        <v>214</v>
      </c>
      <c r="D17" s="256" t="s">
        <v>215</v>
      </c>
      <c r="E17" s="256" t="s">
        <v>216</v>
      </c>
      <c r="F17" s="257" t="s">
        <v>217</v>
      </c>
    </row>
    <row r="18" spans="2:14" ht="18" customHeight="1" x14ac:dyDescent="0.15">
      <c r="B18" s="258" t="s">
        <v>132</v>
      </c>
      <c r="C18" s="251">
        <f>C13/C15</f>
        <v>0.5</v>
      </c>
      <c r="D18" s="252">
        <f>IF(OR(D13="",D15="",D15=0),"",D13/D15)</f>
        <v>0.5</v>
      </c>
      <c r="E18" s="254">
        <f>AVERAGE(C18:D18)</f>
        <v>0.5</v>
      </c>
      <c r="F18" s="264">
        <f>E18/SUM($E$18:$E$19)</f>
        <v>0.5</v>
      </c>
    </row>
    <row r="19" spans="2:14" ht="18" customHeight="1" x14ac:dyDescent="0.15">
      <c r="B19" s="258" t="s">
        <v>94</v>
      </c>
      <c r="C19" s="252">
        <f>IF(OR(C14="",C15="",C15=0),"",C14/C15)</f>
        <v>0.5</v>
      </c>
      <c r="D19" s="251">
        <f>D14/D15</f>
        <v>0.5</v>
      </c>
      <c r="E19" s="254">
        <f>AVERAGE(C19:D19)</f>
        <v>0.5</v>
      </c>
      <c r="F19" s="264">
        <f>E19/SUM($E$18:$E$19)</f>
        <v>0.5</v>
      </c>
    </row>
    <row r="20" spans="2:14" ht="18" customHeight="1" thickBot="1" x14ac:dyDescent="0.2">
      <c r="B20" s="265" t="s">
        <v>438</v>
      </c>
      <c r="C20" s="266"/>
      <c r="D20" s="266"/>
      <c r="E20" s="266">
        <f>SUM(E18:E19)</f>
        <v>1</v>
      </c>
      <c r="F20" s="267">
        <f>SUM(F18:F19)</f>
        <v>1</v>
      </c>
    </row>
    <row r="21" spans="2:14" ht="18" customHeight="1" x14ac:dyDescent="0.15"/>
    <row r="22" spans="2:14" s="173" customFormat="1" ht="18" customHeight="1" x14ac:dyDescent="0.15">
      <c r="B22" s="203" t="s">
        <v>218</v>
      </c>
      <c r="C22" s="174"/>
      <c r="D22" s="174"/>
      <c r="E22" s="174"/>
      <c r="F22" s="174"/>
      <c r="G22" s="174"/>
      <c r="H22" s="174"/>
      <c r="I22" s="174"/>
      <c r="J22" s="174"/>
      <c r="K22" s="174"/>
      <c r="L22" s="174"/>
      <c r="M22" s="174"/>
      <c r="N22" s="174"/>
    </row>
    <row r="23" spans="2:14" ht="18" customHeight="1" thickBot="1" x14ac:dyDescent="0.2">
      <c r="B23" s="191"/>
    </row>
    <row r="24" spans="2:14" ht="40" customHeight="1" x14ac:dyDescent="0.15">
      <c r="B24" s="268" t="s">
        <v>204</v>
      </c>
      <c r="C24" s="269" t="s">
        <v>37</v>
      </c>
      <c r="D24" s="270" t="s">
        <v>219</v>
      </c>
    </row>
    <row r="25" spans="2:14" ht="18" customHeight="1" x14ac:dyDescent="0.15">
      <c r="B25" s="258" t="s">
        <v>37</v>
      </c>
      <c r="C25" s="251">
        <v>1</v>
      </c>
      <c r="D25" s="259">
        <f>IF('1.2 Weights'!$F$12="Equal importance",
   1,
   IF('1.2 Weights'!$H$12="",
      NA(),
      '1.2 Weights'!$H$12
   )
)</f>
        <v>1</v>
      </c>
    </row>
    <row r="26" spans="2:14" ht="18" customHeight="1" x14ac:dyDescent="0.15">
      <c r="B26" s="258" t="s">
        <v>138</v>
      </c>
      <c r="C26" s="252">
        <f>IF($D$25="","",1/$D$25)</f>
        <v>1</v>
      </c>
      <c r="D26" s="260">
        <v>1</v>
      </c>
    </row>
    <row r="27" spans="2:14" ht="18" customHeight="1" thickBot="1" x14ac:dyDescent="0.2">
      <c r="B27" s="261" t="s">
        <v>213</v>
      </c>
      <c r="C27" s="262">
        <f>SUM(C25:C26)</f>
        <v>2</v>
      </c>
      <c r="D27" s="263">
        <f>SUM(D25:D26)</f>
        <v>2</v>
      </c>
    </row>
    <row r="28" spans="2:14" ht="18" customHeight="1" thickBot="1" x14ac:dyDescent="0.2">
      <c r="B28" s="191"/>
    </row>
    <row r="29" spans="2:14" ht="40" customHeight="1" x14ac:dyDescent="0.15">
      <c r="B29" s="268" t="s">
        <v>204</v>
      </c>
      <c r="C29" s="269" t="s">
        <v>214</v>
      </c>
      <c r="D29" s="269" t="s">
        <v>215</v>
      </c>
      <c r="E29" s="256" t="s">
        <v>216</v>
      </c>
      <c r="F29" s="257" t="s">
        <v>217</v>
      </c>
    </row>
    <row r="30" spans="2:14" ht="18" customHeight="1" x14ac:dyDescent="0.15">
      <c r="B30" s="258" t="s">
        <v>37</v>
      </c>
      <c r="C30" s="251">
        <f>C25/C27</f>
        <v>0.5</v>
      </c>
      <c r="D30" s="252">
        <f>IF(OR($D$25="",$D$27="",$D$27=0),"",$D$25/$D$27)</f>
        <v>0.5</v>
      </c>
      <c r="E30" s="254">
        <f>AVERAGE(C30:D30)</f>
        <v>0.5</v>
      </c>
      <c r="F30" s="264">
        <f>E30/SUM($E$30:$E$31)</f>
        <v>0.5</v>
      </c>
    </row>
    <row r="31" spans="2:14" ht="18" customHeight="1" x14ac:dyDescent="0.15">
      <c r="B31" s="258" t="s">
        <v>138</v>
      </c>
      <c r="C31" s="252">
        <f>IF(OR($C$26="",$C$27="",$C$27=0),"",$C$26/$C$27)</f>
        <v>0.5</v>
      </c>
      <c r="D31" s="251">
        <f>D26/D27</f>
        <v>0.5</v>
      </c>
      <c r="E31" s="254">
        <f>AVERAGE(C31:D31)</f>
        <v>0.5</v>
      </c>
      <c r="F31" s="264">
        <f>E31/SUM($E$30:$E$31)</f>
        <v>0.5</v>
      </c>
    </row>
    <row r="32" spans="2:14" ht="18" customHeight="1" thickBot="1" x14ac:dyDescent="0.2">
      <c r="B32" s="265" t="s">
        <v>438</v>
      </c>
      <c r="C32" s="271"/>
      <c r="D32" s="271"/>
      <c r="E32" s="266">
        <f>SUM(E30:E31)</f>
        <v>1</v>
      </c>
      <c r="F32" s="267">
        <f>SUM(F30:F31)</f>
        <v>1</v>
      </c>
    </row>
    <row r="33" spans="2:14" ht="18" customHeight="1" x14ac:dyDescent="0.15"/>
    <row r="34" spans="2:14" s="173" customFormat="1" ht="18" customHeight="1" x14ac:dyDescent="0.15">
      <c r="B34" s="207" t="s">
        <v>220</v>
      </c>
      <c r="C34" s="208"/>
      <c r="D34" s="208"/>
      <c r="E34" s="208"/>
      <c r="F34" s="208"/>
      <c r="G34" s="208"/>
      <c r="H34" s="208"/>
      <c r="I34" s="208"/>
      <c r="J34" s="208"/>
      <c r="K34" s="208"/>
      <c r="L34" s="208"/>
      <c r="M34" s="208"/>
      <c r="N34" s="208"/>
    </row>
    <row r="35" spans="2:14" ht="18" customHeight="1" thickBot="1" x14ac:dyDescent="0.2">
      <c r="B35" s="192"/>
    </row>
    <row r="36" spans="2:14" ht="40" customHeight="1" x14ac:dyDescent="0.15">
      <c r="B36" s="272" t="s">
        <v>204</v>
      </c>
      <c r="C36" s="273" t="s">
        <v>221</v>
      </c>
      <c r="D36" s="273" t="s">
        <v>222</v>
      </c>
      <c r="E36" s="274" t="s">
        <v>223</v>
      </c>
    </row>
    <row r="37" spans="2:14" ht="18" customHeight="1" x14ac:dyDescent="0.15">
      <c r="B37" s="258" t="s">
        <v>205</v>
      </c>
      <c r="C37" s="251">
        <v>1</v>
      </c>
      <c r="D37" s="252">
        <f>IF('1.2 Weights'!$F$15="Equal importance",
   1,
   IF('1.2 Weights'!$H$15="",
      NA(),
      '1.2 Weights'!$H$15
   )
)</f>
        <v>1</v>
      </c>
      <c r="E37" s="259">
        <f>IF('1.2 Weights'!$F$16="Equal importance",
   1,
   IF('1.2 Weights'!$H$16="",
      NA(),
      '1.2 Weights'!$H$16
   )
)</f>
        <v>1</v>
      </c>
    </row>
    <row r="38" spans="2:14" ht="18" customHeight="1" x14ac:dyDescent="0.15">
      <c r="B38" s="258" t="s">
        <v>206</v>
      </c>
      <c r="C38" s="252">
        <f>IF($D$37="","",1/$D$37)</f>
        <v>1</v>
      </c>
      <c r="D38" s="251">
        <v>1</v>
      </c>
      <c r="E38" s="259">
        <f>IF('1.2 Weights'!$F$17="Equal importance",
   1,
   IF('1.2 Weights'!$H$17="",
      NA(),
      '1.2 Weights'!$H$17
   )
)</f>
        <v>1</v>
      </c>
    </row>
    <row r="39" spans="2:14" ht="18" customHeight="1" x14ac:dyDescent="0.15">
      <c r="B39" s="258" t="s">
        <v>207</v>
      </c>
      <c r="C39" s="252">
        <f>IF($E$37="","",1/$E$37)</f>
        <v>1</v>
      </c>
      <c r="D39" s="252">
        <f>IF($E$38="","",1/$E$38)</f>
        <v>1</v>
      </c>
      <c r="E39" s="260">
        <v>1</v>
      </c>
    </row>
    <row r="40" spans="2:14" ht="18" customHeight="1" thickBot="1" x14ac:dyDescent="0.2">
      <c r="B40" s="261" t="s">
        <v>213</v>
      </c>
      <c r="C40" s="262">
        <f>SUM(C37:C39)</f>
        <v>3</v>
      </c>
      <c r="D40" s="262">
        <f>SUM(D37:D39)</f>
        <v>3</v>
      </c>
      <c r="E40" s="263">
        <f>SUM(E37:E39)</f>
        <v>3</v>
      </c>
    </row>
    <row r="41" spans="2:14" ht="18" customHeight="1" thickBot="1" x14ac:dyDescent="0.2">
      <c r="B41" s="191"/>
    </row>
    <row r="42" spans="2:14" ht="57" customHeight="1" x14ac:dyDescent="0.15">
      <c r="B42" s="272" t="s">
        <v>204</v>
      </c>
      <c r="C42" s="273" t="s">
        <v>214</v>
      </c>
      <c r="D42" s="273" t="s">
        <v>215</v>
      </c>
      <c r="E42" s="273" t="s">
        <v>224</v>
      </c>
      <c r="F42" s="256" t="s">
        <v>216</v>
      </c>
      <c r="G42" s="257" t="s">
        <v>217</v>
      </c>
    </row>
    <row r="43" spans="2:14" ht="18" customHeight="1" x14ac:dyDescent="0.15">
      <c r="B43" s="258" t="s">
        <v>205</v>
      </c>
      <c r="C43" s="251">
        <f>C37/C40</f>
        <v>0.33333333333333331</v>
      </c>
      <c r="D43" s="252">
        <f>IF(OR($D$37="",$D$40="",$D$40=0),"",$D$37/$D$40)</f>
        <v>0.33333333333333331</v>
      </c>
      <c r="E43" s="252">
        <f>IF(OR($E$37="",$E$40="",$E$40=0),"",$E$37/$E$40)</f>
        <v>0.33333333333333331</v>
      </c>
      <c r="F43" s="254">
        <f>AVERAGE(C43:E43)</f>
        <v>0.33333333333333331</v>
      </c>
      <c r="G43" s="264">
        <f>F43/SUM($F$43:$F$45)</f>
        <v>0.33333333333333331</v>
      </c>
    </row>
    <row r="44" spans="2:14" ht="18" customHeight="1" x14ac:dyDescent="0.15">
      <c r="B44" s="258" t="s">
        <v>206</v>
      </c>
      <c r="C44" s="252">
        <f>IF(OR($C$38="",$C$40="",$C$40=0),"",$C$38/$C$40)</f>
        <v>0.33333333333333331</v>
      </c>
      <c r="D44" s="251">
        <f>D38/D40</f>
        <v>0.33333333333333331</v>
      </c>
      <c r="E44" s="252">
        <f>IF(OR($E$38="",$E$40="",$E$40=0),"",$E$38/$E$40)</f>
        <v>0.33333333333333331</v>
      </c>
      <c r="F44" s="254">
        <f>AVERAGE(C44:E44)</f>
        <v>0.33333333333333331</v>
      </c>
      <c r="G44" s="264">
        <f>F44/SUM($F$43:$F$45)</f>
        <v>0.33333333333333331</v>
      </c>
    </row>
    <row r="45" spans="2:14" ht="18" customHeight="1" x14ac:dyDescent="0.15">
      <c r="B45" s="258" t="s">
        <v>207</v>
      </c>
      <c r="C45" s="252">
        <f>IF(OR($C$39="",$C$40="",$C$40=0),"",$C$39/$C$40)</f>
        <v>0.33333333333333331</v>
      </c>
      <c r="D45" s="252">
        <f>IF(OR($D$39="",$D$40="",$D$40=0),"",$D$39/$D$40)</f>
        <v>0.33333333333333331</v>
      </c>
      <c r="E45" s="251">
        <f>E39/E40</f>
        <v>0.33333333333333331</v>
      </c>
      <c r="F45" s="254">
        <f>AVERAGE(C45:E45)</f>
        <v>0.33333333333333331</v>
      </c>
      <c r="G45" s="264">
        <f>F45/SUM($F$43:$F$45)</f>
        <v>0.33333333333333331</v>
      </c>
    </row>
    <row r="46" spans="2:14" ht="18" customHeight="1" thickBot="1" x14ac:dyDescent="0.2">
      <c r="B46" s="265" t="s">
        <v>438</v>
      </c>
      <c r="C46" s="266"/>
      <c r="D46" s="266"/>
      <c r="E46" s="266"/>
      <c r="F46" s="266">
        <f>SUM(F43:F45)</f>
        <v>1</v>
      </c>
      <c r="G46" s="267">
        <f>SUM(G43:G45)</f>
        <v>1</v>
      </c>
    </row>
    <row r="47" spans="2:14" s="176" customFormat="1" ht="18" customHeight="1" thickBot="1" x14ac:dyDescent="0.2">
      <c r="B47" s="193"/>
      <c r="C47" s="175"/>
      <c r="D47" s="175"/>
      <c r="E47" s="175"/>
      <c r="F47" s="194"/>
      <c r="G47" s="194"/>
    </row>
    <row r="48" spans="2:14" ht="34" customHeight="1" x14ac:dyDescent="0.15">
      <c r="B48" s="275" t="s">
        <v>225</v>
      </c>
      <c r="C48" s="276">
        <f>IFERROR(
IF(OR(COUNTBLANK(C37:E39)&gt;0,COUNTBLANK(G43:G45)&gt;0,G43=0,G44=0,G45=0),NA(),
AVERAGE(
(C37*G43+D37*G44+E37*G45)/G43,
(C38*G43+D38*G44+E38*G45)/G44,
(C39*G43+D39*G44+E39*G45)/G45
)),
NA())</f>
        <v>3</v>
      </c>
    </row>
    <row r="49" spans="2:14" ht="18" customHeight="1" x14ac:dyDescent="0.15">
      <c r="B49" s="258" t="s">
        <v>226</v>
      </c>
      <c r="C49" s="277">
        <v>3</v>
      </c>
    </row>
    <row r="50" spans="2:14" ht="18" customHeight="1" x14ac:dyDescent="0.15">
      <c r="B50" s="258" t="s">
        <v>227</v>
      </c>
      <c r="C50" s="264">
        <f>IF(C48="","",(C48-3)/(3-1))</f>
        <v>0</v>
      </c>
    </row>
    <row r="51" spans="2:14" ht="18" customHeight="1" x14ac:dyDescent="0.15">
      <c r="B51" s="258" t="s">
        <v>228</v>
      </c>
      <c r="C51" s="264">
        <v>0.52500000000000002</v>
      </c>
    </row>
    <row r="52" spans="2:14" ht="18" customHeight="1" x14ac:dyDescent="0.15">
      <c r="B52" s="258" t="s">
        <v>229</v>
      </c>
      <c r="C52" s="264">
        <f>IF($C$50="","",$C$50/$C$51)</f>
        <v>0</v>
      </c>
    </row>
    <row r="53" spans="2:14" ht="30" customHeight="1" thickBot="1" x14ac:dyDescent="0.2">
      <c r="B53" s="261" t="s">
        <v>202</v>
      </c>
      <c r="C53" s="278" t="str">
        <f>IF(ISNA($C$52),
"Awaiting input",
IF($C$52&lt;=0.1,
"Acceptable",
"Not Acceptable – Revise judgments"))</f>
        <v>Acceptable</v>
      </c>
    </row>
    <row r="54" spans="2:14" ht="18" customHeight="1" x14ac:dyDescent="0.15"/>
    <row r="55" spans="2:14" ht="18" customHeight="1" x14ac:dyDescent="0.15">
      <c r="B55" s="170" t="s">
        <v>230</v>
      </c>
    </row>
    <row r="56" spans="2:14" ht="18" customHeight="1" x14ac:dyDescent="0.15"/>
    <row r="57" spans="2:14" ht="18" customHeight="1" x14ac:dyDescent="0.15">
      <c r="B57" s="202" t="s">
        <v>231</v>
      </c>
      <c r="C57" s="177"/>
      <c r="D57" s="177"/>
      <c r="E57" s="177"/>
      <c r="F57" s="177"/>
      <c r="G57" s="177"/>
      <c r="H57" s="177"/>
      <c r="I57" s="177"/>
      <c r="J57" s="177"/>
      <c r="K57" s="177"/>
      <c r="L57" s="177"/>
      <c r="M57" s="177"/>
      <c r="N57" s="177"/>
    </row>
    <row r="58" spans="2:14" ht="18" customHeight="1" thickBot="1" x14ac:dyDescent="0.2">
      <c r="B58" s="192"/>
    </row>
    <row r="59" spans="2:14" s="173" customFormat="1" ht="40" customHeight="1" x14ac:dyDescent="0.15">
      <c r="B59" s="279" t="s">
        <v>204</v>
      </c>
      <c r="C59" s="280" t="s">
        <v>232</v>
      </c>
      <c r="D59" s="280" t="s">
        <v>233</v>
      </c>
      <c r="E59" s="280" t="s">
        <v>234</v>
      </c>
      <c r="F59" s="281" t="s">
        <v>235</v>
      </c>
    </row>
    <row r="60" spans="2:14" ht="18" customHeight="1" x14ac:dyDescent="0.15">
      <c r="B60" s="282" t="s">
        <v>37</v>
      </c>
      <c r="C60" s="184">
        <f>$F$18</f>
        <v>0.5</v>
      </c>
      <c r="D60" s="184">
        <f>$F$30</f>
        <v>0.5</v>
      </c>
      <c r="E60" s="184">
        <f>C60*D60</f>
        <v>0.25</v>
      </c>
      <c r="F60" s="283">
        <f>E60/SUM($E$60:$E$64)</f>
        <v>0.25000000000000006</v>
      </c>
    </row>
    <row r="61" spans="2:14" ht="18" customHeight="1" x14ac:dyDescent="0.15">
      <c r="B61" s="282" t="s">
        <v>138</v>
      </c>
      <c r="C61" s="184">
        <f>$F$18</f>
        <v>0.5</v>
      </c>
      <c r="D61" s="184">
        <f>$F$31</f>
        <v>0.5</v>
      </c>
      <c r="E61" s="184">
        <f>C61*D61</f>
        <v>0.25</v>
      </c>
      <c r="F61" s="283">
        <f>E61/SUM($E$60:$E$64)</f>
        <v>0.25000000000000006</v>
      </c>
    </row>
    <row r="62" spans="2:14" ht="18" customHeight="1" x14ac:dyDescent="0.15">
      <c r="B62" s="282" t="s">
        <v>205</v>
      </c>
      <c r="C62" s="184">
        <f>$F$19</f>
        <v>0.5</v>
      </c>
      <c r="D62" s="184">
        <f>$G$43</f>
        <v>0.33333333333333331</v>
      </c>
      <c r="E62" s="184">
        <f>C62*D62</f>
        <v>0.16666666666666666</v>
      </c>
      <c r="F62" s="283">
        <f>E62/SUM($E$60:$E$64)</f>
        <v>0.16666666666666669</v>
      </c>
    </row>
    <row r="63" spans="2:14" ht="18" customHeight="1" x14ac:dyDescent="0.15">
      <c r="B63" s="282" t="s">
        <v>206</v>
      </c>
      <c r="C63" s="184">
        <f>$F$19</f>
        <v>0.5</v>
      </c>
      <c r="D63" s="184">
        <f>$G$44</f>
        <v>0.33333333333333331</v>
      </c>
      <c r="E63" s="184">
        <f>C63*D63</f>
        <v>0.16666666666666666</v>
      </c>
      <c r="F63" s="283">
        <f>E63/SUM($E$60:$E$64)</f>
        <v>0.16666666666666669</v>
      </c>
    </row>
    <row r="64" spans="2:14" ht="18" customHeight="1" x14ac:dyDescent="0.15">
      <c r="B64" s="282" t="s">
        <v>207</v>
      </c>
      <c r="C64" s="184">
        <f>$F$19</f>
        <v>0.5</v>
      </c>
      <c r="D64" s="184">
        <f>$G$45</f>
        <v>0.33333333333333331</v>
      </c>
      <c r="E64" s="184">
        <f>C64*D64</f>
        <v>0.16666666666666666</v>
      </c>
      <c r="F64" s="283">
        <f>E64/SUM($E$60:$E$64)</f>
        <v>0.16666666666666669</v>
      </c>
    </row>
    <row r="65" spans="1:25" ht="18" customHeight="1" thickBot="1" x14ac:dyDescent="0.2">
      <c r="B65" s="284" t="s">
        <v>236</v>
      </c>
      <c r="C65" s="285"/>
      <c r="D65" s="285"/>
      <c r="E65" s="286">
        <f>SUM(E60:E64)</f>
        <v>0.99999999999999989</v>
      </c>
      <c r="F65" s="287"/>
    </row>
    <row r="66" spans="1:25" ht="18" customHeight="1" x14ac:dyDescent="0.15"/>
    <row r="67" spans="1:25" s="173" customFormat="1" ht="18" customHeight="1" x14ac:dyDescent="0.15">
      <c r="B67" s="202" t="s">
        <v>237</v>
      </c>
      <c r="C67" s="177"/>
      <c r="D67" s="177"/>
      <c r="E67" s="177"/>
      <c r="F67" s="177"/>
      <c r="G67" s="177"/>
      <c r="H67" s="177"/>
      <c r="I67" s="177"/>
      <c r="J67" s="177"/>
      <c r="K67" s="177"/>
      <c r="L67" s="177"/>
      <c r="M67" s="177"/>
      <c r="N67" s="177"/>
    </row>
    <row r="68" spans="1:25" s="173" customFormat="1" ht="18" customHeight="1" x14ac:dyDescent="0.15">
      <c r="B68" s="204"/>
    </row>
    <row r="69" spans="1:25" s="178" customFormat="1" ht="60" customHeight="1" x14ac:dyDescent="0.15">
      <c r="B69" s="205" t="s">
        <v>238</v>
      </c>
      <c r="C69" s="196" t="s">
        <v>37</v>
      </c>
      <c r="D69" s="196" t="s">
        <v>138</v>
      </c>
      <c r="E69" s="197" t="s">
        <v>205</v>
      </c>
      <c r="F69" s="197" t="s">
        <v>430</v>
      </c>
      <c r="G69" s="197" t="s">
        <v>431</v>
      </c>
      <c r="H69" s="196" t="s">
        <v>411</v>
      </c>
      <c r="I69" s="196" t="s">
        <v>428</v>
      </c>
      <c r="J69" s="197" t="s">
        <v>427</v>
      </c>
      <c r="K69" s="197" t="s">
        <v>426</v>
      </c>
      <c r="L69" s="197" t="s">
        <v>429</v>
      </c>
      <c r="M69" s="196" t="s">
        <v>421</v>
      </c>
      <c r="N69" s="196" t="s">
        <v>422</v>
      </c>
      <c r="O69" s="197" t="s">
        <v>423</v>
      </c>
      <c r="P69" s="197" t="s">
        <v>424</v>
      </c>
      <c r="Q69" s="197" t="s">
        <v>425</v>
      </c>
      <c r="R69" s="195" t="s">
        <v>398</v>
      </c>
      <c r="S69" s="195" t="s">
        <v>203</v>
      </c>
      <c r="T69" s="195" t="s">
        <v>362</v>
      </c>
      <c r="U69" s="195" t="s">
        <v>408</v>
      </c>
      <c r="V69" s="195" t="s">
        <v>432</v>
      </c>
      <c r="W69" s="195" t="s">
        <v>409</v>
      </c>
      <c r="X69" s="195" t="s">
        <v>433</v>
      </c>
      <c r="Y69" s="195" t="s">
        <v>410</v>
      </c>
    </row>
    <row r="70" spans="1:25" ht="18" customHeight="1" x14ac:dyDescent="0.15">
      <c r="A70" s="168">
        <v>1</v>
      </c>
      <c r="B70" s="187" t="str" cm="1">
        <f t="array" ref="B70:B74">_xlfn._xlws.FILTER('1.4 EA Smell Scoring'!C9:C18,'1.4 EA Smell Scoring'!C9:C18&lt;&gt;"","")</f>
        <v>Cyclic Dependency</v>
      </c>
      <c r="C70" s="183">
        <f>IFERROR(IF(INDEX('1.4 EA Smell Scoring'!$D$9:$H$18,MATCH($B70,'1.4 EA Smell Scoring'!$C$9:$C$18,0),MATCH(C$69,'1.4 EA Smell Scoring'!$D$8:$H$8,0))=0,"",INDEX('1.4 EA Smell Scoring'!$D$9:$H$18,MATCH($B70,'1.4 EA Smell Scoring'!$C$9:$C$18,0),MATCH(C$69,'1.4 EA Smell Scoring'!$D$8:$H$8,0))),"")</f>
        <v>4</v>
      </c>
      <c r="D70" s="183">
        <f>IFERROR(IF(INDEX('1.4 EA Smell Scoring'!$D$9:$H$18,MATCH($B70,'1.4 EA Smell Scoring'!$C$9:$C$18,0),MATCH(D$69,'1.4 EA Smell Scoring'!$D$8:$H$8,0))=0,"",INDEX('1.4 EA Smell Scoring'!$D$9:$H$18,MATCH($B70,'1.4 EA Smell Scoring'!$C$9:$C$18,0),MATCH(D$69,'1.4 EA Smell Scoring'!$D$8:$H$8,0))),"")</f>
        <v>4</v>
      </c>
      <c r="E70" s="183">
        <f>IFERROR(IF(INDEX('1.4 EA Smell Scoring'!$D$9:$H$18,MATCH($B70,'1.4 EA Smell Scoring'!$C$9:$C$18,0),MATCH(E$69,'1.4 EA Smell Scoring'!$D$8:$H$8,0))=0,"",INDEX('1.4 EA Smell Scoring'!$D$9:$H$18,MATCH($B70,'1.4 EA Smell Scoring'!$C$9:$C$18,0),MATCH(E$69,'1.4 EA Smell Scoring'!$D$8:$H$8,0))),"")</f>
        <v>4</v>
      </c>
      <c r="F70" s="183">
        <f>IFERROR(IF(INDEX('1.4 EA Smell Scoring'!$D$9:$H$18,MATCH($B70,'1.4 EA Smell Scoring'!$C$9:$C$18,0),MATCH(F$69,'1.4 EA Smell Scoring'!$D$8:$H$8,0))=0,"",INDEX('1.4 EA Smell Scoring'!$D$9:$H$18,MATCH($B70,'1.4 EA Smell Scoring'!$C$9:$C$18,0),MATCH(F$69,'1.4 EA Smell Scoring'!$D$8:$H$8,0))),"")</f>
        <v>3</v>
      </c>
      <c r="G70" s="183">
        <f>IFERROR(IF(INDEX('1.4 EA Smell Scoring'!$D$9:$H$18,MATCH($B70,'1.4 EA Smell Scoring'!$C$9:$C$18,0),MATCH(G$69,'1.4 EA Smell Scoring'!$D$8:$H$8,0))=0,"",INDEX('1.4 EA Smell Scoring'!$D$9:$H$18,MATCH($B70,'1.4 EA Smell Scoring'!$C$9:$C$18,0),MATCH(G$69,'1.4 EA Smell Scoring'!$D$8:$H$8,0))),"")</f>
        <v>3</v>
      </c>
      <c r="H70" s="184">
        <f>IF(C70="","",IFERROR(_xlfn.XLOOKUP("L"&amp;C70,'1.6 IP Calculations'!$B$26:$B$30,'1.6 IP Calculations'!$D$26:$D$30),""))</f>
        <v>0.22309669001715018</v>
      </c>
      <c r="I70" s="184">
        <f>IF($D70="","",IFERROR(_xlfn.XLOOKUP("L"&amp;$D70,'1.6 IP Calculations'!$L$26:$L$30,'1.6 IP Calculations'!$N$26:$N$30),""))</f>
        <v>0.19626433492283854</v>
      </c>
      <c r="J70" s="184">
        <f>IF(E70="","",IFERROR(_xlfn.XLOOKUP("L"&amp;E70,'1.6 IP Calculations'!$V$26:$V$30,'1.6 IP Calculations'!$X$26:$X$30),""))</f>
        <v>0.40764892884380116</v>
      </c>
      <c r="K70" s="184">
        <f>IF(F70="","",IFERROR(_xlfn.XLOOKUP("L"&amp;F70,'1.6 IP Calculations'!$AG$26:$AG$30,'1.6 IP Calculations'!$AI$26:$AI$30),""))</f>
        <v>0.20441776208938081</v>
      </c>
      <c r="L70" s="184">
        <f>IF(G70="","",IFERROR(_xlfn.XLOOKUP("L"&amp;G70,'1.6 IP Calculations'!$AQ$26:$AQ$30,'1.6 IP Calculations'!$AS$26:$AS$30),""))</f>
        <v>0.19150766615878043</v>
      </c>
      <c r="M70" s="188">
        <f>IF(H70="","",H70*$E$60)</f>
        <v>5.5774172504287546E-2</v>
      </c>
      <c r="N70" s="188">
        <f>IF(I70="","",I70*$E$61)</f>
        <v>4.9066083730709635E-2</v>
      </c>
      <c r="O70" s="188">
        <f>IF(J70="","",J70*$E$62)</f>
        <v>6.7941488140633527E-2</v>
      </c>
      <c r="P70" s="188">
        <f>IF(K70="","",K70*$E$63)</f>
        <v>3.4069627014896797E-2</v>
      </c>
      <c r="Q70" s="188">
        <f>IF(L70="","",L70*$E$64)</f>
        <v>3.1917944359796738E-2</v>
      </c>
      <c r="R70" s="184">
        <f t="shared" ref="R70:R79" si="0">IF(COUNTIF(C70:G70,"&gt;0")=0,"",SUM(M70:Q70))</f>
        <v>0.23876931575032423</v>
      </c>
      <c r="S70" s="183">
        <f t="shared" ref="S70:S79" si="1">IF(COUNTIF(C70:G70,"&gt;0")=0,"",RANK(R70,$R$70:$R$79,0))</f>
        <v>5</v>
      </c>
      <c r="T70" s="179">
        <f>IF(COUNTIF(C70:G70,"&gt;0")=0,"",R70/SUM($R$70:$R$79))</f>
        <v>0.1335086295873299</v>
      </c>
      <c r="U70" s="185" t="str">
        <f>IF(OR(C70="",H70=""),"",_xlfn.CONCAT(C70," (",TEXT(H70,"0.0000"),")"))</f>
        <v>4 (0.2231)</v>
      </c>
      <c r="V70" s="185" t="str">
        <f>IF(OR(D70="",I70=""),"",_xlfn.CONCAT(D70," (",TEXT(I70,"0.0000"),")"))</f>
        <v>4 (0.1963)</v>
      </c>
      <c r="W70" s="185" t="str">
        <f>IF(OR(E70="",J70=""),"",_xlfn.CONCAT(E70," (",TEXT(J70,"0.0000"),")"))</f>
        <v>4 (0.4076)</v>
      </c>
      <c r="X70" s="185" t="str">
        <f>IF(OR(F70="",K70=""),"",_xlfn.CONCAT(F70," (",TEXT(K70,"0.0000"),")"))</f>
        <v>3 (0.2044)</v>
      </c>
      <c r="Y70" s="185" t="str">
        <f>IF(OR(G70="",L70=""),"",_xlfn.CONCAT(G70," (",TEXT(L70,"0.0000"),")"))</f>
        <v>3 (0.1915)</v>
      </c>
    </row>
    <row r="71" spans="1:25" ht="18" customHeight="1" x14ac:dyDescent="0.15">
      <c r="A71" s="168">
        <v>2</v>
      </c>
      <c r="B71" s="187" t="str">
        <v>Shared Persistency</v>
      </c>
      <c r="C71" s="183">
        <f>IFERROR(IF(INDEX('1.4 EA Smell Scoring'!$D$9:$H$18,MATCH($B71,'1.4 EA Smell Scoring'!$C$9:$C$18,0),MATCH(C$69,'1.4 EA Smell Scoring'!$D$8:$H$8,0))=0,"",INDEX('1.4 EA Smell Scoring'!$D$9:$H$18,MATCH($B71,'1.4 EA Smell Scoring'!$C$9:$C$18,0),MATCH(C$69,'1.4 EA Smell Scoring'!$D$8:$H$8,0))),"")</f>
        <v>5</v>
      </c>
      <c r="D71" s="183">
        <f>IFERROR(IF(INDEX('1.4 EA Smell Scoring'!$D$9:$H$18,MATCH($B71,'1.4 EA Smell Scoring'!$C$9:$C$18,0),MATCH(D$69,'1.4 EA Smell Scoring'!$D$8:$H$8,0))=0,"",INDEX('1.4 EA Smell Scoring'!$D$9:$H$18,MATCH($B71,'1.4 EA Smell Scoring'!$C$9:$C$18,0),MATCH(D$69,'1.4 EA Smell Scoring'!$D$8:$H$8,0))),"")</f>
        <v>3</v>
      </c>
      <c r="E71" s="183">
        <f>IFERROR(IF(INDEX('1.4 EA Smell Scoring'!$D$9:$H$18,MATCH($B71,'1.4 EA Smell Scoring'!$C$9:$C$18,0),MATCH(E$69,'1.4 EA Smell Scoring'!$D$8:$H$8,0))=0,"",INDEX('1.4 EA Smell Scoring'!$D$9:$H$18,MATCH($B71,'1.4 EA Smell Scoring'!$C$9:$C$18,0),MATCH(E$69,'1.4 EA Smell Scoring'!$D$8:$H$8,0))),"")</f>
        <v>5</v>
      </c>
      <c r="F71" s="183">
        <f>IFERROR(IF(INDEX('1.4 EA Smell Scoring'!$D$9:$H$18,MATCH($B71,'1.4 EA Smell Scoring'!$C$9:$C$18,0),MATCH(F$69,'1.4 EA Smell Scoring'!$D$8:$H$8,0))=0,"",INDEX('1.4 EA Smell Scoring'!$D$9:$H$18,MATCH($B71,'1.4 EA Smell Scoring'!$C$9:$C$18,0),MATCH(F$69,'1.4 EA Smell Scoring'!$D$8:$H$8,0))),"")</f>
        <v>4</v>
      </c>
      <c r="G71" s="183">
        <f>IFERROR(IF(INDEX('1.4 EA Smell Scoring'!$D$9:$H$18,MATCH($B71,'1.4 EA Smell Scoring'!$C$9:$C$18,0),MATCH(G$69,'1.4 EA Smell Scoring'!$D$8:$H$8,0))=0,"",INDEX('1.4 EA Smell Scoring'!$D$9:$H$18,MATCH($B71,'1.4 EA Smell Scoring'!$C$9:$C$18,0),MATCH(G$69,'1.4 EA Smell Scoring'!$D$8:$H$8,0))),"")</f>
        <v>4</v>
      </c>
      <c r="H71" s="184">
        <f>IF(C71="","",IFERROR(_xlfn.XLOOKUP("L"&amp;C71,'1.6 IP Calculations'!$B$26:$B$30,'1.6 IP Calculations'!$D$26:$D$30),""))</f>
        <v>8.5534816047010409E-2</v>
      </c>
      <c r="I71" s="184">
        <f>IF($D71="","",IFERROR(_xlfn.XLOOKUP("L"&amp;$D71,'1.6 IP Calculations'!$L$26:$L$30,'1.6 IP Calculations'!$N$26:$N$30),""))</f>
        <v>0.47573088037749484</v>
      </c>
      <c r="J71" s="184">
        <f>IF(E71="","",IFERROR(_xlfn.XLOOKUP("L"&amp;E71,'1.6 IP Calculations'!$V$26:$V$30,'1.6 IP Calculations'!$X$26:$X$30),""))</f>
        <v>1</v>
      </c>
      <c r="K71" s="184">
        <f>IF(F71="","",IFERROR(_xlfn.XLOOKUP("L"&amp;F71,'1.6 IP Calculations'!$AG$26:$AG$30,'1.6 IP Calculations'!$AI$26:$AI$30),""))</f>
        <v>0.5362189227622649</v>
      </c>
      <c r="L71" s="184">
        <f>IF(G71="","",IFERROR(_xlfn.XLOOKUP("L"&amp;G71,'1.6 IP Calculations'!$AQ$26:$AQ$30,'1.6 IP Calculations'!$AS$26:$AS$30),""))</f>
        <v>0.54226591791739931</v>
      </c>
      <c r="M71" s="188">
        <f t="shared" ref="M71:M79" si="2">IF(H71="","",H71*$E$60)</f>
        <v>2.1383704011752602E-2</v>
      </c>
      <c r="N71" s="188">
        <f t="shared" ref="N71:N79" si="3">IF(I71="","",I71*$E$61)</f>
        <v>0.11893272009437371</v>
      </c>
      <c r="O71" s="188">
        <f t="shared" ref="O71:O79" si="4">IF(J71="","",J71*$E$62)</f>
        <v>0.16666666666666666</v>
      </c>
      <c r="P71" s="188">
        <f t="shared" ref="P71:P79" si="5">IF(K71="","",K71*$E$63)</f>
        <v>8.9369820460377475E-2</v>
      </c>
      <c r="Q71" s="188">
        <f t="shared" ref="Q71:Q79" si="6">IF(L71="","",L71*$E$64)</f>
        <v>9.0377652986233209E-2</v>
      </c>
      <c r="R71" s="184">
        <f t="shared" si="0"/>
        <v>0.48673056421940364</v>
      </c>
      <c r="S71" s="183">
        <f t="shared" si="1"/>
        <v>2</v>
      </c>
      <c r="T71" s="179">
        <f t="shared" ref="T71:T79" si="7">IF(COUNTIF(C71:G71,"&gt;0")=0,"",R71/SUM($R$70:$R$79))</f>
        <v>0.27215695786954236</v>
      </c>
      <c r="U71" s="185" t="str">
        <f t="shared" ref="U71:Y79" si="8">IF(OR(C71="",H71=""),"",_xlfn.CONCAT(C71," (",TEXT(H71,"0.0000"),")"))</f>
        <v>5 (0.0855)</v>
      </c>
      <c r="V71" s="185" t="str">
        <f t="shared" si="8"/>
        <v>3 (0.4757)</v>
      </c>
      <c r="W71" s="185" t="str">
        <f t="shared" si="8"/>
        <v>5 (1.0000)</v>
      </c>
      <c r="X71" s="185" t="str">
        <f t="shared" si="8"/>
        <v>4 (0.5362)</v>
      </c>
      <c r="Y71" s="185" t="str">
        <f t="shared" si="8"/>
        <v>4 (0.5423)</v>
      </c>
    </row>
    <row r="72" spans="1:25" ht="18" customHeight="1" x14ac:dyDescent="0.15">
      <c r="A72" s="168">
        <v>3</v>
      </c>
      <c r="B72" s="187" t="str">
        <v>Feature Envy</v>
      </c>
      <c r="C72" s="183">
        <f>IFERROR(IF(INDEX('1.4 EA Smell Scoring'!$D$9:$H$18,MATCH($B72,'1.4 EA Smell Scoring'!$C$9:$C$18,0),MATCH(C$69,'1.4 EA Smell Scoring'!$D$8:$H$8,0))=0,"",INDEX('1.4 EA Smell Scoring'!$D$9:$H$18,MATCH($B72,'1.4 EA Smell Scoring'!$C$9:$C$18,0),MATCH(C$69,'1.4 EA Smell Scoring'!$D$8:$H$8,0))),"")</f>
        <v>3</v>
      </c>
      <c r="D72" s="183">
        <f>IFERROR(IF(INDEX('1.4 EA Smell Scoring'!$D$9:$H$18,MATCH($B72,'1.4 EA Smell Scoring'!$C$9:$C$18,0),MATCH(D$69,'1.4 EA Smell Scoring'!$D$8:$H$8,0))=0,"",INDEX('1.4 EA Smell Scoring'!$D$9:$H$18,MATCH($B72,'1.4 EA Smell Scoring'!$C$9:$C$18,0),MATCH(D$69,'1.4 EA Smell Scoring'!$D$8:$H$8,0))),"")</f>
        <v>3</v>
      </c>
      <c r="E72" s="183">
        <f>IFERROR(IF(INDEX('1.4 EA Smell Scoring'!$D$9:$H$18,MATCH($B72,'1.4 EA Smell Scoring'!$C$9:$C$18,0),MATCH(E$69,'1.4 EA Smell Scoring'!$D$8:$H$8,0))=0,"",INDEX('1.4 EA Smell Scoring'!$D$9:$H$18,MATCH($B72,'1.4 EA Smell Scoring'!$C$9:$C$18,0),MATCH(E$69,'1.4 EA Smell Scoring'!$D$8:$H$8,0))),"")</f>
        <v>3</v>
      </c>
      <c r="F72" s="183">
        <f>IFERROR(IF(INDEX('1.4 EA Smell Scoring'!$D$9:$H$18,MATCH($B72,'1.4 EA Smell Scoring'!$C$9:$C$18,0),MATCH(F$69,'1.4 EA Smell Scoring'!$D$8:$H$8,0))=0,"",INDEX('1.4 EA Smell Scoring'!$D$9:$H$18,MATCH($B72,'1.4 EA Smell Scoring'!$C$9:$C$18,0),MATCH(F$69,'1.4 EA Smell Scoring'!$D$8:$H$8,0))),"")</f>
        <v>2</v>
      </c>
      <c r="G72" s="183">
        <f>IFERROR(IF(INDEX('1.4 EA Smell Scoring'!$D$9:$H$18,MATCH($B72,'1.4 EA Smell Scoring'!$C$9:$C$18,0),MATCH(G$69,'1.4 EA Smell Scoring'!$D$8:$H$8,0))=0,"",INDEX('1.4 EA Smell Scoring'!$D$9:$H$18,MATCH($B72,'1.4 EA Smell Scoring'!$C$9:$C$18,0),MATCH(G$69,'1.4 EA Smell Scoring'!$D$8:$H$8,0))),"")</f>
        <v>2</v>
      </c>
      <c r="H72" s="184">
        <f>IF(C72="","",IFERROR(_xlfn.XLOOKUP("L"&amp;C72,'1.6 IP Calculations'!$B$26:$B$30,'1.6 IP Calculations'!$D$26:$D$30),""))</f>
        <v>0.34263523973481935</v>
      </c>
      <c r="I72" s="184">
        <f>IF($D72="","",IFERROR(_xlfn.XLOOKUP("L"&amp;$D72,'1.6 IP Calculations'!$L$26:$L$30,'1.6 IP Calculations'!$N$26:$N$30),""))</f>
        <v>0.47573088037749484</v>
      </c>
      <c r="J72" s="184">
        <f>IF(E72="","",IFERROR(_xlfn.XLOOKUP("L"&amp;E72,'1.6 IP Calculations'!$V$26:$V$30,'1.6 IP Calculations'!$X$26:$X$30),""))</f>
        <v>0.15959482588812723</v>
      </c>
      <c r="K72" s="184">
        <f>IF(F72="","",IFERROR(_xlfn.XLOOKUP("L"&amp;F72,'1.6 IP Calculations'!$AG$26:$AG$30,'1.6 IP Calculations'!$AI$26:$AI$30),""))</f>
        <v>0.11414867794803181</v>
      </c>
      <c r="L72" s="184">
        <f>IF(G72="","",IFERROR(_xlfn.XLOOKUP("L"&amp;G72,'1.6 IP Calculations'!$AQ$26:$AQ$30,'1.6 IP Calculations'!$AS$26:$AS$30),""))</f>
        <v>8.7469293011482249E-2</v>
      </c>
      <c r="M72" s="188">
        <f t="shared" si="2"/>
        <v>8.5658809933704838E-2</v>
      </c>
      <c r="N72" s="188">
        <f t="shared" si="3"/>
        <v>0.11893272009437371</v>
      </c>
      <c r="O72" s="188">
        <f t="shared" si="4"/>
        <v>2.6599137648021205E-2</v>
      </c>
      <c r="P72" s="188">
        <f t="shared" si="5"/>
        <v>1.9024779658005302E-2</v>
      </c>
      <c r="Q72" s="188">
        <f t="shared" si="6"/>
        <v>1.4578215501913707E-2</v>
      </c>
      <c r="R72" s="184">
        <f t="shared" si="0"/>
        <v>0.26479366283601874</v>
      </c>
      <c r="S72" s="183">
        <f t="shared" si="1"/>
        <v>4</v>
      </c>
      <c r="T72" s="179">
        <f t="shared" si="7"/>
        <v>0.14806022682417619</v>
      </c>
      <c r="U72" s="185" t="str">
        <f t="shared" si="8"/>
        <v>3 (0.3426)</v>
      </c>
      <c r="V72" s="185" t="str">
        <f t="shared" si="8"/>
        <v>3 (0.4757)</v>
      </c>
      <c r="W72" s="185" t="str">
        <f t="shared" si="8"/>
        <v>3 (0.1596)</v>
      </c>
      <c r="X72" s="185" t="str">
        <f t="shared" si="8"/>
        <v>2 (0.1141)</v>
      </c>
      <c r="Y72" s="185" t="str">
        <f t="shared" si="8"/>
        <v>2 (0.0875)</v>
      </c>
    </row>
    <row r="73" spans="1:25" ht="18" customHeight="1" x14ac:dyDescent="0.15">
      <c r="A73" s="168">
        <v>4</v>
      </c>
      <c r="B73" s="187" t="str">
        <v>Stovepipe System</v>
      </c>
      <c r="C73" s="183">
        <f>IFERROR(IF(INDEX('1.4 EA Smell Scoring'!$D$9:$H$18,MATCH($B73,'1.4 EA Smell Scoring'!$C$9:$C$18,0),MATCH(C$69,'1.4 EA Smell Scoring'!$D$8:$H$8,0))=0,"",INDEX('1.4 EA Smell Scoring'!$D$9:$H$18,MATCH($B73,'1.4 EA Smell Scoring'!$C$9:$C$18,0),MATCH(C$69,'1.4 EA Smell Scoring'!$D$8:$H$8,0))),"")</f>
        <v>4</v>
      </c>
      <c r="D73" s="183">
        <f>IFERROR(IF(INDEX('1.4 EA Smell Scoring'!$D$9:$H$18,MATCH($B73,'1.4 EA Smell Scoring'!$C$9:$C$18,0),MATCH(D$69,'1.4 EA Smell Scoring'!$D$8:$H$8,0))=0,"",INDEX('1.4 EA Smell Scoring'!$D$9:$H$18,MATCH($B73,'1.4 EA Smell Scoring'!$C$9:$C$18,0),MATCH(D$69,'1.4 EA Smell Scoring'!$D$8:$H$8,0))),"")</f>
        <v>4</v>
      </c>
      <c r="E73" s="183">
        <f>IFERROR(IF(INDEX('1.4 EA Smell Scoring'!$D$9:$H$18,MATCH($B73,'1.4 EA Smell Scoring'!$C$9:$C$18,0),MATCH(E$69,'1.4 EA Smell Scoring'!$D$8:$H$8,0))=0,"",INDEX('1.4 EA Smell Scoring'!$D$9:$H$18,MATCH($B73,'1.4 EA Smell Scoring'!$C$9:$C$18,0),MATCH(E$69,'1.4 EA Smell Scoring'!$D$8:$H$8,0))),"")</f>
        <v>4</v>
      </c>
      <c r="F73" s="183">
        <f>IFERROR(IF(INDEX('1.4 EA Smell Scoring'!$D$9:$H$18,MATCH($B73,'1.4 EA Smell Scoring'!$C$9:$C$18,0),MATCH(F$69,'1.4 EA Smell Scoring'!$D$8:$H$8,0))=0,"",INDEX('1.4 EA Smell Scoring'!$D$9:$H$18,MATCH($B73,'1.4 EA Smell Scoring'!$C$9:$C$18,0),MATCH(F$69,'1.4 EA Smell Scoring'!$D$8:$H$8,0))),"")</f>
        <v>3</v>
      </c>
      <c r="G73" s="183">
        <f>IFERROR(IF(INDEX('1.4 EA Smell Scoring'!$D$9:$H$18,MATCH($B73,'1.4 EA Smell Scoring'!$C$9:$C$18,0),MATCH(G$69,'1.4 EA Smell Scoring'!$D$8:$H$8,0))=0,"",INDEX('1.4 EA Smell Scoring'!$D$9:$H$18,MATCH($B73,'1.4 EA Smell Scoring'!$C$9:$C$18,0),MATCH(G$69,'1.4 EA Smell Scoring'!$D$8:$H$8,0))),"")</f>
        <v>4</v>
      </c>
      <c r="H73" s="184">
        <f>IF(C73="","",IFERROR(_xlfn.XLOOKUP("L"&amp;C73,'1.6 IP Calculations'!$B$26:$B$30,'1.6 IP Calculations'!$D$26:$D$30),""))</f>
        <v>0.22309669001715018</v>
      </c>
      <c r="I73" s="184">
        <f>IF($D73="","",IFERROR(_xlfn.XLOOKUP("L"&amp;$D73,'1.6 IP Calculations'!$L$26:$L$30,'1.6 IP Calculations'!$N$26:$N$30),""))</f>
        <v>0.19626433492283854</v>
      </c>
      <c r="J73" s="184">
        <f>IF(E73="","",IFERROR(_xlfn.XLOOKUP("L"&amp;E73,'1.6 IP Calculations'!$V$26:$V$30,'1.6 IP Calculations'!$X$26:$X$30),""))</f>
        <v>0.40764892884380116</v>
      </c>
      <c r="K73" s="184">
        <f>IF(F73="","",IFERROR(_xlfn.XLOOKUP("L"&amp;F73,'1.6 IP Calculations'!$AG$26:$AG$30,'1.6 IP Calculations'!$AI$26:$AI$30),""))</f>
        <v>0.20441776208938081</v>
      </c>
      <c r="L73" s="184">
        <f>IF(G73="","",IFERROR(_xlfn.XLOOKUP("L"&amp;G73,'1.6 IP Calculations'!$AQ$26:$AQ$30,'1.6 IP Calculations'!$AS$26:$AS$30),""))</f>
        <v>0.54226591791739931</v>
      </c>
      <c r="M73" s="188">
        <f t="shared" si="2"/>
        <v>5.5774172504287546E-2</v>
      </c>
      <c r="N73" s="188">
        <f t="shared" si="3"/>
        <v>4.9066083730709635E-2</v>
      </c>
      <c r="O73" s="188">
        <f t="shared" si="4"/>
        <v>6.7941488140633527E-2</v>
      </c>
      <c r="P73" s="188">
        <f t="shared" si="5"/>
        <v>3.4069627014896797E-2</v>
      </c>
      <c r="Q73" s="188">
        <f t="shared" si="6"/>
        <v>9.0377652986233209E-2</v>
      </c>
      <c r="R73" s="184">
        <f t="shared" si="0"/>
        <v>0.29722902437676069</v>
      </c>
      <c r="S73" s="183">
        <f t="shared" si="1"/>
        <v>3</v>
      </c>
      <c r="T73" s="179">
        <f t="shared" si="7"/>
        <v>0.16619656337925617</v>
      </c>
      <c r="U73" s="185" t="str">
        <f t="shared" si="8"/>
        <v>4 (0.2231)</v>
      </c>
      <c r="V73" s="185" t="str">
        <f t="shared" si="8"/>
        <v>4 (0.1963)</v>
      </c>
      <c r="W73" s="185" t="str">
        <f t="shared" si="8"/>
        <v>4 (0.4076)</v>
      </c>
      <c r="X73" s="185" t="str">
        <f t="shared" si="8"/>
        <v>3 (0.2044)</v>
      </c>
      <c r="Y73" s="185" t="str">
        <f t="shared" si="8"/>
        <v>4 (0.5423)</v>
      </c>
    </row>
    <row r="74" spans="1:25" ht="18" customHeight="1" x14ac:dyDescent="0.15">
      <c r="A74" s="168">
        <v>5</v>
      </c>
      <c r="B74" s="187" t="str">
        <v>Vendor Lock-In</v>
      </c>
      <c r="C74" s="183">
        <f>IFERROR(IF(INDEX('1.4 EA Smell Scoring'!$D$9:$H$18,MATCH($B74,'1.4 EA Smell Scoring'!$C$9:$C$18,0),MATCH(C$69,'1.4 EA Smell Scoring'!$D$8:$H$8,0))=0,"",INDEX('1.4 EA Smell Scoring'!$D$9:$H$18,MATCH($B74,'1.4 EA Smell Scoring'!$C$9:$C$18,0),MATCH(C$69,'1.4 EA Smell Scoring'!$D$8:$H$8,0))),"")</f>
        <v>4</v>
      </c>
      <c r="D74" s="183">
        <f>IFERROR(IF(INDEX('1.4 EA Smell Scoring'!$D$9:$H$18,MATCH($B74,'1.4 EA Smell Scoring'!$C$9:$C$18,0),MATCH(D$69,'1.4 EA Smell Scoring'!$D$8:$H$8,0))=0,"",INDEX('1.4 EA Smell Scoring'!$D$9:$H$18,MATCH($B74,'1.4 EA Smell Scoring'!$C$9:$C$18,0),MATCH(D$69,'1.4 EA Smell Scoring'!$D$8:$H$8,0))),"")</f>
        <v>5</v>
      </c>
      <c r="E74" s="183">
        <f>IFERROR(IF(INDEX('1.4 EA Smell Scoring'!$D$9:$H$18,MATCH($B74,'1.4 EA Smell Scoring'!$C$9:$C$18,0),MATCH(E$69,'1.4 EA Smell Scoring'!$D$8:$H$8,0))=0,"",INDEX('1.4 EA Smell Scoring'!$D$9:$H$18,MATCH($B74,'1.4 EA Smell Scoring'!$C$9:$C$18,0),MATCH(E$69,'1.4 EA Smell Scoring'!$D$8:$H$8,0))),"")</f>
        <v>5</v>
      </c>
      <c r="F74" s="183">
        <f>IFERROR(IF(INDEX('1.4 EA Smell Scoring'!$D$9:$H$18,MATCH($B74,'1.4 EA Smell Scoring'!$C$9:$C$18,0),MATCH(F$69,'1.4 EA Smell Scoring'!$D$8:$H$8,0))=0,"",INDEX('1.4 EA Smell Scoring'!$D$9:$H$18,MATCH($B74,'1.4 EA Smell Scoring'!$C$9:$C$18,0),MATCH(F$69,'1.4 EA Smell Scoring'!$D$8:$H$8,0))),"")</f>
        <v>5</v>
      </c>
      <c r="G74" s="183">
        <f>IFERROR(IF(INDEX('1.4 EA Smell Scoring'!$D$9:$H$18,MATCH($B74,'1.4 EA Smell Scoring'!$C$9:$C$18,0),MATCH(G$69,'1.4 EA Smell Scoring'!$D$8:$H$8,0))=0,"",INDEX('1.4 EA Smell Scoring'!$D$9:$H$18,MATCH($B74,'1.4 EA Smell Scoring'!$C$9:$C$18,0),MATCH(G$69,'1.4 EA Smell Scoring'!$D$8:$H$8,0))),"")</f>
        <v>4</v>
      </c>
      <c r="H74" s="184">
        <f>IF(C74="","",IFERROR(_xlfn.XLOOKUP("L"&amp;C74,'1.6 IP Calculations'!$B$26:$B$30,'1.6 IP Calculations'!$D$26:$D$30),""))</f>
        <v>0.22309669001715018</v>
      </c>
      <c r="I74" s="184">
        <f>IF($D74="","",IFERROR(_xlfn.XLOOKUP("L"&amp;$D74,'1.6 IP Calculations'!$L$26:$L$30,'1.6 IP Calculations'!$N$26:$N$30),""))</f>
        <v>8.5643476075709837E-2</v>
      </c>
      <c r="J74" s="184">
        <f>IF(E74="","",IFERROR(_xlfn.XLOOKUP("L"&amp;E74,'1.6 IP Calculations'!$V$26:$V$30,'1.6 IP Calculations'!$X$26:$X$30),""))</f>
        <v>1</v>
      </c>
      <c r="K74" s="184">
        <f>IF(F74="","",IFERROR(_xlfn.XLOOKUP("L"&amp;F74,'1.6 IP Calculations'!$AG$26:$AG$30,'1.6 IP Calculations'!$AI$26:$AI$30),""))</f>
        <v>1</v>
      </c>
      <c r="L74" s="184">
        <f>IF(G74="","",IFERROR(_xlfn.XLOOKUP("L"&amp;G74,'1.6 IP Calculations'!$AQ$26:$AQ$30,'1.6 IP Calculations'!$AS$26:$AS$30),""))</f>
        <v>0.54226591791739931</v>
      </c>
      <c r="M74" s="188">
        <f t="shared" si="2"/>
        <v>5.5774172504287546E-2</v>
      </c>
      <c r="N74" s="188">
        <f t="shared" si="3"/>
        <v>2.1410869018927459E-2</v>
      </c>
      <c r="O74" s="188">
        <f t="shared" si="4"/>
        <v>0.16666666666666666</v>
      </c>
      <c r="P74" s="188">
        <f t="shared" si="5"/>
        <v>0.16666666666666666</v>
      </c>
      <c r="Q74" s="188">
        <f t="shared" si="6"/>
        <v>9.0377652986233209E-2</v>
      </c>
      <c r="R74" s="184">
        <f t="shared" si="0"/>
        <v>0.50089602784278153</v>
      </c>
      <c r="S74" s="183">
        <f t="shared" si="1"/>
        <v>1</v>
      </c>
      <c r="T74" s="179">
        <f t="shared" si="7"/>
        <v>0.28007762233969546</v>
      </c>
      <c r="U74" s="185" t="str">
        <f t="shared" si="8"/>
        <v>4 (0.2231)</v>
      </c>
      <c r="V74" s="185" t="str">
        <f t="shared" si="8"/>
        <v>5 (0.0856)</v>
      </c>
      <c r="W74" s="185" t="str">
        <f t="shared" si="8"/>
        <v>5 (1.0000)</v>
      </c>
      <c r="X74" s="185" t="str">
        <f t="shared" si="8"/>
        <v>5 (1.0000)</v>
      </c>
      <c r="Y74" s="185" t="str">
        <f t="shared" si="8"/>
        <v>4 (0.5423)</v>
      </c>
    </row>
    <row r="75" spans="1:25" ht="18" customHeight="1" x14ac:dyDescent="0.15">
      <c r="A75" s="168">
        <v>6</v>
      </c>
      <c r="B75" s="187"/>
      <c r="C75" s="183" t="str">
        <f>IFERROR(IF(INDEX('1.4 EA Smell Scoring'!$D$9:$H$18,MATCH($B75,'1.4 EA Smell Scoring'!$C$9:$C$18,0),MATCH(C$69,'1.4 EA Smell Scoring'!$D$8:$H$8,0))=0,"",INDEX('1.4 EA Smell Scoring'!$D$9:$H$18,MATCH($B75,'1.4 EA Smell Scoring'!$C$9:$C$18,0),MATCH(C$69,'1.4 EA Smell Scoring'!$D$8:$H$8,0))),"")</f>
        <v/>
      </c>
      <c r="D75" s="183" t="str">
        <f>IFERROR(IF(INDEX('1.4 EA Smell Scoring'!$D$9:$H$18,MATCH($B75,'1.4 EA Smell Scoring'!$C$9:$C$18,0),MATCH(D$69,'1.4 EA Smell Scoring'!$D$8:$H$8,0))=0,"",INDEX('1.4 EA Smell Scoring'!$D$9:$H$18,MATCH($B75,'1.4 EA Smell Scoring'!$C$9:$C$18,0),MATCH(D$69,'1.4 EA Smell Scoring'!$D$8:$H$8,0))),"")</f>
        <v/>
      </c>
      <c r="E75" s="183" t="str">
        <f>IFERROR(IF(INDEX('1.4 EA Smell Scoring'!$D$9:$H$18,MATCH($B75,'1.4 EA Smell Scoring'!$C$9:$C$18,0),MATCH(E$69,'1.4 EA Smell Scoring'!$D$8:$H$8,0))=0,"",INDEX('1.4 EA Smell Scoring'!$D$9:$H$18,MATCH($B75,'1.4 EA Smell Scoring'!$C$9:$C$18,0),MATCH(E$69,'1.4 EA Smell Scoring'!$D$8:$H$8,0))),"")</f>
        <v/>
      </c>
      <c r="F75" s="183" t="str">
        <f>IFERROR(IF(INDEX('1.4 EA Smell Scoring'!$D$9:$H$18,MATCH($B75,'1.4 EA Smell Scoring'!$C$9:$C$18,0),MATCH(F$69,'1.4 EA Smell Scoring'!$D$8:$H$8,0))=0,"",INDEX('1.4 EA Smell Scoring'!$D$9:$H$18,MATCH($B75,'1.4 EA Smell Scoring'!$C$9:$C$18,0),MATCH(F$69,'1.4 EA Smell Scoring'!$D$8:$H$8,0))),"")</f>
        <v/>
      </c>
      <c r="G75" s="183" t="str">
        <f>IFERROR(IF(INDEX('1.4 EA Smell Scoring'!$D$9:$H$18,MATCH($B75,'1.4 EA Smell Scoring'!$C$9:$C$18,0),MATCH(G$69,'1.4 EA Smell Scoring'!$D$8:$H$8,0))=0,"",INDEX('1.4 EA Smell Scoring'!$D$9:$H$18,MATCH($B75,'1.4 EA Smell Scoring'!$C$9:$C$18,0),MATCH(G$69,'1.4 EA Smell Scoring'!$D$8:$H$8,0))),"")</f>
        <v/>
      </c>
      <c r="H75" s="186" t="str">
        <f>IF(C75="","",IFERROR(_xlfn.XLOOKUP("L"&amp;C75,'1.6 IP Calculations'!$B$26:$B$30,'1.6 IP Calculations'!$D$26:$D$30),""))</f>
        <v/>
      </c>
      <c r="I75" s="184" t="str">
        <f>IF($D75="","",IFERROR(_xlfn.XLOOKUP("L"&amp;$D75,'1.6 IP Calculations'!$L$26:$L$30,'1.6 IP Calculations'!$N$26:$N$30),""))</f>
        <v/>
      </c>
      <c r="J75" s="184" t="str">
        <f>IF(E75="","",IFERROR(_xlfn.XLOOKUP("L"&amp;E75,'1.6 IP Calculations'!$V$26:$V$30,'1.6 IP Calculations'!$X$26:$X$30),""))</f>
        <v/>
      </c>
      <c r="K75" s="184" t="str">
        <f>IF(F75="","",IFERROR(_xlfn.XLOOKUP("L"&amp;F75,'1.6 IP Calculations'!$AG$26:$AG$30,'1.6 IP Calculations'!$AI$26:$AI$30),""))</f>
        <v/>
      </c>
      <c r="L75" s="184" t="str">
        <f>IF(G75="","",IFERROR(_xlfn.XLOOKUP("L"&amp;G75,'1.6 IP Calculations'!$AQ$26:$AQ$30,'1.6 IP Calculations'!$AS$26:$AS$30),""))</f>
        <v/>
      </c>
      <c r="M75" s="188" t="str">
        <f t="shared" si="2"/>
        <v/>
      </c>
      <c r="N75" s="188" t="str">
        <f t="shared" si="3"/>
        <v/>
      </c>
      <c r="O75" s="188" t="str">
        <f t="shared" si="4"/>
        <v/>
      </c>
      <c r="P75" s="188" t="str">
        <f t="shared" si="5"/>
        <v/>
      </c>
      <c r="Q75" s="188" t="str">
        <f t="shared" si="6"/>
        <v/>
      </c>
      <c r="R75" s="184" t="str">
        <f t="shared" si="0"/>
        <v/>
      </c>
      <c r="S75" s="183" t="str">
        <f t="shared" si="1"/>
        <v/>
      </c>
      <c r="T75" s="179" t="str">
        <f t="shared" si="7"/>
        <v/>
      </c>
      <c r="U75" s="185" t="str">
        <f t="shared" si="8"/>
        <v/>
      </c>
      <c r="V75" s="185" t="str">
        <f t="shared" si="8"/>
        <v/>
      </c>
      <c r="W75" s="185" t="str">
        <f t="shared" si="8"/>
        <v/>
      </c>
      <c r="X75" s="185" t="str">
        <f t="shared" si="8"/>
        <v/>
      </c>
      <c r="Y75" s="185" t="str">
        <f t="shared" si="8"/>
        <v/>
      </c>
    </row>
    <row r="76" spans="1:25" ht="18" customHeight="1" x14ac:dyDescent="0.15">
      <c r="A76" s="168">
        <v>7</v>
      </c>
      <c r="B76" s="187"/>
      <c r="C76" s="183" t="str">
        <f>IFERROR(IF(INDEX('1.4 EA Smell Scoring'!$D$9:$H$18,MATCH($B76,'1.4 EA Smell Scoring'!$C$9:$C$18,0),MATCH(C$69,'1.4 EA Smell Scoring'!$D$8:$H$8,0))=0,"",INDEX('1.4 EA Smell Scoring'!$D$9:$H$18,MATCH($B76,'1.4 EA Smell Scoring'!$C$9:$C$18,0),MATCH(C$69,'1.4 EA Smell Scoring'!$D$8:$H$8,0))),"")</f>
        <v/>
      </c>
      <c r="D76" s="183" t="str">
        <f>IFERROR(IF(INDEX('1.4 EA Smell Scoring'!$D$9:$H$18,MATCH($B76,'1.4 EA Smell Scoring'!$C$9:$C$18,0),MATCH(D$69,'1.4 EA Smell Scoring'!$D$8:$H$8,0))=0,"",INDEX('1.4 EA Smell Scoring'!$D$9:$H$18,MATCH($B76,'1.4 EA Smell Scoring'!$C$9:$C$18,0),MATCH(D$69,'1.4 EA Smell Scoring'!$D$8:$H$8,0))),"")</f>
        <v/>
      </c>
      <c r="E76" s="183" t="str">
        <f>IFERROR(IF(INDEX('1.4 EA Smell Scoring'!$D$9:$H$18,MATCH($B76,'1.4 EA Smell Scoring'!$C$9:$C$18,0),MATCH(E$69,'1.4 EA Smell Scoring'!$D$8:$H$8,0))=0,"",INDEX('1.4 EA Smell Scoring'!$D$9:$H$18,MATCH($B76,'1.4 EA Smell Scoring'!$C$9:$C$18,0),MATCH(E$69,'1.4 EA Smell Scoring'!$D$8:$H$8,0))),"")</f>
        <v/>
      </c>
      <c r="F76" s="183" t="str">
        <f>IFERROR(IF(INDEX('1.4 EA Smell Scoring'!$D$9:$H$18,MATCH($B76,'1.4 EA Smell Scoring'!$C$9:$C$18,0),MATCH(F$69,'1.4 EA Smell Scoring'!$D$8:$H$8,0))=0,"",INDEX('1.4 EA Smell Scoring'!$D$9:$H$18,MATCH($B76,'1.4 EA Smell Scoring'!$C$9:$C$18,0),MATCH(F$69,'1.4 EA Smell Scoring'!$D$8:$H$8,0))),"")</f>
        <v/>
      </c>
      <c r="G76" s="183" t="str">
        <f>IFERROR(IF(INDEX('1.4 EA Smell Scoring'!$D$9:$H$18,MATCH($B76,'1.4 EA Smell Scoring'!$C$9:$C$18,0),MATCH(G$69,'1.4 EA Smell Scoring'!$D$8:$H$8,0))=0,"",INDEX('1.4 EA Smell Scoring'!$D$9:$H$18,MATCH($B76,'1.4 EA Smell Scoring'!$C$9:$C$18,0),MATCH(G$69,'1.4 EA Smell Scoring'!$D$8:$H$8,0))),"")</f>
        <v/>
      </c>
      <c r="H76" s="186" t="str">
        <f>IF(C76="","",IFERROR(_xlfn.XLOOKUP("L"&amp;C76,'1.6 IP Calculations'!$B$26:$B$30,'1.6 IP Calculations'!$D$26:$D$30),""))</f>
        <v/>
      </c>
      <c r="I76" s="184" t="str">
        <f>IF($D76="","",IFERROR(_xlfn.XLOOKUP("L"&amp;$D76,'1.6 IP Calculations'!$L$26:$L$30,'1.6 IP Calculations'!$N$26:$N$30),""))</f>
        <v/>
      </c>
      <c r="J76" s="184" t="str">
        <f>IF(E76="","",IFERROR(_xlfn.XLOOKUP("L"&amp;E76,'1.6 IP Calculations'!$V$26:$V$30,'1.6 IP Calculations'!$X$26:$X$30),""))</f>
        <v/>
      </c>
      <c r="K76" s="184" t="str">
        <f>IF(F76="","",IFERROR(_xlfn.XLOOKUP("L"&amp;F76,'1.6 IP Calculations'!$AG$26:$AG$30,'1.6 IP Calculations'!$AI$26:$AI$30),""))</f>
        <v/>
      </c>
      <c r="L76" s="184" t="str">
        <f>IF(G76="","",IFERROR(_xlfn.XLOOKUP("L"&amp;G76,'1.6 IP Calculations'!$AQ$26:$AQ$30,'1.6 IP Calculations'!$AS$26:$AS$30),""))</f>
        <v/>
      </c>
      <c r="M76" s="188" t="str">
        <f t="shared" si="2"/>
        <v/>
      </c>
      <c r="N76" s="188" t="str">
        <f t="shared" si="3"/>
        <v/>
      </c>
      <c r="O76" s="188" t="str">
        <f t="shared" si="4"/>
        <v/>
      </c>
      <c r="P76" s="188" t="str">
        <f t="shared" si="5"/>
        <v/>
      </c>
      <c r="Q76" s="188" t="str">
        <f t="shared" si="6"/>
        <v/>
      </c>
      <c r="R76" s="184" t="str">
        <f t="shared" si="0"/>
        <v/>
      </c>
      <c r="S76" s="183" t="str">
        <f t="shared" si="1"/>
        <v/>
      </c>
      <c r="T76" s="179" t="str">
        <f t="shared" si="7"/>
        <v/>
      </c>
      <c r="U76" s="185" t="str">
        <f t="shared" si="8"/>
        <v/>
      </c>
      <c r="V76" s="185" t="str">
        <f t="shared" si="8"/>
        <v/>
      </c>
      <c r="W76" s="185" t="str">
        <f t="shared" si="8"/>
        <v/>
      </c>
      <c r="X76" s="185" t="str">
        <f t="shared" si="8"/>
        <v/>
      </c>
      <c r="Y76" s="185" t="str">
        <f t="shared" si="8"/>
        <v/>
      </c>
    </row>
    <row r="77" spans="1:25" ht="18" customHeight="1" x14ac:dyDescent="0.15">
      <c r="A77" s="168">
        <v>8</v>
      </c>
      <c r="B77" s="187"/>
      <c r="C77" s="183" t="str">
        <f>IFERROR(IF(INDEX('1.4 EA Smell Scoring'!$D$9:$H$18,MATCH($B77,'1.4 EA Smell Scoring'!$C$9:$C$18,0),MATCH(C$69,'1.4 EA Smell Scoring'!$D$8:$H$8,0))=0,"",INDEX('1.4 EA Smell Scoring'!$D$9:$H$18,MATCH($B77,'1.4 EA Smell Scoring'!$C$9:$C$18,0),MATCH(C$69,'1.4 EA Smell Scoring'!$D$8:$H$8,0))),"")</f>
        <v/>
      </c>
      <c r="D77" s="183" t="str">
        <f>IFERROR(IF(INDEX('1.4 EA Smell Scoring'!$D$9:$H$18,MATCH($B77,'1.4 EA Smell Scoring'!$C$9:$C$18,0),MATCH(D$69,'1.4 EA Smell Scoring'!$D$8:$H$8,0))=0,"",INDEX('1.4 EA Smell Scoring'!$D$9:$H$18,MATCH($B77,'1.4 EA Smell Scoring'!$C$9:$C$18,0),MATCH(D$69,'1.4 EA Smell Scoring'!$D$8:$H$8,0))),"")</f>
        <v/>
      </c>
      <c r="E77" s="183" t="str">
        <f>IFERROR(IF(INDEX('1.4 EA Smell Scoring'!$D$9:$H$18,MATCH($B77,'1.4 EA Smell Scoring'!$C$9:$C$18,0),MATCH(E$69,'1.4 EA Smell Scoring'!$D$8:$H$8,0))=0,"",INDEX('1.4 EA Smell Scoring'!$D$9:$H$18,MATCH($B77,'1.4 EA Smell Scoring'!$C$9:$C$18,0),MATCH(E$69,'1.4 EA Smell Scoring'!$D$8:$H$8,0))),"")</f>
        <v/>
      </c>
      <c r="F77" s="183" t="str">
        <f>IFERROR(IF(INDEX('1.4 EA Smell Scoring'!$D$9:$H$18,MATCH($B77,'1.4 EA Smell Scoring'!$C$9:$C$18,0),MATCH(F$69,'1.4 EA Smell Scoring'!$D$8:$H$8,0))=0,"",INDEX('1.4 EA Smell Scoring'!$D$9:$H$18,MATCH($B77,'1.4 EA Smell Scoring'!$C$9:$C$18,0),MATCH(F$69,'1.4 EA Smell Scoring'!$D$8:$H$8,0))),"")</f>
        <v/>
      </c>
      <c r="G77" s="183" t="str">
        <f>IFERROR(IF(INDEX('1.4 EA Smell Scoring'!$D$9:$H$18,MATCH($B77,'1.4 EA Smell Scoring'!$C$9:$C$18,0),MATCH(G$69,'1.4 EA Smell Scoring'!$D$8:$H$8,0))=0,"",INDEX('1.4 EA Smell Scoring'!$D$9:$H$18,MATCH($B77,'1.4 EA Smell Scoring'!$C$9:$C$18,0),MATCH(G$69,'1.4 EA Smell Scoring'!$D$8:$H$8,0))),"")</f>
        <v/>
      </c>
      <c r="H77" s="186" t="str">
        <f>IF(C77="","",IFERROR(_xlfn.XLOOKUP("L"&amp;C77,'1.6 IP Calculations'!$B$26:$B$30,'1.6 IP Calculations'!$D$26:$D$30),""))</f>
        <v/>
      </c>
      <c r="I77" s="184" t="str">
        <f>IF($D77="","",IFERROR(_xlfn.XLOOKUP("L"&amp;$D77,'1.6 IP Calculations'!$L$26:$L$30,'1.6 IP Calculations'!$N$26:$N$30),""))</f>
        <v/>
      </c>
      <c r="J77" s="184" t="str">
        <f>IF(E77="","",IFERROR(_xlfn.XLOOKUP("L"&amp;E77,'1.6 IP Calculations'!$V$26:$V$30,'1.6 IP Calculations'!$X$26:$X$30),""))</f>
        <v/>
      </c>
      <c r="K77" s="184" t="str">
        <f>IF(F77="","",IFERROR(_xlfn.XLOOKUP("L"&amp;F77,'1.6 IP Calculations'!$AG$26:$AG$30,'1.6 IP Calculations'!$AI$26:$AI$30),""))</f>
        <v/>
      </c>
      <c r="L77" s="184" t="str">
        <f>IF(G77="","",IFERROR(_xlfn.XLOOKUP("L"&amp;G77,'1.6 IP Calculations'!$AQ$26:$AQ$30,'1.6 IP Calculations'!$AS$26:$AS$30),""))</f>
        <v/>
      </c>
      <c r="M77" s="188" t="str">
        <f t="shared" si="2"/>
        <v/>
      </c>
      <c r="N77" s="188" t="str">
        <f t="shared" si="3"/>
        <v/>
      </c>
      <c r="O77" s="188" t="str">
        <f t="shared" si="4"/>
        <v/>
      </c>
      <c r="P77" s="188" t="str">
        <f t="shared" si="5"/>
        <v/>
      </c>
      <c r="Q77" s="188" t="str">
        <f t="shared" si="6"/>
        <v/>
      </c>
      <c r="R77" s="184" t="str">
        <f t="shared" si="0"/>
        <v/>
      </c>
      <c r="S77" s="183" t="str">
        <f t="shared" si="1"/>
        <v/>
      </c>
      <c r="T77" s="179" t="str">
        <f t="shared" si="7"/>
        <v/>
      </c>
      <c r="U77" s="185" t="str">
        <f t="shared" si="8"/>
        <v/>
      </c>
      <c r="V77" s="185" t="str">
        <f t="shared" si="8"/>
        <v/>
      </c>
      <c r="W77" s="185" t="str">
        <f t="shared" si="8"/>
        <v/>
      </c>
      <c r="X77" s="185" t="str">
        <f t="shared" si="8"/>
        <v/>
      </c>
      <c r="Y77" s="185" t="str">
        <f t="shared" si="8"/>
        <v/>
      </c>
    </row>
    <row r="78" spans="1:25" ht="18" customHeight="1" x14ac:dyDescent="0.15">
      <c r="A78" s="168">
        <v>9</v>
      </c>
      <c r="B78" s="187"/>
      <c r="C78" s="183" t="str">
        <f>IFERROR(IF(INDEX('1.4 EA Smell Scoring'!$D$9:$H$18,MATCH($B78,'1.4 EA Smell Scoring'!$C$9:$C$18,0),MATCH(C$69,'1.4 EA Smell Scoring'!$D$8:$H$8,0))=0,"",INDEX('1.4 EA Smell Scoring'!$D$9:$H$18,MATCH($B78,'1.4 EA Smell Scoring'!$C$9:$C$18,0),MATCH(C$69,'1.4 EA Smell Scoring'!$D$8:$H$8,0))),"")</f>
        <v/>
      </c>
      <c r="D78" s="183" t="str">
        <f>IFERROR(IF(INDEX('1.4 EA Smell Scoring'!$D$9:$H$18,MATCH($B78,'1.4 EA Smell Scoring'!$C$9:$C$18,0),MATCH(D$69,'1.4 EA Smell Scoring'!$D$8:$H$8,0))=0,"",INDEX('1.4 EA Smell Scoring'!$D$9:$H$18,MATCH($B78,'1.4 EA Smell Scoring'!$C$9:$C$18,0),MATCH(D$69,'1.4 EA Smell Scoring'!$D$8:$H$8,0))),"")</f>
        <v/>
      </c>
      <c r="E78" s="183" t="str">
        <f>IFERROR(IF(INDEX('1.4 EA Smell Scoring'!$D$9:$H$18,MATCH($B78,'1.4 EA Smell Scoring'!$C$9:$C$18,0),MATCH(E$69,'1.4 EA Smell Scoring'!$D$8:$H$8,0))=0,"",INDEX('1.4 EA Smell Scoring'!$D$9:$H$18,MATCH($B78,'1.4 EA Smell Scoring'!$C$9:$C$18,0),MATCH(E$69,'1.4 EA Smell Scoring'!$D$8:$H$8,0))),"")</f>
        <v/>
      </c>
      <c r="F78" s="183" t="str">
        <f>IFERROR(IF(INDEX('1.4 EA Smell Scoring'!$D$9:$H$18,MATCH($B78,'1.4 EA Smell Scoring'!$C$9:$C$18,0),MATCH(F$69,'1.4 EA Smell Scoring'!$D$8:$H$8,0))=0,"",INDEX('1.4 EA Smell Scoring'!$D$9:$H$18,MATCH($B78,'1.4 EA Smell Scoring'!$C$9:$C$18,0),MATCH(F$69,'1.4 EA Smell Scoring'!$D$8:$H$8,0))),"")</f>
        <v/>
      </c>
      <c r="G78" s="183" t="str">
        <f>IFERROR(IF(INDEX('1.4 EA Smell Scoring'!$D$9:$H$18,MATCH($B78,'1.4 EA Smell Scoring'!$C$9:$C$18,0),MATCH(G$69,'1.4 EA Smell Scoring'!$D$8:$H$8,0))=0,"",INDEX('1.4 EA Smell Scoring'!$D$9:$H$18,MATCH($B78,'1.4 EA Smell Scoring'!$C$9:$C$18,0),MATCH(G$69,'1.4 EA Smell Scoring'!$D$8:$H$8,0))),"")</f>
        <v/>
      </c>
      <c r="H78" s="186" t="str">
        <f>IF(C78="","",IFERROR(_xlfn.XLOOKUP("L"&amp;C78,'1.6 IP Calculations'!$B$26:$B$30,'1.6 IP Calculations'!$D$26:$D$30),""))</f>
        <v/>
      </c>
      <c r="I78" s="184" t="str">
        <f>IF($D78="","",IFERROR(_xlfn.XLOOKUP("L"&amp;$D78,'1.6 IP Calculations'!$L$26:$L$30,'1.6 IP Calculations'!$N$26:$N$30),""))</f>
        <v/>
      </c>
      <c r="J78" s="184" t="str">
        <f>IF(E78="","",IFERROR(_xlfn.XLOOKUP("L"&amp;E78,'1.6 IP Calculations'!$V$26:$V$30,'1.6 IP Calculations'!$X$26:$X$30),""))</f>
        <v/>
      </c>
      <c r="K78" s="184" t="str">
        <f>IF(F78="","",IFERROR(_xlfn.XLOOKUP("L"&amp;F78,'1.6 IP Calculations'!$AG$26:$AG$30,'1.6 IP Calculations'!$AI$26:$AI$30),""))</f>
        <v/>
      </c>
      <c r="L78" s="184" t="str">
        <f>IF(G78="","",IFERROR(_xlfn.XLOOKUP("L"&amp;G78,'1.6 IP Calculations'!$AQ$26:$AQ$30,'1.6 IP Calculations'!$AS$26:$AS$30),""))</f>
        <v/>
      </c>
      <c r="M78" s="188" t="str">
        <f t="shared" si="2"/>
        <v/>
      </c>
      <c r="N78" s="188" t="str">
        <f t="shared" si="3"/>
        <v/>
      </c>
      <c r="O78" s="188" t="str">
        <f t="shared" si="4"/>
        <v/>
      </c>
      <c r="P78" s="188" t="str">
        <f t="shared" si="5"/>
        <v/>
      </c>
      <c r="Q78" s="188" t="str">
        <f t="shared" si="6"/>
        <v/>
      </c>
      <c r="R78" s="184" t="str">
        <f t="shared" si="0"/>
        <v/>
      </c>
      <c r="S78" s="183" t="str">
        <f t="shared" si="1"/>
        <v/>
      </c>
      <c r="T78" s="179" t="str">
        <f t="shared" si="7"/>
        <v/>
      </c>
      <c r="U78" s="185" t="str">
        <f t="shared" si="8"/>
        <v/>
      </c>
      <c r="V78" s="185" t="str">
        <f t="shared" si="8"/>
        <v/>
      </c>
      <c r="W78" s="185" t="str">
        <f t="shared" si="8"/>
        <v/>
      </c>
      <c r="X78" s="185" t="str">
        <f t="shared" si="8"/>
        <v/>
      </c>
      <c r="Y78" s="185" t="str">
        <f t="shared" si="8"/>
        <v/>
      </c>
    </row>
    <row r="79" spans="1:25" ht="18" customHeight="1" x14ac:dyDescent="0.15">
      <c r="A79" s="168">
        <v>10</v>
      </c>
      <c r="B79" s="187"/>
      <c r="C79" s="183" t="str">
        <f>IFERROR(IF(INDEX('1.4 EA Smell Scoring'!$D$9:$H$18,MATCH($B79,'1.4 EA Smell Scoring'!$C$9:$C$18,0),MATCH(C$69,'1.4 EA Smell Scoring'!$D$8:$H$8,0))=0,"",INDEX('1.4 EA Smell Scoring'!$D$9:$H$18,MATCH($B79,'1.4 EA Smell Scoring'!$C$9:$C$18,0),MATCH(C$69,'1.4 EA Smell Scoring'!$D$8:$H$8,0))),"")</f>
        <v/>
      </c>
      <c r="D79" s="183" t="str">
        <f>IFERROR(IF(INDEX('1.4 EA Smell Scoring'!$D$9:$H$18,MATCH($B79,'1.4 EA Smell Scoring'!$C$9:$C$18,0),MATCH(D$69,'1.4 EA Smell Scoring'!$D$8:$H$8,0))=0,"",INDEX('1.4 EA Smell Scoring'!$D$9:$H$18,MATCH($B79,'1.4 EA Smell Scoring'!$C$9:$C$18,0),MATCH(D$69,'1.4 EA Smell Scoring'!$D$8:$H$8,0))),"")</f>
        <v/>
      </c>
      <c r="E79" s="183" t="str">
        <f>IFERROR(IF(INDEX('1.4 EA Smell Scoring'!$D$9:$H$18,MATCH($B79,'1.4 EA Smell Scoring'!$C$9:$C$18,0),MATCH(E$69,'1.4 EA Smell Scoring'!$D$8:$H$8,0))=0,"",INDEX('1.4 EA Smell Scoring'!$D$9:$H$18,MATCH($B79,'1.4 EA Smell Scoring'!$C$9:$C$18,0),MATCH(E$69,'1.4 EA Smell Scoring'!$D$8:$H$8,0))),"")</f>
        <v/>
      </c>
      <c r="F79" s="183" t="str">
        <f>IFERROR(IF(INDEX('1.4 EA Smell Scoring'!$D$9:$H$18,MATCH($B79,'1.4 EA Smell Scoring'!$C$9:$C$18,0),MATCH(F$69,'1.4 EA Smell Scoring'!$D$8:$H$8,0))=0,"",INDEX('1.4 EA Smell Scoring'!$D$9:$H$18,MATCH($B79,'1.4 EA Smell Scoring'!$C$9:$C$18,0),MATCH(F$69,'1.4 EA Smell Scoring'!$D$8:$H$8,0))),"")</f>
        <v/>
      </c>
      <c r="G79" s="183" t="str">
        <f>IFERROR(IF(INDEX('1.4 EA Smell Scoring'!$D$9:$H$18,MATCH($B79,'1.4 EA Smell Scoring'!$C$9:$C$18,0),MATCH(G$69,'1.4 EA Smell Scoring'!$D$8:$H$8,0))=0,"",INDEX('1.4 EA Smell Scoring'!$D$9:$H$18,MATCH($B79,'1.4 EA Smell Scoring'!$C$9:$C$18,0),MATCH(G$69,'1.4 EA Smell Scoring'!$D$8:$H$8,0))),"")</f>
        <v/>
      </c>
      <c r="H79" s="186" t="str">
        <f>IF(C79="","",IFERROR(_xlfn.XLOOKUP("L"&amp;C79,'1.6 IP Calculations'!$B$26:$B$30,'1.6 IP Calculations'!$D$26:$D$30),""))</f>
        <v/>
      </c>
      <c r="I79" s="184" t="str">
        <f>IF($D79="","",IFERROR(_xlfn.XLOOKUP("L"&amp;$D79,'1.6 IP Calculations'!$L$26:$L$30,'1.6 IP Calculations'!$N$26:$N$30),""))</f>
        <v/>
      </c>
      <c r="J79" s="184" t="str">
        <f>IF(E79="","",IFERROR(_xlfn.XLOOKUP("L"&amp;E79,'1.6 IP Calculations'!$V$26:$V$30,'1.6 IP Calculations'!$X$26:$X$30),""))</f>
        <v/>
      </c>
      <c r="K79" s="184" t="str">
        <f>IF(F79="","",IFERROR(_xlfn.XLOOKUP("L"&amp;F79,'1.6 IP Calculations'!$AG$26:$AG$30,'1.6 IP Calculations'!$AI$26:$AI$30),""))</f>
        <v/>
      </c>
      <c r="L79" s="184" t="str">
        <f>IF(G79="","",IFERROR(_xlfn.XLOOKUP("L"&amp;G79,'1.6 IP Calculations'!$AQ$26:$AQ$30,'1.6 IP Calculations'!$AS$26:$AS$30),""))</f>
        <v/>
      </c>
      <c r="M79" s="188" t="str">
        <f t="shared" si="2"/>
        <v/>
      </c>
      <c r="N79" s="188" t="str">
        <f t="shared" si="3"/>
        <v/>
      </c>
      <c r="O79" s="188" t="str">
        <f t="shared" si="4"/>
        <v/>
      </c>
      <c r="P79" s="188" t="str">
        <f t="shared" si="5"/>
        <v/>
      </c>
      <c r="Q79" s="188" t="str">
        <f t="shared" si="6"/>
        <v/>
      </c>
      <c r="R79" s="184" t="str">
        <f t="shared" si="0"/>
        <v/>
      </c>
      <c r="S79" s="183" t="str">
        <f t="shared" si="1"/>
        <v/>
      </c>
      <c r="T79" s="179" t="str">
        <f t="shared" si="7"/>
        <v/>
      </c>
      <c r="U79" s="185" t="str">
        <f t="shared" si="8"/>
        <v/>
      </c>
      <c r="V79" s="185" t="str">
        <f t="shared" si="8"/>
        <v/>
      </c>
      <c r="W79" s="185" t="str">
        <f t="shared" si="8"/>
        <v/>
      </c>
      <c r="X79" s="185" t="str">
        <f t="shared" si="8"/>
        <v/>
      </c>
      <c r="Y79" s="185" t="str">
        <f t="shared" si="8"/>
        <v/>
      </c>
    </row>
    <row r="80" spans="1:25" s="176" customFormat="1" ht="18" customHeight="1" x14ac:dyDescent="0.15">
      <c r="B80" s="206"/>
      <c r="C80" s="198"/>
      <c r="D80" s="198"/>
      <c r="E80" s="198"/>
      <c r="F80" s="198"/>
      <c r="G80" s="198"/>
      <c r="H80" s="198"/>
      <c r="I80" s="198"/>
      <c r="J80" s="198"/>
      <c r="K80" s="198"/>
      <c r="L80" s="198"/>
      <c r="M80" s="199"/>
      <c r="N80" s="199"/>
      <c r="O80" s="199"/>
      <c r="P80" s="199"/>
      <c r="Q80" s="199"/>
      <c r="R80" s="180"/>
      <c r="S80" s="181"/>
      <c r="T80" s="182"/>
    </row>
  </sheetData>
  <customSheetViews>
    <customSheetView guid="{A1A3B705-A997-C843-8A73-5252E7FC1F87}" showGridLines="0" topLeftCell="C1">
      <pane ySplit="9" topLeftCell="A74" activePane="bottomLeft" state="frozen"/>
      <selection pane="bottomLeft" activeCell="M73" sqref="M73"/>
      <pageMargins left="0.75" right="0.75" top="1" bottom="1" header="0.511811023622047" footer="0.511811023622047"/>
      <pageSetup paperSize="9" orientation="portrait" horizontalDpi="300" verticalDpi="300"/>
    </customSheetView>
  </customSheetViews>
  <mergeCells count="1">
    <mergeCell ref="B3:N5"/>
  </mergeCells>
  <conditionalFormatting sqref="C53">
    <cfRule type="containsText" dxfId="112" priority="1" operator="containsText" text="Awaiting Input">
      <formula>NOT(ISERROR(SEARCH("Awaiting Input",C53)))</formula>
    </cfRule>
    <cfRule type="containsText" dxfId="111" priority="2" operator="containsText" text="MARGINAL">
      <formula>NOT(ISERROR(SEARCH("MARGINAL",C53)))</formula>
    </cfRule>
    <cfRule type="containsText" dxfId="110" priority="3" operator="containsText" text="PASS">
      <formula>NOT(ISERROR(SEARCH("PASS",C53)))</formula>
    </cfRule>
    <cfRule type="containsText" dxfId="109" priority="4" operator="containsText" text="FAIL">
      <formula>NOT(ISERROR(SEARCH("FAIL",C53)))</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74780-F580-5E44-B542-B399757E6BF5}">
  <sheetPr codeName="Sheet2">
    <tabColor rgb="FFFFC000"/>
  </sheetPr>
  <dimension ref="A1:J47"/>
  <sheetViews>
    <sheetView showGridLines="0" zoomScaleNormal="100" workbookViewId="0">
      <pane xSplit="1" ySplit="4" topLeftCell="B5" activePane="bottomRight" state="frozen"/>
      <selection activeCell="J9" sqref="J9"/>
      <selection pane="topRight" activeCell="J9" sqref="J9"/>
      <selection pane="bottomLeft" activeCell="J9" sqref="J9"/>
      <selection pane="bottomRight" activeCell="A20" sqref="A20:XFD20"/>
    </sheetView>
  </sheetViews>
  <sheetFormatPr baseColWidth="10" defaultColWidth="8.6640625" defaultRowHeight="15" outlineLevelCol="1" x14ac:dyDescent="0.2"/>
  <cols>
    <col min="1" max="1" width="3" customWidth="1"/>
    <col min="2" max="2" width="28" customWidth="1"/>
    <col min="3" max="3" width="42" style="43" customWidth="1"/>
    <col min="4" max="4" width="70" style="43" customWidth="1"/>
    <col min="5" max="5" width="3" customWidth="1"/>
    <col min="7" max="7" width="10.33203125" customWidth="1"/>
    <col min="8" max="8" width="59.6640625" hidden="1" customWidth="1" outlineLevel="1"/>
    <col min="9" max="9" width="15.5" style="9" hidden="1" customWidth="1" outlineLevel="1"/>
    <col min="10" max="10" width="8.6640625" collapsed="1"/>
  </cols>
  <sheetData>
    <row r="1" spans="1:9" ht="7.5" customHeight="1" thickBot="1" x14ac:dyDescent="0.25"/>
    <row r="2" spans="1:9" ht="48" customHeight="1" x14ac:dyDescent="0.2">
      <c r="A2" s="1"/>
      <c r="B2" s="407" t="s">
        <v>21</v>
      </c>
      <c r="C2" s="408"/>
      <c r="D2" s="409"/>
    </row>
    <row r="3" spans="1:9" ht="7.5" customHeight="1" x14ac:dyDescent="0.2">
      <c r="B3" s="26"/>
      <c r="D3" s="62"/>
    </row>
    <row r="4" spans="1:9" ht="44" customHeight="1" thickBot="1" x14ac:dyDescent="0.25">
      <c r="B4" s="410" t="s">
        <v>22</v>
      </c>
      <c r="C4" s="411"/>
      <c r="D4" s="412"/>
      <c r="G4" s="162" t="s">
        <v>437</v>
      </c>
    </row>
    <row r="5" spans="1:9" ht="7.5" customHeight="1" x14ac:dyDescent="0.2">
      <c r="B5" s="26"/>
      <c r="D5" s="62"/>
    </row>
    <row r="6" spans="1:9" ht="7.5" customHeight="1" x14ac:dyDescent="0.2">
      <c r="B6" s="26"/>
      <c r="D6" s="62"/>
    </row>
    <row r="7" spans="1:9" ht="19.5" customHeight="1" x14ac:dyDescent="0.2">
      <c r="B7" s="404" t="s">
        <v>23</v>
      </c>
      <c r="C7" s="405"/>
      <c r="D7" s="406"/>
      <c r="H7" s="71" t="s">
        <v>251</v>
      </c>
      <c r="I7" s="72" t="s">
        <v>252</v>
      </c>
    </row>
    <row r="8" spans="1:9" ht="15.75" customHeight="1" x14ac:dyDescent="0.2">
      <c r="B8" s="27" t="s">
        <v>24</v>
      </c>
      <c r="C8" s="68" t="s">
        <v>25</v>
      </c>
      <c r="D8" s="63" t="s">
        <v>26</v>
      </c>
      <c r="H8" s="76" t="s">
        <v>254</v>
      </c>
      <c r="I8" s="73"/>
    </row>
    <row r="9" spans="1:9" ht="15" customHeight="1" x14ac:dyDescent="0.2">
      <c r="B9" s="28">
        <v>1</v>
      </c>
      <c r="C9" s="25" t="s">
        <v>316</v>
      </c>
      <c r="D9" s="64" t="s">
        <v>317</v>
      </c>
      <c r="H9" s="76" t="s">
        <v>308</v>
      </c>
      <c r="I9" s="73">
        <v>9</v>
      </c>
    </row>
    <row r="10" spans="1:9" ht="15" customHeight="1" x14ac:dyDescent="0.2">
      <c r="B10" s="29">
        <v>3</v>
      </c>
      <c r="C10" s="30" t="s">
        <v>318</v>
      </c>
      <c r="D10" s="65" t="s">
        <v>319</v>
      </c>
      <c r="H10" s="76" t="s">
        <v>329</v>
      </c>
      <c r="I10" s="73">
        <v>8</v>
      </c>
    </row>
    <row r="11" spans="1:9" ht="15" customHeight="1" x14ac:dyDescent="0.2">
      <c r="B11" s="28">
        <v>5</v>
      </c>
      <c r="C11" s="25" t="s">
        <v>27</v>
      </c>
      <c r="D11" s="64" t="s">
        <v>320</v>
      </c>
      <c r="H11" s="76" t="s">
        <v>309</v>
      </c>
      <c r="I11" s="73">
        <v>7</v>
      </c>
    </row>
    <row r="12" spans="1:9" ht="15" customHeight="1" x14ac:dyDescent="0.2">
      <c r="B12" s="29">
        <v>7</v>
      </c>
      <c r="C12" s="30" t="s">
        <v>321</v>
      </c>
      <c r="D12" s="65" t="s">
        <v>322</v>
      </c>
      <c r="H12" s="76" t="s">
        <v>330</v>
      </c>
      <c r="I12" s="73">
        <v>6</v>
      </c>
    </row>
    <row r="13" spans="1:9" ht="15" customHeight="1" x14ac:dyDescent="0.2">
      <c r="B13" s="28">
        <v>9</v>
      </c>
      <c r="C13" s="25" t="s">
        <v>28</v>
      </c>
      <c r="D13" s="64" t="s">
        <v>323</v>
      </c>
      <c r="H13" s="76" t="s">
        <v>310</v>
      </c>
      <c r="I13" s="73">
        <v>5</v>
      </c>
    </row>
    <row r="14" spans="1:9" ht="15" customHeight="1" x14ac:dyDescent="0.2">
      <c r="B14" s="29" t="s">
        <v>324</v>
      </c>
      <c r="C14" s="30" t="s">
        <v>325</v>
      </c>
      <c r="D14" s="65" t="s">
        <v>326</v>
      </c>
      <c r="H14" s="76" t="s">
        <v>331</v>
      </c>
      <c r="I14" s="73">
        <v>4</v>
      </c>
    </row>
    <row r="15" spans="1:9" ht="15" customHeight="1" x14ac:dyDescent="0.2">
      <c r="B15" s="28" t="s">
        <v>327</v>
      </c>
      <c r="C15" s="25" t="s">
        <v>328</v>
      </c>
      <c r="D15" s="64" t="s">
        <v>326</v>
      </c>
      <c r="H15" s="76" t="s">
        <v>311</v>
      </c>
      <c r="I15" s="73">
        <v>3</v>
      </c>
    </row>
    <row r="16" spans="1:9" ht="15" customHeight="1" x14ac:dyDescent="0.2">
      <c r="B16" s="29"/>
      <c r="C16" s="30"/>
      <c r="D16" s="65"/>
      <c r="H16" s="76" t="s">
        <v>332</v>
      </c>
      <c r="I16" s="73">
        <v>2</v>
      </c>
    </row>
    <row r="17" spans="2:9" ht="15" customHeight="1" x14ac:dyDescent="0.2">
      <c r="B17" s="404" t="s">
        <v>29</v>
      </c>
      <c r="C17" s="405"/>
      <c r="D17" s="406"/>
      <c r="H17" s="76" t="s">
        <v>253</v>
      </c>
      <c r="I17" s="73">
        <v>1</v>
      </c>
    </row>
    <row r="18" spans="2:9" ht="19.5" customHeight="1" x14ac:dyDescent="0.2">
      <c r="B18" s="31" t="s">
        <v>30</v>
      </c>
      <c r="C18" s="413" t="s">
        <v>31</v>
      </c>
      <c r="D18" s="414"/>
      <c r="H18" s="76" t="s">
        <v>333</v>
      </c>
      <c r="I18" s="74">
        <f>1/2</f>
        <v>0.5</v>
      </c>
    </row>
    <row r="19" spans="2:9" ht="18" customHeight="1" x14ac:dyDescent="0.2">
      <c r="B19" s="32" t="s">
        <v>259</v>
      </c>
      <c r="C19" s="402" t="s">
        <v>260</v>
      </c>
      <c r="D19" s="403"/>
      <c r="H19" s="76" t="s">
        <v>312</v>
      </c>
      <c r="I19" s="74">
        <f>1/3</f>
        <v>0.33333333333333331</v>
      </c>
    </row>
    <row r="20" spans="2:9" ht="15" customHeight="1" x14ac:dyDescent="0.2">
      <c r="B20" s="404" t="s">
        <v>32</v>
      </c>
      <c r="C20" s="405"/>
      <c r="D20" s="406"/>
      <c r="H20" s="76" t="s">
        <v>313</v>
      </c>
      <c r="I20" s="74">
        <f>1/5</f>
        <v>0.2</v>
      </c>
    </row>
    <row r="21" spans="2:9" ht="15" customHeight="1" x14ac:dyDescent="0.35">
      <c r="B21" s="27" t="s">
        <v>33</v>
      </c>
      <c r="C21" s="69" t="s">
        <v>34</v>
      </c>
      <c r="D21" s="66"/>
      <c r="G21" s="23"/>
      <c r="H21" s="76" t="s">
        <v>334</v>
      </c>
      <c r="I21" s="74">
        <f>1/6</f>
        <v>0.16666666666666666</v>
      </c>
    </row>
    <row r="22" spans="2:9" ht="15" customHeight="1" x14ac:dyDescent="0.35">
      <c r="B22" s="28">
        <v>1</v>
      </c>
      <c r="C22" s="25">
        <v>0</v>
      </c>
      <c r="D22" s="64">
        <v>1</v>
      </c>
      <c r="G22" s="23"/>
      <c r="H22" s="76" t="s">
        <v>314</v>
      </c>
      <c r="I22" s="74">
        <f>1/7</f>
        <v>0.14285714285714285</v>
      </c>
    </row>
    <row r="23" spans="2:9" ht="15" customHeight="1" x14ac:dyDescent="0.35">
      <c r="B23" s="29">
        <v>2</v>
      </c>
      <c r="C23" s="30">
        <v>0</v>
      </c>
      <c r="D23" s="65">
        <v>2</v>
      </c>
      <c r="G23" s="23"/>
      <c r="H23" s="76" t="s">
        <v>335</v>
      </c>
      <c r="I23" s="74">
        <f>1/8</f>
        <v>0.125</v>
      </c>
    </row>
    <row r="24" spans="2:9" ht="15" customHeight="1" x14ac:dyDescent="0.35">
      <c r="B24" s="28">
        <v>3</v>
      </c>
      <c r="C24" s="25">
        <v>0.52500000000000002</v>
      </c>
      <c r="D24" s="64">
        <v>3</v>
      </c>
      <c r="G24" s="23"/>
      <c r="H24" s="77" t="s">
        <v>315</v>
      </c>
      <c r="I24" s="75">
        <f>1/9</f>
        <v>0.1111111111111111</v>
      </c>
    </row>
    <row r="25" spans="2:9" ht="15" customHeight="1" x14ac:dyDescent="0.35">
      <c r="B25" s="29">
        <v>4</v>
      </c>
      <c r="C25" s="30">
        <v>0.88200000000000001</v>
      </c>
      <c r="D25" s="65">
        <v>4</v>
      </c>
      <c r="G25" s="23"/>
      <c r="H25" s="24"/>
    </row>
    <row r="26" spans="2:9" ht="15" customHeight="1" x14ac:dyDescent="0.35">
      <c r="B26" s="28">
        <v>5</v>
      </c>
      <c r="C26" s="25">
        <v>1.1100000000000001</v>
      </c>
      <c r="D26" s="64">
        <v>5</v>
      </c>
      <c r="G26" s="23"/>
      <c r="H26" s="24"/>
    </row>
    <row r="27" spans="2:9" ht="15" customHeight="1" x14ac:dyDescent="0.35">
      <c r="B27" s="29">
        <v>6</v>
      </c>
      <c r="C27" s="30">
        <v>1.125</v>
      </c>
      <c r="D27" s="65">
        <v>6</v>
      </c>
      <c r="G27" s="23"/>
      <c r="H27" s="24"/>
    </row>
    <row r="28" spans="2:9" ht="15" customHeight="1" x14ac:dyDescent="0.35">
      <c r="B28" s="28">
        <v>7</v>
      </c>
      <c r="C28" s="25">
        <v>1.341</v>
      </c>
      <c r="D28" s="64">
        <v>7</v>
      </c>
      <c r="G28" s="23"/>
      <c r="H28" s="24"/>
    </row>
    <row r="29" spans="2:9" ht="15" customHeight="1" x14ac:dyDescent="0.35">
      <c r="B29" s="29">
        <v>8</v>
      </c>
      <c r="C29" s="30">
        <v>1.4039999999999999</v>
      </c>
      <c r="D29" s="65">
        <v>8</v>
      </c>
      <c r="G29" s="23"/>
      <c r="H29" s="24"/>
    </row>
    <row r="30" spans="2:9" ht="15" customHeight="1" x14ac:dyDescent="0.35">
      <c r="B30" s="28">
        <v>9</v>
      </c>
      <c r="C30" s="25">
        <v>1.4510000000000001</v>
      </c>
      <c r="D30" s="64">
        <v>9</v>
      </c>
      <c r="G30" s="23"/>
      <c r="H30" s="24"/>
    </row>
    <row r="31" spans="2:9" ht="15" customHeight="1" x14ac:dyDescent="0.35">
      <c r="B31" s="29">
        <v>10</v>
      </c>
      <c r="C31" s="30">
        <v>1.486</v>
      </c>
      <c r="D31" s="65">
        <v>10</v>
      </c>
      <c r="G31" s="23"/>
      <c r="H31" s="24"/>
    </row>
    <row r="32" spans="2:9" ht="15" customHeight="1" x14ac:dyDescent="0.35">
      <c r="B32" s="28">
        <v>11</v>
      </c>
      <c r="C32" s="25">
        <v>1.514</v>
      </c>
      <c r="D32" s="64">
        <v>11</v>
      </c>
      <c r="G32" s="23"/>
      <c r="H32" s="24"/>
    </row>
    <row r="33" spans="2:8" ht="15" customHeight="1" x14ac:dyDescent="0.35">
      <c r="B33" s="29">
        <v>12</v>
      </c>
      <c r="C33" s="30">
        <v>1.536</v>
      </c>
      <c r="D33" s="65">
        <v>12</v>
      </c>
      <c r="G33" s="23"/>
      <c r="H33" s="24"/>
    </row>
    <row r="34" spans="2:8" ht="15" customHeight="1" x14ac:dyDescent="0.35">
      <c r="B34" s="28">
        <v>13</v>
      </c>
      <c r="C34" s="25">
        <v>1.5549999999999999</v>
      </c>
      <c r="D34" s="64">
        <v>13</v>
      </c>
      <c r="G34" s="23"/>
      <c r="H34" s="24"/>
    </row>
    <row r="35" spans="2:8" ht="15" customHeight="1" x14ac:dyDescent="0.35">
      <c r="B35" s="29">
        <v>14</v>
      </c>
      <c r="C35" s="30">
        <v>1.57</v>
      </c>
      <c r="D35" s="65">
        <v>14</v>
      </c>
      <c r="G35" s="23"/>
      <c r="H35" s="24"/>
    </row>
    <row r="36" spans="2:8" ht="15" customHeight="1" x14ac:dyDescent="0.35">
      <c r="B36" s="28">
        <v>15</v>
      </c>
      <c r="C36" s="25">
        <v>1.5840000000000001</v>
      </c>
      <c r="D36" s="64">
        <v>15</v>
      </c>
      <c r="G36" s="23"/>
      <c r="H36" s="24"/>
    </row>
    <row r="37" spans="2:8" ht="15" customHeight="1" thickBot="1" x14ac:dyDescent="0.4">
      <c r="B37" s="33">
        <v>16</v>
      </c>
      <c r="C37" s="70">
        <f>C36</f>
        <v>1.5840000000000001</v>
      </c>
      <c r="D37" s="67">
        <v>16</v>
      </c>
      <c r="G37" s="23"/>
      <c r="H37" s="24"/>
    </row>
    <row r="38" spans="2:8" ht="15" customHeight="1" x14ac:dyDescent="0.35">
      <c r="G38" s="23"/>
    </row>
    <row r="39" spans="2:8" ht="15" customHeight="1" x14ac:dyDescent="0.2"/>
    <row r="40" spans="2:8" ht="15" customHeight="1" x14ac:dyDescent="0.2"/>
    <row r="41" spans="2:8" ht="15" customHeight="1" x14ac:dyDescent="0.2"/>
    <row r="42" spans="2:8" ht="15" customHeight="1" x14ac:dyDescent="0.2"/>
    <row r="43" spans="2:8" ht="15" customHeight="1" x14ac:dyDescent="0.2"/>
    <row r="44" spans="2:8" ht="15" customHeight="1" x14ac:dyDescent="0.2"/>
    <row r="45" spans="2:8" ht="15" customHeight="1" x14ac:dyDescent="0.2"/>
    <row r="46" spans="2:8" ht="15" customHeight="1" x14ac:dyDescent="0.2"/>
    <row r="47" spans="2:8" ht="15" customHeight="1" x14ac:dyDescent="0.2"/>
  </sheetData>
  <customSheetViews>
    <customSheetView guid="{A1A3B705-A997-C843-8A73-5252E7FC1F87}" showGridLines="0">
      <pane xSplit="1" ySplit="4" topLeftCell="B5" activePane="bottomRight" state="frozen"/>
      <selection pane="bottomRight" activeCell="F23" sqref="F23"/>
      <pageMargins left="0.75" right="0.75" top="1" bottom="1" header="0.511811023622047" footer="0.511811023622047"/>
      <pageSetup paperSize="9" orientation="portrait" horizontalDpi="300" verticalDpi="300"/>
    </customSheetView>
  </customSheetViews>
  <mergeCells count="7">
    <mergeCell ref="C19:D19"/>
    <mergeCell ref="B20:D20"/>
    <mergeCell ref="B2:D2"/>
    <mergeCell ref="B4:D4"/>
    <mergeCell ref="B7:D7"/>
    <mergeCell ref="B17:D17"/>
    <mergeCell ref="C18:D18"/>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FFC000"/>
  </sheetPr>
  <dimension ref="A1:M68"/>
  <sheetViews>
    <sheetView showGridLines="0" zoomScaleNormal="100" workbookViewId="0">
      <pane xSplit="1" ySplit="11" topLeftCell="B14" activePane="bottomRight" state="frozen"/>
      <selection activeCell="J9" sqref="J9"/>
      <selection pane="topRight" activeCell="J9" sqref="J9"/>
      <selection pane="bottomLeft" activeCell="J9" sqref="J9"/>
      <selection pane="bottomRight" activeCell="F48" sqref="F48"/>
    </sheetView>
  </sheetViews>
  <sheetFormatPr baseColWidth="10" defaultColWidth="8.6640625" defaultRowHeight="15" outlineLevelRow="1" x14ac:dyDescent="0.2"/>
  <cols>
    <col min="1" max="1" width="4" style="308" customWidth="1"/>
    <col min="2" max="2" width="8.6640625" style="309" customWidth="1"/>
    <col min="3" max="5" width="25.83203125" style="308" customWidth="1"/>
    <col min="6" max="8" width="55.83203125" style="308" customWidth="1"/>
    <col min="9" max="9" width="55.83203125" style="310" customWidth="1"/>
    <col min="10" max="10" width="17.83203125" style="308" customWidth="1"/>
    <col min="11" max="11" width="100.83203125" style="308" customWidth="1"/>
    <col min="12" max="16384" width="8.6640625" style="308"/>
  </cols>
  <sheetData>
    <row r="1" spans="1:13" ht="20" x14ac:dyDescent="0.2">
      <c r="A1" s="307"/>
      <c r="B1" s="415" t="s">
        <v>20</v>
      </c>
      <c r="C1" s="415"/>
      <c r="D1" s="415"/>
      <c r="E1" s="415"/>
      <c r="F1" s="415"/>
      <c r="G1" s="415"/>
      <c r="H1" s="415"/>
      <c r="I1" s="415"/>
    </row>
    <row r="3" spans="1:13" s="311" customFormat="1" ht="15" customHeight="1" x14ac:dyDescent="0.2">
      <c r="B3" s="333" t="s">
        <v>38</v>
      </c>
      <c r="C3" s="306" t="s">
        <v>645</v>
      </c>
      <c r="D3" s="425" t="s">
        <v>473</v>
      </c>
      <c r="E3" s="425"/>
      <c r="F3" s="337" t="s">
        <v>474</v>
      </c>
      <c r="G3" s="420" t="s">
        <v>644</v>
      </c>
      <c r="H3" s="338"/>
      <c r="I3" s="338"/>
      <c r="J3" s="312"/>
      <c r="K3" s="312"/>
    </row>
    <row r="4" spans="1:13" s="311" customFormat="1" ht="39" x14ac:dyDescent="0.2">
      <c r="B4" s="332">
        <f>COUNTIFS($D:$D,"Modifiability",$E:$E,"Structure")</f>
        <v>22</v>
      </c>
      <c r="C4" s="313" t="s">
        <v>43</v>
      </c>
      <c r="D4" s="416" t="s">
        <v>475</v>
      </c>
      <c r="E4" s="417"/>
      <c r="F4" s="322" t="s">
        <v>649</v>
      </c>
      <c r="G4" s="420"/>
      <c r="H4" s="338"/>
      <c r="I4" s="338"/>
      <c r="J4" s="312"/>
      <c r="K4" s="312"/>
    </row>
    <row r="5" spans="1:13" s="311" customFormat="1" ht="39" x14ac:dyDescent="0.2">
      <c r="B5" s="332">
        <f>COUNTIFS($D:$D,"Modifiability",$E:$E,"Behavior")</f>
        <v>3</v>
      </c>
      <c r="C5" s="313" t="s">
        <v>45</v>
      </c>
      <c r="D5" s="418"/>
      <c r="E5" s="419"/>
      <c r="F5" s="322" t="s">
        <v>650</v>
      </c>
      <c r="G5" s="420"/>
      <c r="H5" s="338"/>
      <c r="I5" s="338"/>
    </row>
    <row r="6" spans="1:13" s="311" customFormat="1" ht="39" customHeight="1" x14ac:dyDescent="0.2">
      <c r="B6" s="332">
        <f>COUNTIFS($D:$D,"Interoperability")</f>
        <v>3</v>
      </c>
      <c r="C6" s="313" t="s">
        <v>48</v>
      </c>
      <c r="D6" s="423" t="s">
        <v>646</v>
      </c>
      <c r="E6" s="424"/>
      <c r="F6" s="322" t="s">
        <v>651</v>
      </c>
      <c r="G6" s="420"/>
      <c r="H6" s="338"/>
      <c r="I6" s="338"/>
    </row>
    <row r="7" spans="1:13" s="311" customFormat="1" ht="39" customHeight="1" x14ac:dyDescent="0.2">
      <c r="B7" s="332">
        <f>COUNTIFS($D:$D,"Comprehensibility")</f>
        <v>7</v>
      </c>
      <c r="C7" s="313" t="s">
        <v>50</v>
      </c>
      <c r="D7" s="423" t="s">
        <v>647</v>
      </c>
      <c r="E7" s="424"/>
      <c r="F7" s="322" t="s">
        <v>652</v>
      </c>
      <c r="G7" s="420"/>
      <c r="H7" s="338"/>
      <c r="I7" s="338"/>
    </row>
    <row r="8" spans="1:13" s="311" customFormat="1" ht="39" customHeight="1" x14ac:dyDescent="0.2">
      <c r="B8" s="332">
        <f>COUNTIFS($D:$D,"Strategic Alignment")</f>
        <v>9</v>
      </c>
      <c r="C8" s="313" t="s">
        <v>52</v>
      </c>
      <c r="D8" s="423" t="s">
        <v>648</v>
      </c>
      <c r="E8" s="424"/>
      <c r="F8" s="322" t="s">
        <v>653</v>
      </c>
      <c r="G8" s="420"/>
      <c r="H8" s="338"/>
      <c r="I8" s="338"/>
    </row>
    <row r="9" spans="1:13" x14ac:dyDescent="0.2">
      <c r="B9" s="314"/>
      <c r="C9" s="58"/>
      <c r="D9" s="58"/>
      <c r="E9" s="58"/>
      <c r="F9" s="58"/>
      <c r="G9" s="58"/>
    </row>
    <row r="10" spans="1:13" x14ac:dyDescent="0.2">
      <c r="B10" s="421" t="s">
        <v>401</v>
      </c>
      <c r="C10" s="421"/>
      <c r="D10" s="421"/>
      <c r="E10" s="315" t="str">
        <f>IF(COUNTIF(tblEASmellCatalogue[Include],"Yes")&gt;10,
"⚠ Too many selected: "&amp;COUNTIF(tblEASmellCatalogue[Include],"Yes")&amp;" / 10",
COUNTIF(tblEASmellCatalogue[Include],"Yes")&amp;" / 10 selected")</f>
        <v>5 / 10 selected</v>
      </c>
      <c r="F10" s="316"/>
      <c r="G10" s="316"/>
    </row>
    <row r="11" spans="1:13" ht="16" x14ac:dyDescent="0.2">
      <c r="B11" s="317" t="s">
        <v>35</v>
      </c>
      <c r="C11" s="318" t="s">
        <v>36</v>
      </c>
      <c r="D11" s="318" t="s">
        <v>642</v>
      </c>
      <c r="E11" s="319" t="s">
        <v>643</v>
      </c>
      <c r="F11" s="334" t="s">
        <v>19</v>
      </c>
      <c r="G11" s="335" t="s">
        <v>476</v>
      </c>
      <c r="H11" s="334" t="s">
        <v>477</v>
      </c>
      <c r="I11" s="336" t="s">
        <v>478</v>
      </c>
      <c r="M11" s="310"/>
    </row>
    <row r="12" spans="1:13" ht="52" hidden="1" x14ac:dyDescent="0.2">
      <c r="B12" s="320" t="s">
        <v>39</v>
      </c>
      <c r="C12" s="313" t="s">
        <v>40</v>
      </c>
      <c r="D12" s="321" t="s">
        <v>41</v>
      </c>
      <c r="E12" s="322" t="s">
        <v>42</v>
      </c>
      <c r="F12" s="322" t="s">
        <v>491</v>
      </c>
      <c r="G12" s="322" t="s">
        <v>492</v>
      </c>
      <c r="H12" s="322" t="s">
        <v>493</v>
      </c>
      <c r="I12" s="323" t="s">
        <v>494</v>
      </c>
      <c r="M12" s="310"/>
    </row>
    <row r="13" spans="1:13" ht="26" hidden="1" x14ac:dyDescent="0.2">
      <c r="B13" s="320" t="s">
        <v>39</v>
      </c>
      <c r="C13" s="313" t="s">
        <v>44</v>
      </c>
      <c r="D13" s="321" t="s">
        <v>41</v>
      </c>
      <c r="E13" s="322" t="s">
        <v>42</v>
      </c>
      <c r="F13" s="322" t="s">
        <v>502</v>
      </c>
      <c r="G13" s="322" t="s">
        <v>503</v>
      </c>
      <c r="H13" s="322"/>
      <c r="I13" s="323" t="s">
        <v>504</v>
      </c>
      <c r="M13" s="310"/>
    </row>
    <row r="14" spans="1:13" ht="65" x14ac:dyDescent="0.2">
      <c r="B14" s="320" t="s">
        <v>46</v>
      </c>
      <c r="C14" s="313" t="s">
        <v>47</v>
      </c>
      <c r="D14" s="321" t="s">
        <v>41</v>
      </c>
      <c r="E14" s="322" t="s">
        <v>42</v>
      </c>
      <c r="F14" s="322" t="s">
        <v>509</v>
      </c>
      <c r="G14" s="322" t="s">
        <v>510</v>
      </c>
      <c r="H14" s="322" t="s">
        <v>511</v>
      </c>
      <c r="I14" s="323" t="s">
        <v>512</v>
      </c>
      <c r="M14" s="310"/>
    </row>
    <row r="15" spans="1:13" ht="52" hidden="1" x14ac:dyDescent="0.2">
      <c r="B15" s="320" t="s">
        <v>39</v>
      </c>
      <c r="C15" s="313" t="s">
        <v>49</v>
      </c>
      <c r="D15" s="321" t="s">
        <v>41</v>
      </c>
      <c r="E15" s="322" t="s">
        <v>42</v>
      </c>
      <c r="F15" s="322" t="s">
        <v>513</v>
      </c>
      <c r="G15" s="322" t="s">
        <v>514</v>
      </c>
      <c r="H15" s="322" t="s">
        <v>515</v>
      </c>
      <c r="I15" s="323" t="s">
        <v>516</v>
      </c>
      <c r="M15" s="310"/>
    </row>
    <row r="16" spans="1:13" ht="52" hidden="1" x14ac:dyDescent="0.2">
      <c r="B16" s="320" t="s">
        <v>39</v>
      </c>
      <c r="C16" s="313" t="s">
        <v>51</v>
      </c>
      <c r="D16" s="321" t="s">
        <v>41</v>
      </c>
      <c r="E16" s="322" t="s">
        <v>42</v>
      </c>
      <c r="F16" s="322" t="s">
        <v>521</v>
      </c>
      <c r="G16" s="322" t="s">
        <v>522</v>
      </c>
      <c r="H16" s="322" t="s">
        <v>523</v>
      </c>
      <c r="I16" s="323" t="s">
        <v>524</v>
      </c>
      <c r="M16" s="310"/>
    </row>
    <row r="17" spans="2:13" ht="26" hidden="1" x14ac:dyDescent="0.2">
      <c r="B17" s="320" t="s">
        <v>39</v>
      </c>
      <c r="C17" s="313" t="s">
        <v>53</v>
      </c>
      <c r="D17" s="321" t="s">
        <v>41</v>
      </c>
      <c r="E17" s="322" t="s">
        <v>42</v>
      </c>
      <c r="F17" s="322" t="s">
        <v>534</v>
      </c>
      <c r="G17" s="322" t="s">
        <v>535</v>
      </c>
      <c r="H17" s="322" t="s">
        <v>536</v>
      </c>
      <c r="I17" s="323" t="s">
        <v>537</v>
      </c>
      <c r="M17" s="310"/>
    </row>
    <row r="18" spans="2:13" ht="130" hidden="1" x14ac:dyDescent="0.2">
      <c r="B18" s="320" t="s">
        <v>39</v>
      </c>
      <c r="C18" s="313" t="s">
        <v>54</v>
      </c>
      <c r="D18" s="321" t="s">
        <v>41</v>
      </c>
      <c r="E18" s="322" t="s">
        <v>42</v>
      </c>
      <c r="F18" s="322" t="s">
        <v>541</v>
      </c>
      <c r="G18" s="322" t="s">
        <v>542</v>
      </c>
      <c r="H18" s="322" t="s">
        <v>543</v>
      </c>
      <c r="I18" s="323" t="s">
        <v>544</v>
      </c>
      <c r="M18" s="310"/>
    </row>
    <row r="19" spans="2:13" ht="52" hidden="1" x14ac:dyDescent="0.2">
      <c r="B19" s="320" t="s">
        <v>39</v>
      </c>
      <c r="C19" s="313" t="s">
        <v>55</v>
      </c>
      <c r="D19" s="321" t="s">
        <v>41</v>
      </c>
      <c r="E19" s="322" t="s">
        <v>42</v>
      </c>
      <c r="F19" s="322" t="s">
        <v>552</v>
      </c>
      <c r="G19" s="322" t="s">
        <v>553</v>
      </c>
      <c r="H19" s="322" t="s">
        <v>554</v>
      </c>
      <c r="I19" s="323" t="s">
        <v>555</v>
      </c>
      <c r="M19" s="310"/>
    </row>
    <row r="20" spans="2:13" ht="78" hidden="1" x14ac:dyDescent="0.2">
      <c r="B20" s="320" t="s">
        <v>39</v>
      </c>
      <c r="C20" s="313" t="s">
        <v>56</v>
      </c>
      <c r="D20" s="321" t="s">
        <v>41</v>
      </c>
      <c r="E20" s="322" t="s">
        <v>42</v>
      </c>
      <c r="F20" s="322" t="s">
        <v>565</v>
      </c>
      <c r="G20" s="322" t="s">
        <v>566</v>
      </c>
      <c r="H20" s="322"/>
      <c r="I20" s="323" t="s">
        <v>567</v>
      </c>
      <c r="M20" s="310"/>
    </row>
    <row r="21" spans="2:13" ht="78" hidden="1" x14ac:dyDescent="0.2">
      <c r="B21" s="320" t="s">
        <v>39</v>
      </c>
      <c r="C21" s="313" t="s">
        <v>57</v>
      </c>
      <c r="D21" s="321" t="s">
        <v>41</v>
      </c>
      <c r="E21" s="322" t="s">
        <v>42</v>
      </c>
      <c r="F21" s="322" t="s">
        <v>576</v>
      </c>
      <c r="G21" s="322" t="s">
        <v>577</v>
      </c>
      <c r="H21" s="322" t="s">
        <v>578</v>
      </c>
      <c r="I21" s="323" t="s">
        <v>579</v>
      </c>
      <c r="M21" s="310"/>
    </row>
    <row r="22" spans="2:13" ht="65" hidden="1" x14ac:dyDescent="0.2">
      <c r="B22" s="320" t="s">
        <v>39</v>
      </c>
      <c r="C22" s="313" t="s">
        <v>58</v>
      </c>
      <c r="D22" s="321" t="s">
        <v>41</v>
      </c>
      <c r="E22" s="322" t="s">
        <v>42</v>
      </c>
      <c r="F22" s="322" t="s">
        <v>600</v>
      </c>
      <c r="G22" s="322" t="s">
        <v>601</v>
      </c>
      <c r="H22" s="322" t="s">
        <v>602</v>
      </c>
      <c r="I22" s="323" t="s">
        <v>603</v>
      </c>
      <c r="M22" s="310"/>
    </row>
    <row r="23" spans="2:13" ht="52" x14ac:dyDescent="0.2">
      <c r="B23" s="324" t="s">
        <v>46</v>
      </c>
      <c r="C23" s="313" t="s">
        <v>59</v>
      </c>
      <c r="D23" s="321" t="s">
        <v>41</v>
      </c>
      <c r="E23" s="322" t="s">
        <v>42</v>
      </c>
      <c r="F23" s="322" t="s">
        <v>604</v>
      </c>
      <c r="G23" s="322" t="s">
        <v>605</v>
      </c>
      <c r="H23" s="322" t="s">
        <v>606</v>
      </c>
      <c r="I23" s="323"/>
      <c r="M23" s="310"/>
    </row>
    <row r="24" spans="2:13" ht="65" hidden="1" x14ac:dyDescent="0.2">
      <c r="B24" s="320" t="s">
        <v>39</v>
      </c>
      <c r="C24" s="313" t="s">
        <v>60</v>
      </c>
      <c r="D24" s="321" t="s">
        <v>41</v>
      </c>
      <c r="E24" s="322" t="s">
        <v>42</v>
      </c>
      <c r="F24" s="322" t="s">
        <v>607</v>
      </c>
      <c r="G24" s="322" t="s">
        <v>608</v>
      </c>
      <c r="H24" s="322"/>
      <c r="I24" s="323" t="s">
        <v>525</v>
      </c>
      <c r="M24" s="310"/>
    </row>
    <row r="25" spans="2:13" ht="143" hidden="1" x14ac:dyDescent="0.2">
      <c r="B25" s="320" t="s">
        <v>39</v>
      </c>
      <c r="C25" s="313" t="s">
        <v>61</v>
      </c>
      <c r="D25" s="321" t="s">
        <v>41</v>
      </c>
      <c r="E25" s="322" t="s">
        <v>42</v>
      </c>
      <c r="F25" s="322" t="s">
        <v>620</v>
      </c>
      <c r="G25" s="322" t="s">
        <v>621</v>
      </c>
      <c r="H25" s="322" t="s">
        <v>622</v>
      </c>
      <c r="I25" s="323" t="s">
        <v>623</v>
      </c>
      <c r="M25" s="310"/>
    </row>
    <row r="26" spans="2:13" ht="52" hidden="1" x14ac:dyDescent="0.2">
      <c r="B26" s="320" t="s">
        <v>39</v>
      </c>
      <c r="C26" s="313" t="s">
        <v>62</v>
      </c>
      <c r="D26" s="321" t="s">
        <v>41</v>
      </c>
      <c r="E26" s="322" t="s">
        <v>42</v>
      </c>
      <c r="F26" s="322" t="s">
        <v>634</v>
      </c>
      <c r="G26" s="322" t="s">
        <v>635</v>
      </c>
      <c r="H26" s="322" t="s">
        <v>636</v>
      </c>
      <c r="I26" s="323" t="s">
        <v>637</v>
      </c>
      <c r="M26" s="310"/>
    </row>
    <row r="27" spans="2:13" ht="65" hidden="1" x14ac:dyDescent="0.2">
      <c r="B27" s="320" t="s">
        <v>39</v>
      </c>
      <c r="C27" s="313" t="s">
        <v>63</v>
      </c>
      <c r="D27" s="321" t="s">
        <v>41</v>
      </c>
      <c r="E27" s="322" t="s">
        <v>64</v>
      </c>
      <c r="F27" s="322" t="s">
        <v>499</v>
      </c>
      <c r="G27" s="322" t="s">
        <v>500</v>
      </c>
      <c r="H27" s="322" t="s">
        <v>501</v>
      </c>
      <c r="I27" s="323"/>
      <c r="M27" s="310"/>
    </row>
    <row r="28" spans="2:13" ht="65" x14ac:dyDescent="0.2">
      <c r="B28" s="324" t="s">
        <v>46</v>
      </c>
      <c r="C28" s="313" t="s">
        <v>65</v>
      </c>
      <c r="D28" s="321" t="s">
        <v>41</v>
      </c>
      <c r="E28" s="322" t="s">
        <v>64</v>
      </c>
      <c r="F28" s="322" t="s">
        <v>545</v>
      </c>
      <c r="G28" s="322" t="s">
        <v>546</v>
      </c>
      <c r="H28" s="322"/>
      <c r="I28" s="323" t="s">
        <v>547</v>
      </c>
      <c r="M28" s="310"/>
    </row>
    <row r="29" spans="2:13" ht="91" hidden="1" x14ac:dyDescent="0.2">
      <c r="B29" s="320" t="s">
        <v>39</v>
      </c>
      <c r="C29" s="313" t="s">
        <v>66</v>
      </c>
      <c r="D29" s="321" t="s">
        <v>41</v>
      </c>
      <c r="E29" s="322" t="s">
        <v>64</v>
      </c>
      <c r="F29" s="322" t="s">
        <v>568</v>
      </c>
      <c r="G29" s="322" t="s">
        <v>569</v>
      </c>
      <c r="H29" s="322" t="s">
        <v>570</v>
      </c>
      <c r="I29" s="323" t="s">
        <v>571</v>
      </c>
      <c r="M29" s="310"/>
    </row>
    <row r="30" spans="2:13" ht="52" hidden="1" x14ac:dyDescent="0.2">
      <c r="B30" s="320" t="s">
        <v>39</v>
      </c>
      <c r="C30" s="313" t="s">
        <v>67</v>
      </c>
      <c r="D30" s="321" t="s">
        <v>48</v>
      </c>
      <c r="E30" s="322"/>
      <c r="F30" s="322" t="s">
        <v>505</v>
      </c>
      <c r="G30" s="322" t="s">
        <v>506</v>
      </c>
      <c r="H30" s="322" t="s">
        <v>507</v>
      </c>
      <c r="I30" s="323" t="s">
        <v>508</v>
      </c>
      <c r="M30" s="310"/>
    </row>
    <row r="31" spans="2:13" ht="39" hidden="1" x14ac:dyDescent="0.2">
      <c r="B31" s="320" t="s">
        <v>39</v>
      </c>
      <c r="C31" s="313" t="s">
        <v>68</v>
      </c>
      <c r="D31" s="321" t="s">
        <v>48</v>
      </c>
      <c r="E31" s="322"/>
      <c r="F31" s="322" t="s">
        <v>559</v>
      </c>
      <c r="G31" s="322" t="s">
        <v>560</v>
      </c>
      <c r="H31" s="322" t="s">
        <v>561</v>
      </c>
      <c r="I31" s="323"/>
      <c r="M31" s="310"/>
    </row>
    <row r="32" spans="2:13" ht="91" hidden="1" x14ac:dyDescent="0.2">
      <c r="B32" s="320" t="s">
        <v>39</v>
      </c>
      <c r="C32" s="313" t="s">
        <v>69</v>
      </c>
      <c r="D32" s="339" t="s">
        <v>50</v>
      </c>
      <c r="E32" s="322"/>
      <c r="F32" s="322" t="s">
        <v>562</v>
      </c>
      <c r="G32" s="322" t="s">
        <v>563</v>
      </c>
      <c r="H32" s="322" t="s">
        <v>564</v>
      </c>
      <c r="I32" s="323"/>
      <c r="M32" s="310"/>
    </row>
    <row r="33" spans="2:13" ht="65" hidden="1" x14ac:dyDescent="0.2">
      <c r="B33" s="320" t="s">
        <v>39</v>
      </c>
      <c r="C33" s="313" t="s">
        <v>70</v>
      </c>
      <c r="D33" s="339" t="s">
        <v>41</v>
      </c>
      <c r="E33" s="322" t="s">
        <v>42</v>
      </c>
      <c r="F33" s="322" t="s">
        <v>580</v>
      </c>
      <c r="G33" s="322" t="s">
        <v>581</v>
      </c>
      <c r="H33" s="322" t="s">
        <v>582</v>
      </c>
      <c r="I33" s="323" t="s">
        <v>583</v>
      </c>
      <c r="M33" s="310"/>
    </row>
    <row r="34" spans="2:13" ht="26" hidden="1" x14ac:dyDescent="0.2">
      <c r="B34" s="320" t="s">
        <v>39</v>
      </c>
      <c r="C34" s="313" t="s">
        <v>71</v>
      </c>
      <c r="D34" s="339" t="s">
        <v>41</v>
      </c>
      <c r="E34" s="322" t="s">
        <v>42</v>
      </c>
      <c r="F34" s="322" t="s">
        <v>596</v>
      </c>
      <c r="G34" s="322" t="s">
        <v>597</v>
      </c>
      <c r="H34" s="322" t="s">
        <v>598</v>
      </c>
      <c r="I34" s="323" t="s">
        <v>599</v>
      </c>
      <c r="M34" s="310"/>
    </row>
    <row r="35" spans="2:13" ht="104" x14ac:dyDescent="0.2">
      <c r="B35" s="324" t="s">
        <v>46</v>
      </c>
      <c r="C35" s="313" t="s">
        <v>72</v>
      </c>
      <c r="D35" s="321" t="s">
        <v>48</v>
      </c>
      <c r="E35" s="322"/>
      <c r="F35" s="322" t="s">
        <v>609</v>
      </c>
      <c r="G35" s="322" t="s">
        <v>610</v>
      </c>
      <c r="H35" s="322" t="s">
        <v>611</v>
      </c>
      <c r="I35" s="323" t="s">
        <v>612</v>
      </c>
      <c r="M35" s="310"/>
    </row>
    <row r="36" spans="2:13" ht="91" hidden="1" x14ac:dyDescent="0.2">
      <c r="B36" s="320" t="s">
        <v>39</v>
      </c>
      <c r="C36" s="313" t="s">
        <v>73</v>
      </c>
      <c r="D36" s="339" t="s">
        <v>41</v>
      </c>
      <c r="E36" s="322" t="s">
        <v>42</v>
      </c>
      <c r="F36" s="322" t="s">
        <v>613</v>
      </c>
      <c r="G36" s="322" t="s">
        <v>614</v>
      </c>
      <c r="H36" s="322" t="s">
        <v>615</v>
      </c>
      <c r="I36" s="323" t="s">
        <v>616</v>
      </c>
      <c r="M36" s="310"/>
    </row>
    <row r="37" spans="2:13" ht="52" hidden="1" x14ac:dyDescent="0.2">
      <c r="B37" s="320" t="s">
        <v>39</v>
      </c>
      <c r="C37" s="313" t="s">
        <v>74</v>
      </c>
      <c r="D37" s="339" t="s">
        <v>41</v>
      </c>
      <c r="E37" s="322" t="s">
        <v>42</v>
      </c>
      <c r="F37" s="322" t="s">
        <v>638</v>
      </c>
      <c r="G37" s="322" t="s">
        <v>639</v>
      </c>
      <c r="H37" s="322" t="s">
        <v>640</v>
      </c>
      <c r="I37" s="323" t="s">
        <v>641</v>
      </c>
      <c r="M37" s="310"/>
    </row>
    <row r="38" spans="2:13" ht="65" hidden="1" x14ac:dyDescent="0.2">
      <c r="B38" s="320" t="s">
        <v>39</v>
      </c>
      <c r="C38" s="313" t="s">
        <v>75</v>
      </c>
      <c r="D38" s="321" t="s">
        <v>50</v>
      </c>
      <c r="E38" s="322"/>
      <c r="F38" s="322" t="s">
        <v>479</v>
      </c>
      <c r="G38" s="322" t="s">
        <v>480</v>
      </c>
      <c r="H38" s="322" t="s">
        <v>481</v>
      </c>
      <c r="I38" s="323" t="s">
        <v>482</v>
      </c>
      <c r="M38" s="310"/>
    </row>
    <row r="39" spans="2:13" ht="104" hidden="1" x14ac:dyDescent="0.2">
      <c r="B39" s="320" t="s">
        <v>39</v>
      </c>
      <c r="C39" s="313" t="s">
        <v>76</v>
      </c>
      <c r="D39" s="321" t="s">
        <v>50</v>
      </c>
      <c r="E39" s="322"/>
      <c r="F39" s="322" t="s">
        <v>483</v>
      </c>
      <c r="G39" s="322" t="s">
        <v>484</v>
      </c>
      <c r="H39" s="322" t="s">
        <v>485</v>
      </c>
      <c r="I39" s="323" t="s">
        <v>486</v>
      </c>
      <c r="M39" s="310"/>
    </row>
    <row r="40" spans="2:13" ht="91" hidden="1" x14ac:dyDescent="0.2">
      <c r="B40" s="320" t="s">
        <v>39</v>
      </c>
      <c r="C40" s="313" t="s">
        <v>77</v>
      </c>
      <c r="D40" s="339" t="s">
        <v>41</v>
      </c>
      <c r="E40" s="322" t="s">
        <v>42</v>
      </c>
      <c r="F40" s="322" t="s">
        <v>526</v>
      </c>
      <c r="G40" s="322" t="s">
        <v>527</v>
      </c>
      <c r="H40" s="322" t="s">
        <v>528</v>
      </c>
      <c r="I40" s="323" t="s">
        <v>529</v>
      </c>
      <c r="M40" s="310"/>
    </row>
    <row r="41" spans="2:13" ht="39" hidden="1" x14ac:dyDescent="0.2">
      <c r="B41" s="320" t="s">
        <v>39</v>
      </c>
      <c r="C41" s="313" t="s">
        <v>78</v>
      </c>
      <c r="D41" s="321" t="s">
        <v>50</v>
      </c>
      <c r="E41" s="322"/>
      <c r="F41" s="322" t="s">
        <v>530</v>
      </c>
      <c r="G41" s="322" t="s">
        <v>531</v>
      </c>
      <c r="H41" s="322" t="s">
        <v>532</v>
      </c>
      <c r="I41" s="323" t="s">
        <v>533</v>
      </c>
      <c r="M41" s="310"/>
    </row>
    <row r="42" spans="2:13" ht="91" hidden="1" x14ac:dyDescent="0.2">
      <c r="B42" s="320" t="s">
        <v>39</v>
      </c>
      <c r="C42" s="313" t="s">
        <v>79</v>
      </c>
      <c r="D42" s="321" t="s">
        <v>50</v>
      </c>
      <c r="E42" s="322"/>
      <c r="F42" s="322" t="s">
        <v>538</v>
      </c>
      <c r="G42" s="322" t="s">
        <v>539</v>
      </c>
      <c r="H42" s="322"/>
      <c r="I42" s="323" t="s">
        <v>540</v>
      </c>
      <c r="M42" s="310"/>
    </row>
    <row r="43" spans="2:13" ht="39" hidden="1" x14ac:dyDescent="0.2">
      <c r="B43" s="320" t="s">
        <v>39</v>
      </c>
      <c r="C43" s="313" t="s">
        <v>80</v>
      </c>
      <c r="D43" s="339" t="s">
        <v>41</v>
      </c>
      <c r="E43" s="322" t="s">
        <v>42</v>
      </c>
      <c r="F43" s="322" t="s">
        <v>556</v>
      </c>
      <c r="G43" s="322" t="s">
        <v>557</v>
      </c>
      <c r="H43" s="322"/>
      <c r="I43" s="323" t="s">
        <v>558</v>
      </c>
      <c r="M43" s="310"/>
    </row>
    <row r="44" spans="2:13" ht="65" hidden="1" x14ac:dyDescent="0.2">
      <c r="B44" s="320" t="s">
        <v>39</v>
      </c>
      <c r="C44" s="313" t="s">
        <v>81</v>
      </c>
      <c r="D44" s="321" t="s">
        <v>50</v>
      </c>
      <c r="E44" s="322"/>
      <c r="F44" s="322" t="s">
        <v>572</v>
      </c>
      <c r="G44" s="322" t="s">
        <v>573</v>
      </c>
      <c r="H44" s="322" t="s">
        <v>574</v>
      </c>
      <c r="I44" s="323" t="s">
        <v>575</v>
      </c>
      <c r="M44" s="310"/>
    </row>
    <row r="45" spans="2:13" ht="65" hidden="1" x14ac:dyDescent="0.2">
      <c r="B45" s="320" t="s">
        <v>39</v>
      </c>
      <c r="C45" s="313" t="s">
        <v>82</v>
      </c>
      <c r="D45" s="321" t="s">
        <v>50</v>
      </c>
      <c r="E45" s="322"/>
      <c r="F45" s="322" t="s">
        <v>592</v>
      </c>
      <c r="G45" s="322" t="s">
        <v>593</v>
      </c>
      <c r="H45" s="322" t="s">
        <v>594</v>
      </c>
      <c r="I45" s="323" t="s">
        <v>595</v>
      </c>
      <c r="M45" s="310"/>
    </row>
    <row r="46" spans="2:13" ht="52" hidden="1" x14ac:dyDescent="0.2">
      <c r="B46" s="320" t="s">
        <v>39</v>
      </c>
      <c r="C46" s="313" t="s">
        <v>83</v>
      </c>
      <c r="D46" s="321" t="s">
        <v>52</v>
      </c>
      <c r="E46" s="322"/>
      <c r="F46" s="322" t="s">
        <v>487</v>
      </c>
      <c r="G46" s="322" t="s">
        <v>488</v>
      </c>
      <c r="H46" s="322" t="s">
        <v>489</v>
      </c>
      <c r="I46" s="323" t="s">
        <v>490</v>
      </c>
      <c r="M46" s="310"/>
    </row>
    <row r="47" spans="2:13" ht="52" hidden="1" x14ac:dyDescent="0.2">
      <c r="B47" s="320" t="s">
        <v>39</v>
      </c>
      <c r="C47" s="313" t="s">
        <v>84</v>
      </c>
      <c r="D47" s="321" t="s">
        <v>52</v>
      </c>
      <c r="E47" s="322"/>
      <c r="F47" s="322" t="s">
        <v>495</v>
      </c>
      <c r="G47" s="322" t="s">
        <v>496</v>
      </c>
      <c r="H47" s="322" t="s">
        <v>497</v>
      </c>
      <c r="I47" s="323" t="s">
        <v>498</v>
      </c>
      <c r="M47" s="310"/>
    </row>
    <row r="48" spans="2:13" ht="65" hidden="1" x14ac:dyDescent="0.2">
      <c r="B48" s="320" t="s">
        <v>39</v>
      </c>
      <c r="C48" s="313" t="s">
        <v>85</v>
      </c>
      <c r="D48" s="339" t="s">
        <v>41</v>
      </c>
      <c r="E48" s="322" t="s">
        <v>42</v>
      </c>
      <c r="F48" s="322" t="s">
        <v>517</v>
      </c>
      <c r="G48" s="322" t="s">
        <v>518</v>
      </c>
      <c r="H48" s="322" t="s">
        <v>519</v>
      </c>
      <c r="I48" s="323" t="s">
        <v>520</v>
      </c>
      <c r="M48" s="310"/>
    </row>
    <row r="49" spans="2:13" ht="78" hidden="1" x14ac:dyDescent="0.2">
      <c r="B49" s="320" t="s">
        <v>39</v>
      </c>
      <c r="C49" s="313" t="s">
        <v>86</v>
      </c>
      <c r="D49" s="321" t="s">
        <v>52</v>
      </c>
      <c r="E49" s="322"/>
      <c r="F49" s="322" t="s">
        <v>548</v>
      </c>
      <c r="G49" s="322" t="s">
        <v>549</v>
      </c>
      <c r="H49" s="322" t="s">
        <v>550</v>
      </c>
      <c r="I49" s="323" t="s">
        <v>551</v>
      </c>
      <c r="M49" s="310"/>
    </row>
    <row r="50" spans="2:13" ht="78" hidden="1" x14ac:dyDescent="0.2">
      <c r="B50" s="320" t="s">
        <v>39</v>
      </c>
      <c r="C50" s="313" t="s">
        <v>87</v>
      </c>
      <c r="D50" s="321" t="s">
        <v>52</v>
      </c>
      <c r="E50" s="322"/>
      <c r="F50" s="322" t="s">
        <v>584</v>
      </c>
      <c r="G50" s="322" t="s">
        <v>585</v>
      </c>
      <c r="H50" s="322" t="s">
        <v>586</v>
      </c>
      <c r="I50" s="323" t="s">
        <v>587</v>
      </c>
      <c r="M50" s="310"/>
    </row>
    <row r="51" spans="2:13" ht="52" hidden="1" x14ac:dyDescent="0.2">
      <c r="B51" s="320" t="s">
        <v>39</v>
      </c>
      <c r="C51" s="313" t="s">
        <v>88</v>
      </c>
      <c r="D51" s="321" t="s">
        <v>52</v>
      </c>
      <c r="E51" s="322"/>
      <c r="F51" s="322" t="s">
        <v>588</v>
      </c>
      <c r="G51" s="322" t="s">
        <v>589</v>
      </c>
      <c r="H51" s="322" t="s">
        <v>590</v>
      </c>
      <c r="I51" s="323" t="s">
        <v>591</v>
      </c>
      <c r="M51" s="310"/>
    </row>
    <row r="52" spans="2:13" ht="52" hidden="1" x14ac:dyDescent="0.2">
      <c r="B52" s="320" t="s">
        <v>39</v>
      </c>
      <c r="C52" s="313" t="s">
        <v>89</v>
      </c>
      <c r="D52" s="321" t="s">
        <v>52</v>
      </c>
      <c r="E52" s="322"/>
      <c r="F52" s="322" t="s">
        <v>617</v>
      </c>
      <c r="G52" s="322" t="s">
        <v>618</v>
      </c>
      <c r="H52" s="322"/>
      <c r="I52" s="323" t="s">
        <v>619</v>
      </c>
      <c r="M52" s="310"/>
    </row>
    <row r="53" spans="2:13" ht="52" hidden="1" x14ac:dyDescent="0.2">
      <c r="B53" s="320" t="s">
        <v>39</v>
      </c>
      <c r="C53" s="313" t="s">
        <v>90</v>
      </c>
      <c r="D53" s="321" t="s">
        <v>52</v>
      </c>
      <c r="E53" s="322"/>
      <c r="F53" s="322" t="s">
        <v>624</v>
      </c>
      <c r="G53" s="322" t="s">
        <v>625</v>
      </c>
      <c r="H53" s="322" t="s">
        <v>626</v>
      </c>
      <c r="I53" s="323" t="s">
        <v>627</v>
      </c>
      <c r="M53" s="310"/>
    </row>
    <row r="54" spans="2:13" ht="39" x14ac:dyDescent="0.2">
      <c r="B54" s="324" t="s">
        <v>46</v>
      </c>
      <c r="C54" s="313" t="s">
        <v>91</v>
      </c>
      <c r="D54" s="321" t="s">
        <v>52</v>
      </c>
      <c r="E54" s="322"/>
      <c r="F54" s="322" t="s">
        <v>628</v>
      </c>
      <c r="G54" s="322" t="s">
        <v>629</v>
      </c>
      <c r="H54" s="322" t="s">
        <v>630</v>
      </c>
      <c r="I54" s="323" t="s">
        <v>631</v>
      </c>
      <c r="M54" s="310"/>
    </row>
    <row r="55" spans="2:13" ht="104" hidden="1" x14ac:dyDescent="0.2">
      <c r="B55" s="325" t="s">
        <v>39</v>
      </c>
      <c r="C55" s="326" t="s">
        <v>92</v>
      </c>
      <c r="D55" s="327" t="s">
        <v>52</v>
      </c>
      <c r="E55" s="328"/>
      <c r="F55" s="328" t="s">
        <v>632</v>
      </c>
      <c r="G55" s="328" t="s">
        <v>633</v>
      </c>
      <c r="H55" s="328"/>
      <c r="I55" s="329"/>
      <c r="M55" s="310"/>
    </row>
    <row r="57" spans="2:13" hidden="1" outlineLevel="1" x14ac:dyDescent="0.2">
      <c r="B57" s="421" t="s">
        <v>405</v>
      </c>
      <c r="C57" s="422"/>
      <c r="D57" s="422"/>
      <c r="E57" s="422"/>
    </row>
    <row r="58" spans="2:13" hidden="1" outlineLevel="1" x14ac:dyDescent="0.2">
      <c r="B58" s="330">
        <v>1</v>
      </c>
      <c r="C58" s="331" t="str" cm="1">
        <f t="array" ref="C58:C62">_xlfn.TAKE(_xlfn._xlws.FILTER(tblEASmellCatalogue[Smell Name],tblEASmellCatalogue[Include]="Yes",""),10)</f>
        <v>Cyclic Dependency</v>
      </c>
    </row>
    <row r="59" spans="2:13" hidden="1" outlineLevel="1" x14ac:dyDescent="0.2">
      <c r="B59" s="330">
        <v>2</v>
      </c>
      <c r="C59" s="331" t="str">
        <v>Shared Persistency</v>
      </c>
    </row>
    <row r="60" spans="2:13" hidden="1" outlineLevel="1" x14ac:dyDescent="0.2">
      <c r="B60" s="330">
        <v>3</v>
      </c>
      <c r="C60" s="331" t="str">
        <v>Feature Envy</v>
      </c>
    </row>
    <row r="61" spans="2:13" hidden="1" outlineLevel="1" x14ac:dyDescent="0.2">
      <c r="B61" s="330">
        <v>4</v>
      </c>
      <c r="C61" s="331" t="str">
        <v>Stovepipe System</v>
      </c>
    </row>
    <row r="62" spans="2:13" hidden="1" outlineLevel="1" x14ac:dyDescent="0.2">
      <c r="B62" s="330">
        <v>5</v>
      </c>
      <c r="C62" s="331" t="str">
        <v>Vendor Lock-In</v>
      </c>
    </row>
    <row r="63" spans="2:13" hidden="1" outlineLevel="1" x14ac:dyDescent="0.2">
      <c r="B63" s="330">
        <v>6</v>
      </c>
      <c r="C63" s="311"/>
    </row>
    <row r="64" spans="2:13" hidden="1" outlineLevel="1" x14ac:dyDescent="0.2">
      <c r="B64" s="330">
        <v>7</v>
      </c>
    </row>
    <row r="65" spans="2:2" hidden="1" outlineLevel="1" x14ac:dyDescent="0.2">
      <c r="B65" s="330">
        <v>8</v>
      </c>
    </row>
    <row r="66" spans="2:2" hidden="1" outlineLevel="1" x14ac:dyDescent="0.2">
      <c r="B66" s="330">
        <v>9</v>
      </c>
    </row>
    <row r="67" spans="2:2" hidden="1" outlineLevel="1" x14ac:dyDescent="0.2">
      <c r="B67" s="330">
        <v>10</v>
      </c>
    </row>
    <row r="68" spans="2:2" collapsed="1" x14ac:dyDescent="0.2"/>
  </sheetData>
  <customSheetViews>
    <customSheetView guid="{A1A3B705-A997-C843-8A73-5252E7FC1F87}" showGridLines="0">
      <pane xSplit="1" ySplit="4" topLeftCell="B5" activePane="bottomRight" state="frozen"/>
      <selection pane="bottomRight" activeCell="F23" sqref="F23"/>
      <pageMargins left="0.75" right="0.75" top="1" bottom="1" header="0.511811023622047" footer="0.511811023622047"/>
      <pageSetup paperSize="9" orientation="portrait" horizontalDpi="300" verticalDpi="300"/>
    </customSheetView>
  </customSheetViews>
  <mergeCells count="9">
    <mergeCell ref="B1:I1"/>
    <mergeCell ref="D4:E5"/>
    <mergeCell ref="G3:G8"/>
    <mergeCell ref="B10:D10"/>
    <mergeCell ref="B57:E57"/>
    <mergeCell ref="D6:E6"/>
    <mergeCell ref="D7:E7"/>
    <mergeCell ref="D8:E8"/>
    <mergeCell ref="D3:E3"/>
  </mergeCells>
  <phoneticPr fontId="30" type="noConversion"/>
  <conditionalFormatting sqref="B1:B2 B4:B9 B12:B56 B68:B1048576">
    <cfRule type="containsText" dxfId="108" priority="2" operator="containsText" text="Yes">
      <formula>NOT(ISERROR(SEARCH("Yes",B1)))</formula>
    </cfRule>
    <cfRule type="containsText" dxfId="107" priority="3" operator="containsText" text="No">
      <formula>NOT(ISERROR(SEARCH("No",B1)))</formula>
    </cfRule>
  </conditionalFormatting>
  <dataValidations count="1">
    <dataValidation type="list" sqref="B12:B22 B24:B27 B29:B34 B55 B36:B53" xr:uid="{00000000-0002-0000-0A00-000000000000}">
      <formula1>"Yes,No"</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docMetadata/LabelInfo.xml><?xml version="1.0" encoding="utf-8"?>
<clbl:labelList xmlns:clbl="http://schemas.microsoft.com/office/2020/mipLabelMetadata">
  <clbl:label id="{1e586649-7317-42fb-8949-66923d34ba7e}" enabled="0" method="" siteId="{1e586649-7317-42fb-8949-66923d34ba7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Cover</vt:lpstr>
      <vt:lpstr>1.0 Case Context</vt:lpstr>
      <vt:lpstr>1.1 AHP Hierarchy</vt:lpstr>
      <vt:lpstr>1.2 Weights</vt:lpstr>
      <vt:lpstr>1.3 IP Pairwise</vt:lpstr>
      <vt:lpstr>1.4 EA Smell Scoring</vt:lpstr>
      <vt:lpstr>1.5 Results EA Smell Dashboard</vt:lpstr>
      <vt:lpstr>1.6 IP Calculations</vt:lpstr>
      <vt:lpstr>1.7 AHP Calculations</vt:lpstr>
      <vt:lpstr>AHP Saaty Reference</vt:lpstr>
      <vt:lpstr>EA Smell Catalogue</vt:lpstr>
      <vt:lpstr>SelectedSmells</vt:lpstr>
      <vt:lpstr>SmellCatalogue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Tolkounai K</dc:creator>
  <cp:keywords/>
  <dc:description/>
  <cp:lastModifiedBy>Tolkounai Karybekova</cp:lastModifiedBy>
  <cp:revision>0</cp:revision>
  <dcterms:created xsi:type="dcterms:W3CDTF">2026-04-14T17:37:38Z</dcterms:created>
  <dcterms:modified xsi:type="dcterms:W3CDTF">2026-10-01T19:01:10Z</dcterms:modified>
  <cp:category/>
  <cp:contentStatus/>
</cp:coreProperties>
</file>