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2f5ee83cc1a8a33/Documents/"/>
    </mc:Choice>
  </mc:AlternateContent>
  <xr:revisionPtr revIDLastSave="94" documentId="8_{59235342-D838-484D-8C21-261DA04BA54D}" xr6:coauthVersionLast="47" xr6:coauthVersionMax="47" xr10:uidLastSave="{0A5503EF-0A0D-419C-9E45-4151F58DF2A6}"/>
  <bookViews>
    <workbookView xWindow="1005" yWindow="3105" windowWidth="28687" windowHeight="11333" xr2:uid="{9F4778D3-973F-44DE-A00C-3281388C60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AO7" i="1" s="1"/>
  <c r="M7" i="1"/>
  <c r="F5" i="1"/>
  <c r="AK5" i="1" s="1"/>
  <c r="F6" i="1"/>
  <c r="AG6" i="1" s="1"/>
  <c r="AJ5" i="1" l="1"/>
  <c r="AI5" i="1"/>
  <c r="AM5" i="1"/>
  <c r="AL5" i="1"/>
  <c r="D6" i="1"/>
  <c r="E6" i="1"/>
  <c r="AF6" i="1"/>
  <c r="AM6" i="1"/>
  <c r="AL6" i="1"/>
  <c r="AK6" i="1"/>
  <c r="AH6" i="1"/>
  <c r="AJ6" i="1"/>
  <c r="AI6" i="1"/>
  <c r="Y6" i="1" l="1"/>
  <c r="S6" i="1"/>
  <c r="AO5" i="1"/>
  <c r="U6" i="1"/>
  <c r="V6" i="1"/>
  <c r="W6" i="1"/>
  <c r="R6" i="1"/>
  <c r="T6" i="1"/>
  <c r="AC6" i="1"/>
  <c r="AE6" i="1"/>
  <c r="Z6" i="1"/>
  <c r="AA6" i="1"/>
  <c r="AB6" i="1"/>
  <c r="AD6" i="1"/>
  <c r="X6" i="1"/>
  <c r="AP5" i="1" l="1"/>
  <c r="AO6" i="1"/>
  <c r="AP6" i="1" l="1"/>
  <c r="D8" i="1"/>
  <c r="L8" i="1" s="1"/>
  <c r="E8" i="1"/>
  <c r="K8" i="1" s="1"/>
  <c r="AO8" i="1" l="1"/>
  <c r="AO9" i="1" s="1"/>
  <c r="AP9" i="1" s="1"/>
  <c r="B10" i="1" s="1"/>
</calcChain>
</file>

<file path=xl/sharedStrings.xml><?xml version="1.0" encoding="utf-8"?>
<sst xmlns="http://schemas.openxmlformats.org/spreadsheetml/2006/main" count="19" uniqueCount="14">
  <si>
    <t>KERI</t>
  </si>
  <si>
    <t>CARD</t>
  </si>
  <si>
    <t>FC</t>
  </si>
  <si>
    <t>TOTAL</t>
  </si>
  <si>
    <t>RESULT</t>
  </si>
  <si>
    <t>FIXED</t>
  </si>
  <si>
    <t>PARITY</t>
  </si>
  <si>
    <t>https://github.com/Next-Flip/Momentum-Firmware/blob/dev/lib/lfrfid/protocols/protocol_keri.c</t>
  </si>
  <si>
    <t>https://github.com/RfidResearchGroup/proxmark3/blob/3ce68d4df918ef738686e7b63181dbe19809edd9/client/src/cmdlfkeri.c</t>
  </si>
  <si>
    <t>MAIN ALGO FROM</t>
  </si>
  <si>
    <t>FIXED/PARITY FROM</t>
  </si>
  <si>
    <t>ENTER YOUR FC AND CARD NUMBER IN CELLS B5 and B6. THE SPREADSHEET WILL CALCULATE THE HEX IN CELL B10.</t>
  </si>
  <si>
    <t xml:space="preserve">MORE INFO - </t>
  </si>
  <si>
    <t>https://github.com/jamisonderek/flipper-zero-tutorials/tree/main/rfid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</si>
</sst>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amisonderek/flipper-zero-tutorials/tree/main/rfid" TargetMode="External"/><Relationship Id="rId2" Type="http://schemas.openxmlformats.org/officeDocument/2006/relationships/hyperlink" Target="https://github.com/Next-Flip/Momentum-Firmware/blob/dev/lib/lfrfid/protocols/protocol_keri.c" TargetMode="External"/><Relationship Id="rId1" Type="http://schemas.openxmlformats.org/officeDocument/2006/relationships/hyperlink" Target="https://github.com/RfidResearchGroup/proxmark3/blob/3ce68d4df918ef738686e7b63181dbe19809edd9/client/src/cmdlfkeri.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751B-5C8B-4C51-A3BB-245C14A5BD9A}">
  <dimension ref="A1:AQ17"/>
  <sheetViews>
    <sheetView tabSelected="1" workbookViewId="0">
      <selection activeCell="Y16" sqref="Y16"/>
    </sheetView>
  </sheetViews>
  <sheetFormatPr defaultRowHeight="14.25" x14ac:dyDescent="0.45"/>
  <cols>
    <col min="2" max="2" width="10.73046875" bestFit="1" customWidth="1"/>
    <col min="3" max="3" width="9.1328125" customWidth="1"/>
    <col min="4" max="4" width="10.73046875" bestFit="1" customWidth="1"/>
    <col min="8" max="17" width="2.73046875" bestFit="1" customWidth="1"/>
    <col min="18" max="18" width="4.73046875" bestFit="1" customWidth="1"/>
    <col min="19" max="28" width="2.73046875" bestFit="1" customWidth="1"/>
    <col min="29" max="29" width="7.73046875" bestFit="1" customWidth="1"/>
    <col min="30" max="32" width="2.73046875" bestFit="1" customWidth="1"/>
    <col min="33" max="33" width="7.73046875" bestFit="1" customWidth="1"/>
    <col min="34" max="34" width="2.73046875" bestFit="1" customWidth="1"/>
    <col min="35" max="35" width="3.86328125" customWidth="1"/>
    <col min="36" max="36" width="7.73046875" bestFit="1" customWidth="1"/>
    <col min="37" max="37" width="6.73046875" bestFit="1" customWidth="1"/>
    <col min="38" max="38" width="10.73046875" bestFit="1" customWidth="1"/>
    <col min="39" max="39" width="3.73046875" customWidth="1"/>
    <col min="41" max="41" width="10.73046875" bestFit="1" customWidth="1"/>
    <col min="42" max="42" width="18.73046875" customWidth="1"/>
  </cols>
  <sheetData>
    <row r="1" spans="1:43" x14ac:dyDescent="0.45">
      <c r="A1" s="1" t="s">
        <v>0</v>
      </c>
      <c r="H1" s="1">
        <v>32</v>
      </c>
      <c r="I1" s="1">
        <v>31</v>
      </c>
      <c r="J1" s="1">
        <v>30</v>
      </c>
      <c r="K1" s="1">
        <v>29</v>
      </c>
      <c r="L1" s="1">
        <v>28</v>
      </c>
      <c r="M1" s="1">
        <v>27</v>
      </c>
      <c r="N1" s="1">
        <v>26</v>
      </c>
      <c r="O1" s="1">
        <v>25</v>
      </c>
      <c r="P1">
        <v>24</v>
      </c>
      <c r="Q1">
        <v>23</v>
      </c>
      <c r="R1">
        <v>22</v>
      </c>
      <c r="S1">
        <v>21</v>
      </c>
      <c r="T1">
        <v>20</v>
      </c>
      <c r="U1">
        <v>19</v>
      </c>
      <c r="V1">
        <v>18</v>
      </c>
      <c r="W1">
        <v>17</v>
      </c>
      <c r="X1" s="1">
        <v>16</v>
      </c>
      <c r="Y1" s="1">
        <v>15</v>
      </c>
      <c r="Z1" s="1">
        <v>14</v>
      </c>
      <c r="AA1" s="1">
        <v>13</v>
      </c>
      <c r="AB1" s="1">
        <v>12</v>
      </c>
      <c r="AC1" s="1">
        <v>11</v>
      </c>
      <c r="AD1" s="1">
        <v>10</v>
      </c>
      <c r="AE1" s="1">
        <v>9</v>
      </c>
      <c r="AF1">
        <v>8</v>
      </c>
      <c r="AG1">
        <v>7</v>
      </c>
      <c r="AH1">
        <v>6</v>
      </c>
      <c r="AI1">
        <v>5</v>
      </c>
      <c r="AJ1">
        <v>4</v>
      </c>
      <c r="AK1">
        <v>3</v>
      </c>
      <c r="AL1">
        <v>2</v>
      </c>
      <c r="AM1">
        <v>1</v>
      </c>
    </row>
    <row r="2" spans="1:43" x14ac:dyDescent="0.45">
      <c r="A2" s="1"/>
      <c r="H2" s="1"/>
      <c r="I2" s="1"/>
      <c r="J2" s="1"/>
      <c r="K2" s="1">
        <v>0</v>
      </c>
      <c r="L2" s="1">
        <v>1</v>
      </c>
      <c r="M2" s="1">
        <v>3</v>
      </c>
      <c r="N2" s="1">
        <v>31</v>
      </c>
      <c r="O2" s="1"/>
      <c r="X2" s="1"/>
      <c r="Y2" s="1"/>
      <c r="Z2" s="1"/>
      <c r="AA2" s="1"/>
      <c r="AB2" s="1"/>
      <c r="AC2" s="1"/>
      <c r="AD2" s="1"/>
      <c r="AE2" s="1"/>
      <c r="AQ2" t="s">
        <v>5</v>
      </c>
    </row>
    <row r="3" spans="1:43" x14ac:dyDescent="0.45">
      <c r="R3">
        <v>10</v>
      </c>
      <c r="S3">
        <v>6</v>
      </c>
      <c r="T3">
        <v>25</v>
      </c>
      <c r="U3">
        <v>23</v>
      </c>
      <c r="V3">
        <v>11</v>
      </c>
      <c r="W3">
        <v>8</v>
      </c>
      <c r="X3">
        <v>17</v>
      </c>
      <c r="Y3">
        <v>27</v>
      </c>
      <c r="Z3">
        <v>4</v>
      </c>
      <c r="AA3">
        <v>5</v>
      </c>
      <c r="AB3">
        <v>19</v>
      </c>
      <c r="AC3">
        <v>16</v>
      </c>
      <c r="AD3">
        <v>29</v>
      </c>
      <c r="AE3">
        <v>12</v>
      </c>
      <c r="AF3">
        <v>15</v>
      </c>
      <c r="AG3">
        <v>9</v>
      </c>
      <c r="AH3">
        <v>7</v>
      </c>
      <c r="AI3">
        <v>20</v>
      </c>
      <c r="AJ3">
        <v>28</v>
      </c>
      <c r="AK3">
        <v>26</v>
      </c>
      <c r="AL3">
        <v>21</v>
      </c>
      <c r="AM3">
        <v>14</v>
      </c>
      <c r="AQ3" t="s">
        <v>1</v>
      </c>
    </row>
    <row r="4" spans="1:43" x14ac:dyDescent="0.45">
      <c r="AI4">
        <v>24</v>
      </c>
      <c r="AJ4">
        <v>22</v>
      </c>
      <c r="AK4">
        <v>18</v>
      </c>
      <c r="AL4">
        <v>30</v>
      </c>
      <c r="AM4">
        <v>13</v>
      </c>
      <c r="AQ4" t="s">
        <v>2</v>
      </c>
    </row>
    <row r="5" spans="1:43" x14ac:dyDescent="0.45">
      <c r="A5" s="1" t="s">
        <v>2</v>
      </c>
      <c r="B5">
        <v>17</v>
      </c>
      <c r="F5" t="str">
        <f>DEC2BIN(MOD($B5,256),8)</f>
        <v>00010001</v>
      </c>
      <c r="AI5">
        <f>IF(MID($F5,9-AI$1,1)="1",2^AI4,0)</f>
        <v>16777216</v>
      </c>
      <c r="AJ5">
        <f>IF(MID($F5,9-AJ$1,1)="1",2^AJ4,0)</f>
        <v>0</v>
      </c>
      <c r="AK5">
        <f>IF(MID($F5,9-AK$1,1)="1",2^AK4,0)</f>
        <v>0</v>
      </c>
      <c r="AL5">
        <f>IF(MID($F5,9-AL$1,1)="1",2^AL4,0)</f>
        <v>0</v>
      </c>
      <c r="AM5">
        <f>IF(MID($F5,9-AM$1,1)="1",2^AM4,0)</f>
        <v>8192</v>
      </c>
      <c r="AO5">
        <f>SUM(H5:AM5)</f>
        <v>16785408</v>
      </c>
      <c r="AP5" t="str">
        <f>DEC2HEX(AO5, 8)</f>
        <v>01002000</v>
      </c>
      <c r="AQ5" t="s">
        <v>2</v>
      </c>
    </row>
    <row r="6" spans="1:43" x14ac:dyDescent="0.45">
      <c r="A6" s="1" t="s">
        <v>1</v>
      </c>
      <c r="B6">
        <v>1337</v>
      </c>
      <c r="D6" t="str">
        <f>DEC2BIN(MOD($B6/(256*256), 256),8)</f>
        <v>00000000</v>
      </c>
      <c r="E6" t="str">
        <f>DEC2BIN(MOD($B6/256, 256),8)</f>
        <v>00000101</v>
      </c>
      <c r="F6" t="str">
        <f>DEC2BIN(MOD($B6,256),8)</f>
        <v>00111001</v>
      </c>
      <c r="R6">
        <f t="shared" ref="R6:W6" si="0">IF(MID($D6,25-R$1,1)="1",2^R3,0)</f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>IF(MID($E6,17-X$1,1)="1",2^X3,0)</f>
        <v>0</v>
      </c>
      <c r="Y6">
        <f t="shared" ref="Y6:AE6" si="1">IF(MID($E6,17-Y$1,1)="1",2^Y3,0)</f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65536</v>
      </c>
      <c r="AD6">
        <f t="shared" si="1"/>
        <v>0</v>
      </c>
      <c r="AE6">
        <f t="shared" si="1"/>
        <v>4096</v>
      </c>
      <c r="AF6">
        <f>IF(MID($F6,9-AF$1,1)="1",2^AF3,0)</f>
        <v>0</v>
      </c>
      <c r="AG6">
        <f t="shared" ref="AG6:AM6" si="2">IF(MID($F6,9-AG$1,1)="1",2^AG3,0)</f>
        <v>0</v>
      </c>
      <c r="AH6">
        <f t="shared" si="2"/>
        <v>128</v>
      </c>
      <c r="AI6">
        <f t="shared" si="2"/>
        <v>1048576</v>
      </c>
      <c r="AJ6">
        <f t="shared" si="2"/>
        <v>268435456</v>
      </c>
      <c r="AK6">
        <f t="shared" si="2"/>
        <v>0</v>
      </c>
      <c r="AL6">
        <f t="shared" si="2"/>
        <v>0</v>
      </c>
      <c r="AM6">
        <f t="shared" si="2"/>
        <v>16384</v>
      </c>
      <c r="AO6">
        <f>SUM(H6:AM6)</f>
        <v>269570176</v>
      </c>
      <c r="AP6" t="str">
        <f>DEC2HEX(AO6, 8)</f>
        <v>10115080</v>
      </c>
      <c r="AQ6" t="s">
        <v>1</v>
      </c>
    </row>
    <row r="7" spans="1:43" x14ac:dyDescent="0.45">
      <c r="A7" s="1"/>
      <c r="M7">
        <f>2^M2</f>
        <v>8</v>
      </c>
      <c r="N7">
        <f>2^N2</f>
        <v>2147483648</v>
      </c>
      <c r="AO7">
        <f>SUM(H7:AM7)</f>
        <v>2147483656</v>
      </c>
      <c r="AQ7" t="s">
        <v>5</v>
      </c>
    </row>
    <row r="8" spans="1:43" x14ac:dyDescent="0.45">
      <c r="D8">
        <f>MOD(LEN(_xlfn.REGEXREPLACE(_xlfn.REGEXREPLACE(DEC2HEX(SUM(AO5:AO7)), "[236789CD]", "O"),"[^O]","")),2)</f>
        <v>0</v>
      </c>
      <c r="E8">
        <f>MOD(LEN(_xlfn.REGEXREPLACE(_xlfn.REGEXREPLACE(DEC2HEX(SUM(AO5:AO7)), "[02578ADF]", "O"),"[^O]",""))+1,2)</f>
        <v>1</v>
      </c>
      <c r="K8">
        <f>E8*2^K2</f>
        <v>1</v>
      </c>
      <c r="L8">
        <f>D8*2^L2</f>
        <v>0</v>
      </c>
      <c r="AO8">
        <f>SUM(H8:AM8)</f>
        <v>1</v>
      </c>
      <c r="AQ8" t="s">
        <v>6</v>
      </c>
    </row>
    <row r="9" spans="1:43" x14ac:dyDescent="0.45">
      <c r="AO9">
        <f>AO5+AO6+AO7+AO8</f>
        <v>2433839241</v>
      </c>
      <c r="AP9" t="str">
        <f>DEC2HEX(AO9, 8)</f>
        <v>91117089</v>
      </c>
      <c r="AQ9" t="s">
        <v>3</v>
      </c>
    </row>
    <row r="10" spans="1:43" x14ac:dyDescent="0.45">
      <c r="A10" t="s">
        <v>4</v>
      </c>
      <c r="B10" s="2" t="str">
        <f>AP9</f>
        <v>91117089</v>
      </c>
    </row>
    <row r="13" spans="1:43" x14ac:dyDescent="0.45">
      <c r="B13" t="s">
        <v>9</v>
      </c>
      <c r="D13" s="3" t="s">
        <v>7</v>
      </c>
    </row>
    <row r="14" spans="1:43" x14ac:dyDescent="0.45">
      <c r="B14" t="s">
        <v>10</v>
      </c>
      <c r="D14" s="3" t="s">
        <v>8</v>
      </c>
    </row>
    <row r="16" spans="1:43" x14ac:dyDescent="0.45">
      <c r="B16" s="4" t="s">
        <v>11</v>
      </c>
    </row>
    <row r="17" spans="2:4" x14ac:dyDescent="0.45">
      <c r="B17" t="s">
        <v>12</v>
      </c>
      <c r="D17" s="3" t="s">
        <v>13</v>
      </c>
    </row>
  </sheetData>
  <conditionalFormatting sqref="B5">
    <cfRule type="cellIs" dxfId="3" priority="4" operator="greaterThan">
      <formula>31</formula>
    </cfRule>
  </conditionalFormatting>
  <conditionalFormatting sqref="B6:B7">
    <cfRule type="cellIs" dxfId="2" priority="1" operator="greaterThan">
      <formula>4194303</formula>
    </cfRule>
    <cfRule type="cellIs" dxfId="1" priority="2" operator="greaterThan">
      <formula>8388606</formula>
    </cfRule>
    <cfRule type="cellIs" dxfId="0" priority="3" operator="greaterThan">
      <formula>8388607</formula>
    </cfRule>
  </conditionalFormatting>
  <hyperlinks>
    <hyperlink ref="D14" r:id="rId1" xr:uid="{C7CD762F-F1BF-4E97-A554-AF5DA62515BF}"/>
    <hyperlink ref="D13" r:id="rId2" xr:uid="{36E93600-D7AD-471B-BBC7-8A19955F2C47}"/>
    <hyperlink ref="D17" r:id="rId3" xr:uid="{522FE8A8-6C22-4093-8BBE-7460784851A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Jamison</dc:creator>
  <cp:keywords/>
  <dc:description/>
  <cp:lastModifiedBy>Derek Jamison</cp:lastModifiedBy>
  <cp:revision/>
  <dcterms:created xsi:type="dcterms:W3CDTF">2025-01-27T22:46:56Z</dcterms:created>
  <dcterms:modified xsi:type="dcterms:W3CDTF">2025-01-29T18:46:49Z</dcterms:modified>
  <cp:category/>
  <cp:contentStatus/>
</cp:coreProperties>
</file>