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lipper\flipper-zero-tutorials\rfid\"/>
    </mc:Choice>
  </mc:AlternateContent>
  <xr:revisionPtr revIDLastSave="0" documentId="13_ncr:1_{F58DC21D-40DB-42D6-9E21-9A8363271523}" xr6:coauthVersionLast="47" xr6:coauthVersionMax="47" xr10:uidLastSave="{00000000-0000-0000-0000-000000000000}"/>
  <bookViews>
    <workbookView xWindow="-10313" yWindow="3278" windowWidth="21600" windowHeight="11332" activeTab="4" xr2:uid="{78F3654B-70F0-43D6-87BE-6C8EA5AE2A75}"/>
  </bookViews>
  <sheets>
    <sheet name="EM4100" sheetId="2" r:id="rId1"/>
    <sheet name="H10301" sheetId="3" r:id="rId2"/>
    <sheet name="AWID" sheetId="4" r:id="rId3"/>
    <sheet name="CardNumber" sheetId="6" r:id="rId4"/>
    <sheet name="Indal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7" l="1"/>
  <c r="G6" i="7"/>
  <c r="H6" i="7"/>
  <c r="L22" i="7" s="1"/>
  <c r="L23" i="7" s="1"/>
  <c r="I6" i="7"/>
  <c r="J6" i="7"/>
  <c r="H22" i="7" s="1"/>
  <c r="H23" i="7" s="1"/>
  <c r="K6" i="7"/>
  <c r="L6" i="7"/>
  <c r="M6" i="7"/>
  <c r="N6" i="7"/>
  <c r="O6" i="7"/>
  <c r="P6" i="7"/>
  <c r="Q6" i="7"/>
  <c r="R6" i="7"/>
  <c r="S6" i="7"/>
  <c r="T6" i="7"/>
  <c r="E6" i="7"/>
  <c r="I2" i="6"/>
  <c r="K2" i="6"/>
  <c r="K5" i="6" s="1"/>
  <c r="AG24" i="7"/>
  <c r="C13" i="7"/>
  <c r="C14" i="7" s="1"/>
  <c r="C15" i="7" s="1"/>
  <c r="J20" i="7" s="1"/>
  <c r="J23" i="7" s="1"/>
  <c r="C8" i="7"/>
  <c r="C9" i="7" s="1"/>
  <c r="AA23" i="7"/>
  <c r="M22" i="7"/>
  <c r="M23" i="7" s="1"/>
  <c r="V22" i="7"/>
  <c r="V23" i="7" s="1"/>
  <c r="AE22" i="7"/>
  <c r="AE23" i="7" s="1"/>
  <c r="AB22" i="7"/>
  <c r="AB23" i="7" s="1"/>
  <c r="Z22" i="7"/>
  <c r="Z23" i="7" s="1"/>
  <c r="I22" i="7"/>
  <c r="I23" i="7" s="1"/>
  <c r="E22" i="7"/>
  <c r="E23" i="7" s="1"/>
  <c r="R22" i="7"/>
  <c r="R23" i="7" s="1"/>
  <c r="W22" i="7"/>
  <c r="W23" i="7" s="1"/>
  <c r="G22" i="7"/>
  <c r="G23" i="7" s="1"/>
  <c r="X22" i="7"/>
  <c r="X23" i="7" s="1"/>
  <c r="C5" i="7"/>
  <c r="AB5" i="7" s="1"/>
  <c r="O22" i="7"/>
  <c r="O23" i="7" s="1"/>
  <c r="Q22" i="7"/>
  <c r="Q23" i="7" s="1"/>
  <c r="N22" i="7"/>
  <c r="N23" i="7" s="1"/>
  <c r="AD21" i="7"/>
  <c r="AD23" i="7" s="1"/>
  <c r="AC21" i="7"/>
  <c r="AC23" i="7" s="1"/>
  <c r="Y21" i="7"/>
  <c r="Y23" i="7" s="1"/>
  <c r="U21" i="7"/>
  <c r="U23" i="7" s="1"/>
  <c r="T21" i="7"/>
  <c r="T23" i="7" s="1"/>
  <c r="S21" i="7"/>
  <c r="S23" i="7" s="1"/>
  <c r="P21" i="7"/>
  <c r="P23" i="7" s="1"/>
  <c r="K21" i="7"/>
  <c r="K23" i="7" s="1"/>
  <c r="C2" i="7"/>
  <c r="L2" i="7" s="1"/>
  <c r="J15" i="6"/>
  <c r="J11" i="6"/>
  <c r="I15" i="6" s="1"/>
  <c r="K3" i="6"/>
  <c r="K6" i="6" s="1"/>
  <c r="K1" i="6"/>
  <c r="K30" i="6" s="1"/>
  <c r="C15" i="6"/>
  <c r="C11" i="6"/>
  <c r="B15" i="6" s="1"/>
  <c r="D1" i="6"/>
  <c r="D30" i="6" s="1"/>
  <c r="D3" i="6"/>
  <c r="D6" i="6" s="1"/>
  <c r="D2" i="6"/>
  <c r="D5" i="6" s="1"/>
  <c r="H19" i="4"/>
  <c r="F18" i="4"/>
  <c r="E18" i="4"/>
  <c r="D18" i="4"/>
  <c r="K18" i="4" s="1"/>
  <c r="C18" i="4"/>
  <c r="F17" i="4"/>
  <c r="E17" i="4"/>
  <c r="D17" i="4"/>
  <c r="C17" i="4"/>
  <c r="H9" i="3"/>
  <c r="F5" i="3"/>
  <c r="F4" i="3"/>
  <c r="U17" i="4"/>
  <c r="V17" i="4" s="1"/>
  <c r="U16" i="4"/>
  <c r="V16" i="4" s="1"/>
  <c r="U15" i="4"/>
  <c r="V15" i="4" s="1"/>
  <c r="U14" i="4"/>
  <c r="V14" i="4" s="1"/>
  <c r="U13" i="4"/>
  <c r="V13" i="4" s="1"/>
  <c r="U12" i="4"/>
  <c r="V12" i="4" s="1"/>
  <c r="U11" i="4"/>
  <c r="V11" i="4" s="1"/>
  <c r="U10" i="4"/>
  <c r="V10" i="4" s="1"/>
  <c r="U9" i="4"/>
  <c r="V9" i="4" s="1"/>
  <c r="U8" i="4"/>
  <c r="V8" i="4" s="1"/>
  <c r="U7" i="4"/>
  <c r="V7" i="4" s="1"/>
  <c r="U6" i="4"/>
  <c r="V6" i="4" s="1"/>
  <c r="U5" i="4"/>
  <c r="V5" i="4" s="1"/>
  <c r="U4" i="4"/>
  <c r="V4" i="4" s="1"/>
  <c r="U3" i="4"/>
  <c r="V3" i="4" s="1"/>
  <c r="U2" i="4"/>
  <c r="V2" i="4" s="1"/>
  <c r="S17" i="3"/>
  <c r="T17" i="3" s="1"/>
  <c r="S16" i="3"/>
  <c r="T16" i="3" s="1"/>
  <c r="S15" i="3"/>
  <c r="T15" i="3" s="1"/>
  <c r="S14" i="3"/>
  <c r="T14" i="3" s="1"/>
  <c r="S13" i="3"/>
  <c r="T13" i="3" s="1"/>
  <c r="S12" i="3"/>
  <c r="T12" i="3" s="1"/>
  <c r="S11" i="3"/>
  <c r="T11" i="3" s="1"/>
  <c r="S10" i="3"/>
  <c r="T10" i="3" s="1"/>
  <c r="T9" i="3"/>
  <c r="S9" i="3"/>
  <c r="S8" i="3"/>
  <c r="T8" i="3" s="1"/>
  <c r="S7" i="3"/>
  <c r="T7" i="3" s="1"/>
  <c r="S6" i="3"/>
  <c r="T6" i="3" s="1"/>
  <c r="S5" i="3"/>
  <c r="T5" i="3" s="1"/>
  <c r="S4" i="3"/>
  <c r="T4" i="3" s="1"/>
  <c r="S3" i="3"/>
  <c r="T3" i="3" s="1"/>
  <c r="S2" i="3"/>
  <c r="T2" i="3" s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2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A8" i="4"/>
  <c r="F8" i="4" s="1"/>
  <c r="A7" i="4"/>
  <c r="F7" i="4" s="1"/>
  <c r="A16" i="4"/>
  <c r="F16" i="4" s="1"/>
  <c r="A15" i="4"/>
  <c r="C15" i="4" s="1"/>
  <c r="A14" i="4"/>
  <c r="C14" i="4" s="1"/>
  <c r="A13" i="4"/>
  <c r="C13" i="4" s="1"/>
  <c r="A9" i="4"/>
  <c r="E9" i="4" s="1"/>
  <c r="C3" i="4"/>
  <c r="A12" i="4"/>
  <c r="C12" i="4" s="1"/>
  <c r="A11" i="4"/>
  <c r="D11" i="4" s="1"/>
  <c r="A10" i="4"/>
  <c r="C10" i="4" s="1"/>
  <c r="C5" i="3"/>
  <c r="C4" i="3"/>
  <c r="C3" i="3"/>
  <c r="A14" i="3"/>
  <c r="H14" i="3" s="1"/>
  <c r="A13" i="3"/>
  <c r="I13" i="3" s="1"/>
  <c r="A12" i="3"/>
  <c r="C12" i="3" s="1"/>
  <c r="A11" i="3"/>
  <c r="C11" i="3" s="1"/>
  <c r="A10" i="3"/>
  <c r="J10" i="3" s="1"/>
  <c r="A9" i="3"/>
  <c r="E9" i="3" s="1"/>
  <c r="A15" i="2"/>
  <c r="C15" i="2" s="1"/>
  <c r="A14" i="2"/>
  <c r="C14" i="2" s="1"/>
  <c r="A13" i="2"/>
  <c r="C13" i="2" s="1"/>
  <c r="A12" i="2"/>
  <c r="E12" i="2" s="1"/>
  <c r="A11" i="2"/>
  <c r="E11" i="2" s="1"/>
  <c r="A10" i="2"/>
  <c r="C10" i="2" s="1"/>
  <c r="A9" i="2"/>
  <c r="F9" i="2" s="1"/>
  <c r="A8" i="2"/>
  <c r="D8" i="2" s="1"/>
  <c r="A7" i="2"/>
  <c r="D7" i="2" s="1"/>
  <c r="A6" i="2"/>
  <c r="F6" i="2" s="1"/>
  <c r="K7" i="6" l="1"/>
  <c r="K21" i="6" s="1"/>
  <c r="K22" i="6" s="1"/>
  <c r="Q24" i="7"/>
  <c r="U24" i="7"/>
  <c r="I24" i="7"/>
  <c r="M24" i="7"/>
  <c r="AC24" i="7"/>
  <c r="Y24" i="7"/>
  <c r="C10" i="7"/>
  <c r="F19" i="7" s="1"/>
  <c r="F23" i="7" s="1"/>
  <c r="E24" i="7" s="1"/>
  <c r="G5" i="7"/>
  <c r="L5" i="7"/>
  <c r="Y5" i="7"/>
  <c r="E5" i="7"/>
  <c r="F5" i="7"/>
  <c r="H5" i="7"/>
  <c r="I5" i="7"/>
  <c r="J5" i="7"/>
  <c r="K5" i="7"/>
  <c r="M5" i="7"/>
  <c r="N5" i="7"/>
  <c r="O5" i="7"/>
  <c r="P5" i="7"/>
  <c r="Q5" i="7"/>
  <c r="R5" i="7"/>
  <c r="S5" i="7"/>
  <c r="T5" i="7"/>
  <c r="U5" i="7"/>
  <c r="V5" i="7"/>
  <c r="W5" i="7"/>
  <c r="X5" i="7"/>
  <c r="Z5" i="7"/>
  <c r="AA5" i="7"/>
  <c r="E2" i="7"/>
  <c r="F2" i="7"/>
  <c r="G2" i="7"/>
  <c r="H2" i="7"/>
  <c r="I2" i="7"/>
  <c r="J2" i="7"/>
  <c r="K2" i="7"/>
  <c r="K25" i="6"/>
  <c r="D25" i="6"/>
  <c r="D7" i="6"/>
  <c r="E14" i="4"/>
  <c r="I18" i="4"/>
  <c r="H18" i="4"/>
  <c r="J18" i="4"/>
  <c r="D11" i="2"/>
  <c r="F10" i="2"/>
  <c r="C11" i="2"/>
  <c r="E10" i="2"/>
  <c r="J12" i="3"/>
  <c r="I12" i="3"/>
  <c r="F10" i="3"/>
  <c r="E10" i="3"/>
  <c r="D10" i="3"/>
  <c r="C10" i="3"/>
  <c r="H13" i="3"/>
  <c r="K12" i="3"/>
  <c r="H12" i="3"/>
  <c r="J11" i="3"/>
  <c r="I10" i="3"/>
  <c r="C14" i="3"/>
  <c r="K11" i="3"/>
  <c r="H11" i="3"/>
  <c r="F9" i="3"/>
  <c r="F11" i="3"/>
  <c r="K10" i="3"/>
  <c r="H10" i="3"/>
  <c r="D14" i="3"/>
  <c r="E13" i="3"/>
  <c r="D11" i="3"/>
  <c r="I11" i="3"/>
  <c r="F14" i="3"/>
  <c r="E14" i="3"/>
  <c r="F13" i="3"/>
  <c r="D13" i="3"/>
  <c r="C13" i="3"/>
  <c r="F12" i="3"/>
  <c r="E12" i="3"/>
  <c r="D12" i="3"/>
  <c r="E11" i="3"/>
  <c r="I9" i="3"/>
  <c r="K9" i="3"/>
  <c r="I14" i="3"/>
  <c r="D9" i="3"/>
  <c r="J13" i="3"/>
  <c r="J9" i="3"/>
  <c r="K14" i="3"/>
  <c r="J14" i="3"/>
  <c r="C9" i="3"/>
  <c r="K13" i="3"/>
  <c r="D10" i="2"/>
  <c r="I17" i="4"/>
  <c r="H17" i="4"/>
  <c r="F15" i="4"/>
  <c r="E15" i="4"/>
  <c r="D15" i="4"/>
  <c r="E7" i="4"/>
  <c r="C7" i="4"/>
  <c r="D7" i="4"/>
  <c r="E8" i="4"/>
  <c r="C8" i="4"/>
  <c r="D8" i="4"/>
  <c r="C11" i="4"/>
  <c r="F14" i="4"/>
  <c r="D14" i="4"/>
  <c r="F13" i="4"/>
  <c r="E13" i="4"/>
  <c r="D13" i="4"/>
  <c r="C9" i="4"/>
  <c r="E16" i="4"/>
  <c r="C16" i="4"/>
  <c r="D16" i="4"/>
  <c r="F11" i="4"/>
  <c r="E11" i="4"/>
  <c r="F9" i="4"/>
  <c r="F12" i="4"/>
  <c r="F10" i="4"/>
  <c r="D9" i="4"/>
  <c r="D12" i="4"/>
  <c r="E10" i="4"/>
  <c r="E12" i="4"/>
  <c r="D10" i="4"/>
  <c r="F15" i="2"/>
  <c r="E15" i="2"/>
  <c r="F7" i="2"/>
  <c r="C8" i="2"/>
  <c r="E8" i="2"/>
  <c r="F8" i="2"/>
  <c r="E7" i="2"/>
  <c r="C7" i="2"/>
  <c r="D15" i="2"/>
  <c r="E14" i="2"/>
  <c r="F14" i="2"/>
  <c r="D14" i="2"/>
  <c r="C9" i="2"/>
  <c r="D9" i="2"/>
  <c r="E9" i="2"/>
  <c r="C6" i="2"/>
  <c r="D6" i="2"/>
  <c r="E6" i="2"/>
  <c r="F13" i="2"/>
  <c r="E13" i="2"/>
  <c r="D13" i="2"/>
  <c r="D12" i="2"/>
  <c r="C12" i="2"/>
  <c r="F11" i="2"/>
  <c r="F12" i="2"/>
  <c r="K8" i="6" l="1"/>
  <c r="K26" i="6" s="1"/>
  <c r="K27" i="6" s="1"/>
  <c r="C24" i="7"/>
  <c r="D8" i="6"/>
  <c r="D10" i="6" s="1"/>
  <c r="D32" i="6" s="1"/>
  <c r="D21" i="6"/>
  <c r="D22" i="6" s="1"/>
  <c r="I13" i="4"/>
  <c r="H15" i="4"/>
  <c r="H10" i="2"/>
  <c r="H11" i="2"/>
  <c r="H9" i="2"/>
  <c r="H15" i="3"/>
  <c r="H6" i="3"/>
  <c r="I16" i="4"/>
  <c r="H16" i="4"/>
  <c r="I15" i="4"/>
  <c r="I11" i="4"/>
  <c r="H11" i="4"/>
  <c r="H14" i="4"/>
  <c r="I14" i="4"/>
  <c r="H8" i="4"/>
  <c r="K15" i="4"/>
  <c r="J15" i="4"/>
  <c r="K9" i="4"/>
  <c r="J9" i="4"/>
  <c r="I10" i="4"/>
  <c r="H10" i="4"/>
  <c r="K12" i="4"/>
  <c r="J12" i="4"/>
  <c r="H12" i="4"/>
  <c r="I12" i="4"/>
  <c r="H9" i="4"/>
  <c r="H13" i="4"/>
  <c r="I7" i="4"/>
  <c r="H7" i="4"/>
  <c r="I9" i="4"/>
  <c r="I8" i="4"/>
  <c r="H8" i="2"/>
  <c r="H15" i="2"/>
  <c r="H14" i="2"/>
  <c r="H13" i="2"/>
  <c r="H7" i="2"/>
  <c r="F17" i="2"/>
  <c r="E17" i="2"/>
  <c r="D17" i="2"/>
  <c r="H6" i="2"/>
  <c r="C17" i="2"/>
  <c r="H12" i="2"/>
  <c r="K10" i="6" l="1"/>
  <c r="K32" i="6" s="1"/>
  <c r="D11" i="6"/>
  <c r="D12" i="6" s="1"/>
  <c r="D15" i="6"/>
  <c r="D16" i="6" s="1"/>
  <c r="D17" i="6" s="1"/>
  <c r="D33" i="6" s="1"/>
  <c r="D26" i="6"/>
  <c r="D27" i="6" s="1"/>
  <c r="C20" i="4"/>
  <c r="C25" i="4" s="1"/>
  <c r="J25" i="4" s="1"/>
  <c r="C15" i="3"/>
  <c r="G15" i="3"/>
  <c r="G6" i="3"/>
  <c r="C6" i="3"/>
  <c r="C20" i="2" a="1"/>
  <c r="C20" i="2" s="1"/>
  <c r="C23" i="2" s="1"/>
  <c r="J23" i="2" s="1"/>
  <c r="K11" i="6" l="1"/>
  <c r="K12" i="6" s="1"/>
  <c r="K13" i="6" s="1"/>
  <c r="K31" i="6" s="1"/>
  <c r="K15" i="6"/>
  <c r="K16" i="6" s="1"/>
  <c r="K17" i="6" s="1"/>
  <c r="K33" i="6" s="1"/>
  <c r="D13" i="6"/>
  <c r="D31" i="6" s="1"/>
  <c r="D34" i="6" s="1"/>
  <c r="D35" i="6" s="1"/>
  <c r="C23" i="4"/>
  <c r="J23" i="4" s="1"/>
  <c r="C16" i="3"/>
  <c r="C21" i="3" s="1"/>
  <c r="J21" i="3" s="1"/>
  <c r="C24" i="4"/>
  <c r="J24" i="4" s="1"/>
  <c r="C24" i="2"/>
  <c r="J24" i="2" s="1"/>
  <c r="K34" i="6" l="1"/>
  <c r="K35" i="6" s="1"/>
  <c r="C19" i="3"/>
  <c r="J19" i="3" s="1"/>
  <c r="C20" i="3"/>
  <c r="J2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<sst xmlns="http://schemas.openxmlformats.org/spreadsheetml/2006/main" count="138" uniqueCount="60">
  <si>
    <t>Even Parity</t>
  </si>
  <si>
    <t>Hex</t>
  </si>
  <si>
    <t>EM4100</t>
  </si>
  <si>
    <t>Hex:</t>
  </si>
  <si>
    <t>Binary</t>
  </si>
  <si>
    <t>1A:01:65:73:D1</t>
  </si>
  <si>
    <t>HEX (##:##:##:##:##)</t>
  </si>
  <si>
    <t>PREAMBLE:</t>
  </si>
  <si>
    <t>STOP BITS:</t>
  </si>
  <si>
    <t>Manchester, RF_64, 2 uint32, pwd=0</t>
  </si>
  <si>
    <t>BLOCK 0:</t>
  </si>
  <si>
    <t>0x00148040</t>
  </si>
  <si>
    <t>BLOCK 1:</t>
  </si>
  <si>
    <t>BLOCK 2:</t>
  </si>
  <si>
    <t>Data:</t>
  </si>
  <si>
    <t>H10301</t>
  </si>
  <si>
    <t>HEX (##:##:##)</t>
  </si>
  <si>
    <t>65:73:D1</t>
  </si>
  <si>
    <t>COMPANY:</t>
  </si>
  <si>
    <t>FORMAT:</t>
  </si>
  <si>
    <t>FSK2a, RF_50, 3 uint32, pwd=0</t>
  </si>
  <si>
    <t>0x00107060</t>
  </si>
  <si>
    <t>AWID</t>
  </si>
  <si>
    <t>Count first 12-bits</t>
  </si>
  <si>
    <t>Count last 12-bits</t>
  </si>
  <si>
    <t>BLOCK 3:</t>
  </si>
  <si>
    <t>Manchester encoded</t>
  </si>
  <si>
    <t>Odd Parity</t>
  </si>
  <si>
    <t>WIEGAND EVEN:</t>
  </si>
  <si>
    <t>WIEGAND ODD:</t>
  </si>
  <si>
    <t>000000:</t>
  </si>
  <si>
    <t>1A:B2:B9:E8:C0</t>
  </si>
  <si>
    <t>Facility</t>
  </si>
  <si>
    <t>Card number</t>
  </si>
  <si>
    <t>Facility bits</t>
  </si>
  <si>
    <t>Card number bits</t>
  </si>
  <si>
    <t>Combine (FC+Card number)</t>
  </si>
  <si>
    <t>Parity</t>
  </si>
  <si>
    <t>Even</t>
  </si>
  <si>
    <t>Odd</t>
  </si>
  <si>
    <t>Parity Range</t>
  </si>
  <si>
    <t>Count 1s</t>
  </si>
  <si>
    <t>Parity data</t>
  </si>
  <si>
    <t>?</t>
  </si>
  <si>
    <t>Even Parity Count</t>
  </si>
  <si>
    <t>Even Parity Bit</t>
  </si>
  <si>
    <t>Even Parity Data</t>
  </si>
  <si>
    <t>Odd Parity Data</t>
  </si>
  <si>
    <t>Odd Parity Count</t>
  </si>
  <si>
    <t>Odd Parity Bit</t>
  </si>
  <si>
    <t>C</t>
  </si>
  <si>
    <t>Indala</t>
  </si>
  <si>
    <t>HEX</t>
  </si>
  <si>
    <t>FACILITY (Scrambled)</t>
  </si>
  <si>
    <t>CARD NUMBER (Scrambled)</t>
  </si>
  <si>
    <t>Even parity</t>
  </si>
  <si>
    <t>Odd parity</t>
  </si>
  <si>
    <t>Unknown</t>
  </si>
  <si>
    <t>Combine Zero Filled</t>
  </si>
  <si>
    <t>Wiegand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</si>
</sst>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00B0F0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6"/>
      <color rgb="FF000099"/>
      <name val="Calibri"/>
      <family val="2"/>
      <scheme val="minor"/>
    </font>
    <font>
      <b/>
      <u/>
      <sz val="16"/>
      <color rgb="FF000099"/>
      <name val="Calibri"/>
      <family val="2"/>
      <scheme val="minor"/>
    </font>
    <font>
      <b/>
      <sz val="16"/>
      <color rgb="FF84492C"/>
      <name val="Calibri"/>
      <family val="2"/>
      <scheme val="minor"/>
    </font>
    <font>
      <b/>
      <i/>
      <sz val="16"/>
      <color rgb="FF00B050"/>
      <name val="ADLaM Display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4492C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3" fillId="2" borderId="0" xfId="0" applyFont="1" applyFill="1" applyAlignment="1">
      <alignment horizontal="center"/>
    </xf>
    <xf numFmtId="0" fontId="11" fillId="0" borderId="0" xfId="0" applyFont="1"/>
    <xf numFmtId="0" fontId="3" fillId="3" borderId="0" xfId="0" applyFont="1" applyFill="1"/>
    <xf numFmtId="0" fontId="12" fillId="6" borderId="0" xfId="0" applyFont="1" applyFill="1"/>
    <xf numFmtId="0" fontId="5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7" borderId="0" xfId="0" applyFont="1" applyFill="1"/>
    <xf numFmtId="0" fontId="16" fillId="0" borderId="0" xfId="0" applyFont="1"/>
    <xf numFmtId="0" fontId="12" fillId="8" borderId="0" xfId="0" applyFont="1" applyFill="1"/>
    <xf numFmtId="0" fontId="7" fillId="2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10" fillId="5" borderId="0" xfId="0" applyFont="1" applyFill="1"/>
    <xf numFmtId="0" fontId="19" fillId="0" borderId="0" xfId="0" applyFont="1"/>
    <xf numFmtId="0" fontId="1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0" fontId="20" fillId="0" borderId="0" xfId="0" applyFont="1"/>
    <xf numFmtId="0" fontId="4" fillId="9" borderId="0" xfId="0" applyFont="1" applyFill="1"/>
    <xf numFmtId="0" fontId="21" fillId="0" borderId="0" xfId="0" applyFont="1"/>
    <xf numFmtId="0" fontId="21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0" fontId="21" fillId="9" borderId="0" xfId="0" applyFont="1" applyFill="1"/>
    <xf numFmtId="0" fontId="21" fillId="2" borderId="0" xfId="0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4" borderId="0" xfId="0" applyFont="1" applyFill="1"/>
    <xf numFmtId="0" fontId="0" fillId="4" borderId="0" xfId="0" applyFill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2" borderId="0" xfId="0" applyFont="1" applyFill="1"/>
    <xf numFmtId="0" fontId="2" fillId="2" borderId="0" xfId="0" applyFont="1" applyFill="1"/>
    <xf numFmtId="0" fontId="13" fillId="5" borderId="0" xfId="0" applyFont="1" applyFill="1"/>
    <xf numFmtId="0" fontId="18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1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B0F0"/>
      </font>
      <fill>
        <patternFill patternType="solid">
          <bgColor theme="9" tint="0.39994506668294322"/>
        </patternFill>
      </fill>
    </dxf>
    <dxf>
      <font>
        <color rgb="FFFF0000"/>
      </font>
      <fill>
        <patternFill patternType="solid">
          <bgColor theme="9" tint="0.39994506668294322"/>
        </patternFill>
      </fill>
    </dxf>
    <dxf>
      <font>
        <color rgb="FFFF0000"/>
      </font>
      <fill>
        <patternFill patternType="solid">
          <bgColor theme="9" tint="0.39994506668294322"/>
        </patternFill>
      </fill>
    </dxf>
    <dxf>
      <font>
        <color rgb="FF00B0F0"/>
      </font>
      <fill>
        <patternFill patternType="solid">
          <bgColor theme="9" tint="0.39994506668294322"/>
        </patternFill>
      </fill>
    </dxf>
    <dxf>
      <font>
        <color rgb="FFFF0000"/>
      </font>
    </dxf>
    <dxf>
      <font>
        <color rgb="FF00B0F0"/>
      </font>
      <fill>
        <patternFill patternType="solid">
          <bgColor rgb="FFFFC000"/>
        </patternFill>
      </fill>
    </dxf>
    <dxf>
      <font>
        <color rgb="FFFF0000"/>
      </font>
      <fill>
        <patternFill patternType="solid">
          <bgColor rgb="FFFFC00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F0"/>
      </font>
      <fill>
        <patternFill patternType="solid">
          <bgColor rgb="FFFFFF00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84492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3969</xdr:colOff>
      <xdr:row>1</xdr:row>
      <xdr:rowOff>1</xdr:rowOff>
    </xdr:from>
    <xdr:to>
      <xdr:col>18</xdr:col>
      <xdr:colOff>377207</xdr:colOff>
      <xdr:row>7</xdr:row>
      <xdr:rowOff>189006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82C8FE-A507-E3EC-AFE2-42B64DFA8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8969" y="265907"/>
          <a:ext cx="3429176" cy="18161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537028</xdr:colOff>
      <xdr:row>0</xdr:row>
      <xdr:rowOff>203201</xdr:rowOff>
    </xdr:from>
    <xdr:to>
      <xdr:col>16</xdr:col>
      <xdr:colOff>314955</xdr:colOff>
      <xdr:row>7</xdr:row>
      <xdr:rowOff>101692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8F646-8132-29F1-7F25-F253F513C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2028" y="203201"/>
          <a:ext cx="3435527" cy="17780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523875</xdr:colOff>
      <xdr:row>0</xdr:row>
      <xdr:rowOff>257969</xdr:rowOff>
    </xdr:from>
    <xdr:to>
      <xdr:col>18</xdr:col>
      <xdr:colOff>254175</xdr:colOff>
      <xdr:row>7</xdr:row>
      <xdr:rowOff>155667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68EAC2-9923-92C0-CFA4-5355DBDD6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6500" y="257969"/>
          <a:ext cx="3397425" cy="179079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577850</xdr:colOff>
      <xdr:row>16</xdr:row>
      <xdr:rowOff>190500</xdr:rowOff>
    </xdr:from>
    <xdr:to>
      <xdr:col>20</xdr:col>
      <xdr:colOff>590440</xdr:colOff>
      <xdr:row>27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DD8E42-71B7-097C-BA7F-AF6923E79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7150" y="4457700"/>
          <a:ext cx="5498990" cy="2876550"/>
        </a:xfrm>
        <a:prstGeom prst="rect">
          <a:avLst/>
        </a:prstGeom>
      </xdr:spPr>
    </xdr:pic>
    <xdr:clientData/>
  </xdr:twoCellAnchor>
  <xdr:twoCellAnchor editAs="oneCell">
    <xdr:from>
      <xdr:col>11</xdr:col>
      <xdr:colOff>584200</xdr:colOff>
      <xdr:row>28</xdr:row>
      <xdr:rowOff>12699</xdr:rowOff>
    </xdr:from>
    <xdr:to>
      <xdr:col>20</xdr:col>
      <xdr:colOff>571500</xdr:colOff>
      <xdr:row>39</xdr:row>
      <xdr:rowOff>3026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3C6A18-1B9E-B9BA-BDFE-FF58ABDE5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43500" y="7480299"/>
          <a:ext cx="5473700" cy="2924027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0</xdr:row>
      <xdr:rowOff>44450</xdr:rowOff>
    </xdr:from>
    <xdr:to>
      <xdr:col>21</xdr:col>
      <xdr:colOff>496342</xdr:colOff>
      <xdr:row>2</xdr:row>
      <xdr:rowOff>222250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9E6B95-4071-C4B4-3E4A-9D77125A1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30800" y="44450"/>
          <a:ext cx="6020842" cy="711200"/>
        </a:xfrm>
        <a:prstGeom prst="rect">
          <a:avLst/>
        </a:prstGeom>
      </xdr:spPr>
    </xdr:pic>
    <xdr:clientData/>
  </xdr:twoCellAnchor>
  <xdr:twoCellAnchor editAs="oneCell">
    <xdr:from>
      <xdr:col>11</xdr:col>
      <xdr:colOff>577849</xdr:colOff>
      <xdr:row>2</xdr:row>
      <xdr:rowOff>190500</xdr:rowOff>
    </xdr:from>
    <xdr:to>
      <xdr:col>21</xdr:col>
      <xdr:colOff>391039</xdr:colOff>
      <xdr:row>6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87C677-EF00-F1FE-D243-E17EA8CF5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37149" y="723900"/>
          <a:ext cx="590919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571499</xdr:colOff>
      <xdr:row>5</xdr:row>
      <xdr:rowOff>139700</xdr:rowOff>
    </xdr:from>
    <xdr:to>
      <xdr:col>20</xdr:col>
      <xdr:colOff>552450</xdr:colOff>
      <xdr:row>16</xdr:row>
      <xdr:rowOff>69850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8A75E-BDE9-46B5-B32F-AB8D576AA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30799" y="1473200"/>
          <a:ext cx="5467351" cy="286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587331</xdr:colOff>
      <xdr:row>0</xdr:row>
      <xdr:rowOff>327070</xdr:rowOff>
    </xdr:from>
    <xdr:to>
      <xdr:col>49</xdr:col>
      <xdr:colOff>398242</xdr:colOff>
      <xdr:row>15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2904F9-43C0-C937-4E39-69CC90F19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16842472" y="-942071"/>
          <a:ext cx="5197430" cy="7735711"/>
        </a:xfrm>
        <a:prstGeom prst="rect">
          <a:avLst/>
        </a:prstGeom>
      </xdr:spPr>
    </xdr:pic>
    <xdr:clientData/>
  </xdr:twoCellAnchor>
  <xdr:twoCellAnchor editAs="oneCell">
    <xdr:from>
      <xdr:col>39</xdr:col>
      <xdr:colOff>580980</xdr:colOff>
      <xdr:row>16</xdr:row>
      <xdr:rowOff>3220</xdr:rowOff>
    </xdr:from>
    <xdr:to>
      <xdr:col>49</xdr:col>
      <xdr:colOff>469900</xdr:colOff>
      <xdr:row>24</xdr:row>
      <xdr:rowOff>175159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4C19CA-0D4E-807F-8677-E322D4A27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95780" y="5762670"/>
          <a:ext cx="5984920" cy="306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62D5-2110-4734-BC72-FAFEC05D90FD}">
  <dimension ref="A1:V24"/>
  <sheetViews>
    <sheetView zoomScaleNormal="100" workbookViewId="0">
      <selection activeCell="H2" sqref="H2"/>
    </sheetView>
  </sheetViews>
  <sheetFormatPr defaultRowHeight="14.25" x14ac:dyDescent="0.45"/>
  <cols>
    <col min="1" max="1" width="7.46484375" customWidth="1"/>
    <col min="2" max="2" width="11.265625" bestFit="1" customWidth="1"/>
    <col min="3" max="3" width="13.73046875" customWidth="1"/>
    <col min="4" max="6" width="2.46484375" bestFit="1" customWidth="1"/>
    <col min="7" max="7" width="7.33203125" customWidth="1"/>
    <col min="9" max="9" width="19.19921875" customWidth="1"/>
    <col min="10" max="10" width="16.796875" customWidth="1"/>
    <col min="13" max="13" width="9" customWidth="1"/>
    <col min="20" max="20" width="16.265625" customWidth="1"/>
  </cols>
  <sheetData>
    <row r="1" spans="1:22" ht="21" x14ac:dyDescent="0.65">
      <c r="A1" s="38" t="s">
        <v>2</v>
      </c>
      <c r="B1" s="38"/>
      <c r="C1" s="4" t="s">
        <v>6</v>
      </c>
      <c r="H1" s="41" t="s">
        <v>5</v>
      </c>
      <c r="I1" s="42"/>
      <c r="J1" s="42"/>
      <c r="U1" s="18" t="s">
        <v>4</v>
      </c>
      <c r="V1" s="18" t="s">
        <v>1</v>
      </c>
    </row>
    <row r="2" spans="1:22" ht="21" x14ac:dyDescent="0.65">
      <c r="A2" s="3"/>
      <c r="B2" s="4"/>
      <c r="C2" s="4"/>
      <c r="D2" s="4"/>
      <c r="E2" s="4"/>
      <c r="F2" s="4"/>
      <c r="U2" s="17" t="str">
        <f>DEC2BIN(0,4)</f>
        <v>0000</v>
      </c>
      <c r="V2" s="17" t="str">
        <f>BIN2HEX(U2,1)</f>
        <v>0</v>
      </c>
    </row>
    <row r="3" spans="1:22" ht="21" x14ac:dyDescent="0.65">
      <c r="A3" s="3" t="s">
        <v>7</v>
      </c>
      <c r="B3" s="4"/>
      <c r="C3" s="45">
        <v>111111111</v>
      </c>
      <c r="D3" s="46"/>
      <c r="E3" s="4"/>
      <c r="F3" s="4"/>
      <c r="U3" s="17" t="str">
        <f>DEC2BIN(1,4)</f>
        <v>0001</v>
      </c>
      <c r="V3" s="17" t="str">
        <f t="shared" ref="V3:V17" si="0">BIN2HEX(U3,1)</f>
        <v>1</v>
      </c>
    </row>
    <row r="4" spans="1:22" ht="21" x14ac:dyDescent="0.65">
      <c r="A4" s="4"/>
      <c r="B4" s="4"/>
      <c r="C4" s="23">
        <v>8</v>
      </c>
      <c r="D4" s="5">
        <v>4</v>
      </c>
      <c r="E4" s="5">
        <v>2</v>
      </c>
      <c r="F4" s="5">
        <v>1</v>
      </c>
      <c r="U4" s="17" t="str">
        <f>DEC2BIN(2,4)</f>
        <v>0010</v>
      </c>
      <c r="V4" s="17" t="str">
        <f t="shared" si="0"/>
        <v>2</v>
      </c>
    </row>
    <row r="5" spans="1:22" ht="23.25" x14ac:dyDescent="0.7">
      <c r="A5" s="8" t="s">
        <v>3</v>
      </c>
      <c r="B5" s="4"/>
      <c r="C5" s="39" t="s">
        <v>4</v>
      </c>
      <c r="D5" s="39"/>
      <c r="E5" s="39"/>
      <c r="F5" s="39"/>
      <c r="H5" s="38" t="s">
        <v>0</v>
      </c>
      <c r="I5" s="40"/>
      <c r="U5" s="17" t="str">
        <f>DEC2BIN(3,4)</f>
        <v>0011</v>
      </c>
      <c r="V5" s="17" t="str">
        <f t="shared" si="0"/>
        <v>3</v>
      </c>
    </row>
    <row r="6" spans="1:22" ht="21" x14ac:dyDescent="0.65">
      <c r="A6" s="6" t="str">
        <f>MID($H$1,1,1)</f>
        <v>1</v>
      </c>
      <c r="B6" s="4"/>
      <c r="C6" s="7">
        <f>VALUE(MID(TEXT(HEX2BIN($A6,4), "0000"),1,1))</f>
        <v>0</v>
      </c>
      <c r="D6" s="7">
        <f>VALUE(MID(TEXT(HEX2BIN($A6,4), "0000"),2,1))</f>
        <v>0</v>
      </c>
      <c r="E6" s="7">
        <f>VALUE(MID(TEXT(HEX2BIN($A6,4), "0000"),3,1))</f>
        <v>0</v>
      </c>
      <c r="F6" s="7">
        <f>VALUE(MID(TEXT(HEX2BIN($A6,4), "0000"),4,1))</f>
        <v>1</v>
      </c>
      <c r="G6" s="3"/>
      <c r="H6" s="19">
        <f>MOD(SUM(C6:F6),2)</f>
        <v>1</v>
      </c>
      <c r="U6" s="17" t="str">
        <f>DEC2BIN(4,4)</f>
        <v>0100</v>
      </c>
      <c r="V6" s="17" t="str">
        <f t="shared" si="0"/>
        <v>4</v>
      </c>
    </row>
    <row r="7" spans="1:22" ht="21" x14ac:dyDescent="0.65">
      <c r="A7" s="6" t="str">
        <f>MID($H$1,2,1)</f>
        <v>A</v>
      </c>
      <c r="B7" s="4"/>
      <c r="C7" s="7">
        <f t="shared" ref="C7:C15" si="1">VALUE(MID(TEXT(HEX2BIN($A7,4), "0000"),1,1))</f>
        <v>1</v>
      </c>
      <c r="D7" s="7">
        <f t="shared" ref="D7:D15" si="2">VALUE(MID(TEXT(HEX2BIN($A7,4), "0000"),2,1))</f>
        <v>0</v>
      </c>
      <c r="E7" s="7">
        <f t="shared" ref="E7:E15" si="3">VALUE(MID(TEXT(HEX2BIN($A7,4), "0000"),3,1))</f>
        <v>1</v>
      </c>
      <c r="F7" s="7">
        <f t="shared" ref="F7:F15" si="4">VALUE(MID(TEXT(HEX2BIN($A7,4), "0000"),4,1))</f>
        <v>0</v>
      </c>
      <c r="G7" s="3"/>
      <c r="H7" s="19">
        <f t="shared" ref="H7:H15" si="5">MOD(SUM(C7:F7),2)</f>
        <v>0</v>
      </c>
      <c r="U7" s="17" t="str">
        <f>DEC2BIN(5,4)</f>
        <v>0101</v>
      </c>
      <c r="V7" s="17" t="str">
        <f t="shared" si="0"/>
        <v>5</v>
      </c>
    </row>
    <row r="8" spans="1:22" ht="21" x14ac:dyDescent="0.65">
      <c r="A8" s="6" t="str">
        <f>MID($H$1,4,1)</f>
        <v>0</v>
      </c>
      <c r="B8" s="4"/>
      <c r="C8" s="3">
        <f t="shared" si="1"/>
        <v>0</v>
      </c>
      <c r="D8" s="3">
        <f t="shared" si="2"/>
        <v>0</v>
      </c>
      <c r="E8" s="3">
        <f t="shared" si="3"/>
        <v>0</v>
      </c>
      <c r="F8" s="3">
        <f t="shared" si="4"/>
        <v>0</v>
      </c>
      <c r="G8" s="3"/>
      <c r="H8" s="19">
        <f t="shared" si="5"/>
        <v>0</v>
      </c>
      <c r="U8" s="17" t="str">
        <f>DEC2BIN(6,4)</f>
        <v>0110</v>
      </c>
      <c r="V8" s="17" t="str">
        <f t="shared" si="0"/>
        <v>6</v>
      </c>
    </row>
    <row r="9" spans="1:22" ht="21" x14ac:dyDescent="0.65">
      <c r="A9" s="6" t="str">
        <f>MID($H$1,5,1)</f>
        <v>1</v>
      </c>
      <c r="B9" s="4"/>
      <c r="C9" s="3">
        <f t="shared" si="1"/>
        <v>0</v>
      </c>
      <c r="D9" s="3">
        <f t="shared" si="2"/>
        <v>0</v>
      </c>
      <c r="E9" s="3">
        <f t="shared" si="3"/>
        <v>0</v>
      </c>
      <c r="F9" s="3">
        <f t="shared" si="4"/>
        <v>1</v>
      </c>
      <c r="G9" s="3"/>
      <c r="H9" s="19">
        <f t="shared" si="5"/>
        <v>1</v>
      </c>
      <c r="U9" s="17" t="str">
        <f>DEC2BIN(7,4)</f>
        <v>0111</v>
      </c>
      <c r="V9" s="17" t="str">
        <f t="shared" si="0"/>
        <v>7</v>
      </c>
    </row>
    <row r="10" spans="1:22" ht="21" x14ac:dyDescent="0.65">
      <c r="A10" s="6" t="str">
        <f>MID($H$1,7,1)</f>
        <v>6</v>
      </c>
      <c r="B10" s="4"/>
      <c r="C10" s="3">
        <f t="shared" si="1"/>
        <v>0</v>
      </c>
      <c r="D10" s="3">
        <f t="shared" si="2"/>
        <v>1</v>
      </c>
      <c r="E10" s="3">
        <f t="shared" si="3"/>
        <v>1</v>
      </c>
      <c r="F10" s="3">
        <f t="shared" si="4"/>
        <v>0</v>
      </c>
      <c r="G10" s="3"/>
      <c r="H10" s="19">
        <f t="shared" si="5"/>
        <v>0</v>
      </c>
      <c r="U10" s="17" t="str">
        <f>DEC2BIN(8,4)</f>
        <v>1000</v>
      </c>
      <c r="V10" s="17" t="str">
        <f t="shared" si="0"/>
        <v>8</v>
      </c>
    </row>
    <row r="11" spans="1:22" ht="21" x14ac:dyDescent="0.65">
      <c r="A11" s="6" t="str">
        <f>MID($H$1,8,1)</f>
        <v>5</v>
      </c>
      <c r="B11" s="4"/>
      <c r="C11" s="3">
        <f t="shared" si="1"/>
        <v>0</v>
      </c>
      <c r="D11" s="3">
        <f t="shared" si="2"/>
        <v>1</v>
      </c>
      <c r="E11" s="3">
        <f t="shared" si="3"/>
        <v>0</v>
      </c>
      <c r="F11" s="3">
        <f t="shared" si="4"/>
        <v>1</v>
      </c>
      <c r="G11" s="3"/>
      <c r="H11" s="19">
        <f t="shared" si="5"/>
        <v>0</v>
      </c>
      <c r="U11" s="17" t="str">
        <f>DEC2BIN(9,4)</f>
        <v>1001</v>
      </c>
      <c r="V11" s="17" t="str">
        <f t="shared" si="0"/>
        <v>9</v>
      </c>
    </row>
    <row r="12" spans="1:22" ht="21" x14ac:dyDescent="0.65">
      <c r="A12" s="6" t="str">
        <f>MID($H$1,10,1)</f>
        <v>7</v>
      </c>
      <c r="B12" s="4"/>
      <c r="C12" s="3">
        <f t="shared" si="1"/>
        <v>0</v>
      </c>
      <c r="D12" s="3">
        <f t="shared" si="2"/>
        <v>1</v>
      </c>
      <c r="E12" s="3">
        <f t="shared" si="3"/>
        <v>1</v>
      </c>
      <c r="F12" s="3">
        <f t="shared" si="4"/>
        <v>1</v>
      </c>
      <c r="G12" s="3"/>
      <c r="H12" s="19">
        <f t="shared" si="5"/>
        <v>1</v>
      </c>
      <c r="U12" s="17" t="str">
        <f>DEC2BIN(10,4)</f>
        <v>1010</v>
      </c>
      <c r="V12" s="17" t="str">
        <f t="shared" si="0"/>
        <v>A</v>
      </c>
    </row>
    <row r="13" spans="1:22" ht="21" x14ac:dyDescent="0.65">
      <c r="A13" s="6" t="str">
        <f>MID($H$1,11,1)</f>
        <v>3</v>
      </c>
      <c r="B13" s="4"/>
      <c r="C13" s="3">
        <f t="shared" si="1"/>
        <v>0</v>
      </c>
      <c r="D13" s="3">
        <f t="shared" si="2"/>
        <v>0</v>
      </c>
      <c r="E13" s="3">
        <f t="shared" si="3"/>
        <v>1</v>
      </c>
      <c r="F13" s="3">
        <f t="shared" si="4"/>
        <v>1</v>
      </c>
      <c r="G13" s="3"/>
      <c r="H13" s="19">
        <f t="shared" si="5"/>
        <v>0</v>
      </c>
      <c r="U13" s="17" t="str">
        <f>DEC2BIN(11,4)</f>
        <v>1011</v>
      </c>
      <c r="V13" s="17" t="str">
        <f t="shared" si="0"/>
        <v>B</v>
      </c>
    </row>
    <row r="14" spans="1:22" ht="21" x14ac:dyDescent="0.65">
      <c r="A14" s="6" t="str">
        <f>MID($H$1,13,1)</f>
        <v>D</v>
      </c>
      <c r="B14" s="4"/>
      <c r="C14" s="3">
        <f t="shared" si="1"/>
        <v>1</v>
      </c>
      <c r="D14" s="3">
        <f t="shared" si="2"/>
        <v>1</v>
      </c>
      <c r="E14" s="3">
        <f t="shared" si="3"/>
        <v>0</v>
      </c>
      <c r="F14" s="3">
        <f t="shared" si="4"/>
        <v>1</v>
      </c>
      <c r="G14" s="3"/>
      <c r="H14" s="19">
        <f t="shared" si="5"/>
        <v>1</v>
      </c>
      <c r="U14" s="17" t="str">
        <f>DEC2BIN(12,4)</f>
        <v>1100</v>
      </c>
      <c r="V14" s="17" t="str">
        <f t="shared" si="0"/>
        <v>C</v>
      </c>
    </row>
    <row r="15" spans="1:22" ht="21" x14ac:dyDescent="0.65">
      <c r="A15" s="6" t="str">
        <f>MID($H$1,14,1)</f>
        <v>1</v>
      </c>
      <c r="B15" s="4"/>
      <c r="C15" s="3">
        <f t="shared" si="1"/>
        <v>0</v>
      </c>
      <c r="D15" s="3">
        <f t="shared" si="2"/>
        <v>0</v>
      </c>
      <c r="E15" s="3">
        <f t="shared" si="3"/>
        <v>0</v>
      </c>
      <c r="F15" s="3">
        <f t="shared" si="4"/>
        <v>1</v>
      </c>
      <c r="G15" s="3"/>
      <c r="H15" s="19">
        <f t="shared" si="5"/>
        <v>1</v>
      </c>
      <c r="U15" s="17" t="str">
        <f>DEC2BIN(13,4)</f>
        <v>1101</v>
      </c>
      <c r="V15" s="17" t="str">
        <f t="shared" si="0"/>
        <v>D</v>
      </c>
    </row>
    <row r="16" spans="1:22" ht="21" x14ac:dyDescent="0.65">
      <c r="A16" s="2"/>
      <c r="C16" s="43" t="s">
        <v>0</v>
      </c>
      <c r="D16" s="44"/>
      <c r="E16" s="44"/>
      <c r="F16" s="44"/>
      <c r="G16" s="1"/>
      <c r="H16" s="1"/>
      <c r="U16" s="17" t="str">
        <f>DEC2BIN(14,4)</f>
        <v>1110</v>
      </c>
      <c r="V16" s="17" t="str">
        <f t="shared" si="0"/>
        <v>E</v>
      </c>
    </row>
    <row r="17" spans="1:22" ht="21" x14ac:dyDescent="0.65">
      <c r="C17" s="13">
        <f>MOD(SUM(C6:C15),2)</f>
        <v>0</v>
      </c>
      <c r="D17" s="13">
        <f t="shared" ref="D17:F17" si="6">MOD(SUM(D6:D15),2)</f>
        <v>0</v>
      </c>
      <c r="E17" s="13">
        <f t="shared" si="6"/>
        <v>0</v>
      </c>
      <c r="F17" s="13">
        <f t="shared" si="6"/>
        <v>1</v>
      </c>
      <c r="G17" s="1"/>
      <c r="H17" s="1"/>
      <c r="U17" s="17" t="str">
        <f>DEC2BIN(15,4)</f>
        <v>1111</v>
      </c>
      <c r="V17" s="17" t="str">
        <f t="shared" si="0"/>
        <v>F</v>
      </c>
    </row>
    <row r="18" spans="1:22" ht="21" x14ac:dyDescent="0.65">
      <c r="A18" s="3" t="s">
        <v>8</v>
      </c>
      <c r="C18" s="22">
        <v>0</v>
      </c>
    </row>
    <row r="19" spans="1:22" ht="21" x14ac:dyDescent="0.65">
      <c r="A19" s="3"/>
    </row>
    <row r="20" spans="1:22" ht="21" x14ac:dyDescent="0.65">
      <c r="A20" s="3" t="s">
        <v>14</v>
      </c>
      <c r="B20" s="4"/>
      <c r="C20" s="4" t="str" cm="1">
        <f t="array" ref="C20">_xlfn.CONCAT(TEXT(C3,"0"),TEXT(C6:F6,"0"),TEXT(H6,"0"),TEXT(C7:F7,"0"),TEXT(H7,"0"),TEXT(C8:F8,"0"),TEXT(H8,"0"),TEXT(C9:F9,"0"),TEXT(H9,"0"),TEXT(C10:F10,"0"),TEXT(H10,"0"),TEXT(C11:F11,"0"),TEXT(H11,"0"),TEXT(C12:F12,"0"),TEXT(H12,"0"),TEXT(C13:F13,"0"),TEXT(H13,"0"),TEXT(C14:F14,"0"),TEXT(H14,"0"),TEXT(C15:F15,"0"),TEXT(H15,"0"),TEXT(C17:F17,"0"),TEXT(C18,"0"))</f>
        <v>1111111110001110100000000001101100010100111100110110110001100010</v>
      </c>
    </row>
    <row r="22" spans="1:22" ht="21" x14ac:dyDescent="0.65">
      <c r="A22" s="3" t="s">
        <v>10</v>
      </c>
      <c r="B22" s="3"/>
      <c r="C22" s="9" t="s">
        <v>9</v>
      </c>
      <c r="J22" s="10" t="s">
        <v>11</v>
      </c>
    </row>
    <row r="23" spans="1:22" ht="21" x14ac:dyDescent="0.65">
      <c r="A23" s="3" t="s">
        <v>12</v>
      </c>
      <c r="C23" s="4" t="str">
        <f>MID(C20,1,32)</f>
        <v>11111111100011101000000000011011</v>
      </c>
      <c r="J23" s="10" t="str">
        <f>_xlfn.CONCAT("0x",BIN2HEX(MID(C23,1+0*8,8),2), BIN2HEX(MID(C23,1+1*8,8),2), BIN2HEX(MID(C23,1+2*8,8),2), BIN2HEX(MID(C23,1+3*8,8),2))</f>
        <v>0xFF8E801B</v>
      </c>
      <c r="M23" s="4"/>
    </row>
    <row r="24" spans="1:22" ht="21" x14ac:dyDescent="0.65">
      <c r="A24" s="3" t="s">
        <v>13</v>
      </c>
      <c r="C24" s="4" t="str">
        <f>MID(C20,33,32)</f>
        <v>00010100111100110110110001100010</v>
      </c>
      <c r="J24" s="10" t="str">
        <f>_xlfn.CONCAT("0x",BIN2HEX(MID(C24,1+0*8,8),2), BIN2HEX(MID(C24,1+1*8,8),2), BIN2HEX(MID(C24,1+2*8,8),2), BIN2HEX(MID(C24,1+3*8,8),2))</f>
        <v>0x14F36C62</v>
      </c>
      <c r="U24" t="s">
        <v>5</v>
      </c>
    </row>
  </sheetData>
  <mergeCells count="6">
    <mergeCell ref="A1:B1"/>
    <mergeCell ref="C5:F5"/>
    <mergeCell ref="H5:I5"/>
    <mergeCell ref="H1:J1"/>
    <mergeCell ref="C16:F16"/>
    <mergeCell ref="C3:D3"/>
  </mergeCells>
  <conditionalFormatting sqref="C6:F15">
    <cfRule type="containsBlanks" dxfId="18" priority="1" stopIfTrue="1">
      <formula>LEN(TRIM(C6))=0</formula>
    </cfRule>
    <cfRule type="containsText" dxfId="17" priority="4" stopIfTrue="1" operator="containsText" text="Parity">
      <formula>NOT(ISERROR(SEARCH("Parity",C6)))</formula>
    </cfRule>
    <cfRule type="cellIs" dxfId="16" priority="5" operator="greaterThan">
      <formula>0.5</formula>
    </cfRule>
    <cfRule type="cellIs" dxfId="15" priority="6" operator="lessThan">
      <formula>0.5</formula>
    </cfRule>
  </conditionalFormatting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2AB4-554A-4769-9CEF-51793EC03E79}">
  <dimension ref="A1:T22"/>
  <sheetViews>
    <sheetView zoomScaleNormal="100" workbookViewId="0">
      <selection activeCell="H2" sqref="H2"/>
    </sheetView>
  </sheetViews>
  <sheetFormatPr defaultRowHeight="14.25" x14ac:dyDescent="0.45"/>
  <cols>
    <col min="2" max="2" width="14.53125" customWidth="1"/>
    <col min="3" max="3" width="15.59765625" bestFit="1" customWidth="1"/>
  </cols>
  <sheetData>
    <row r="1" spans="1:20" ht="21" x14ac:dyDescent="0.65">
      <c r="A1" s="38" t="s">
        <v>15</v>
      </c>
      <c r="B1" s="38"/>
      <c r="C1" s="4" t="s">
        <v>16</v>
      </c>
      <c r="H1" s="41" t="s">
        <v>17</v>
      </c>
      <c r="I1" s="42"/>
      <c r="J1" s="42"/>
      <c r="S1" s="18" t="s">
        <v>4</v>
      </c>
      <c r="T1" s="18" t="s">
        <v>1</v>
      </c>
    </row>
    <row r="2" spans="1:20" ht="21" x14ac:dyDescent="0.65">
      <c r="A2" s="3"/>
      <c r="B2" s="4"/>
      <c r="C2" s="4"/>
      <c r="D2" s="4"/>
      <c r="E2" s="4"/>
      <c r="F2" s="4"/>
      <c r="S2" s="17" t="str">
        <f>DEC2BIN(0,4)</f>
        <v>0000</v>
      </c>
      <c r="T2" s="17" t="str">
        <f>BIN2HEX(S2,1)</f>
        <v>0</v>
      </c>
    </row>
    <row r="3" spans="1:20" ht="21" x14ac:dyDescent="0.65">
      <c r="A3" s="3" t="s">
        <v>7</v>
      </c>
      <c r="B3" s="4"/>
      <c r="C3" s="51" t="str">
        <f>TEXT(11101,"00000000")</f>
        <v>00011101</v>
      </c>
      <c r="D3" s="52"/>
      <c r="E3" s="4"/>
      <c r="F3" s="4"/>
      <c r="S3" s="17" t="str">
        <f>DEC2BIN(1,4)</f>
        <v>0001</v>
      </c>
      <c r="T3" s="17" t="str">
        <f t="shared" ref="T3:T17" si="0">BIN2HEX(S3,1)</f>
        <v>1</v>
      </c>
    </row>
    <row r="4" spans="1:20" ht="21" x14ac:dyDescent="0.65">
      <c r="A4" s="3" t="s">
        <v>18</v>
      </c>
      <c r="B4" s="4"/>
      <c r="C4" s="53" t="str">
        <f>TEXT(1010101010110,"00000000000000")</f>
        <v>01010101010110</v>
      </c>
      <c r="D4" s="54"/>
      <c r="E4" s="26"/>
      <c r="F4" s="49" t="str">
        <f>DEC2BIN(1,7)</f>
        <v>0000001</v>
      </c>
      <c r="G4" s="50"/>
      <c r="S4" s="17" t="str">
        <f>DEC2BIN(2,4)</f>
        <v>0010</v>
      </c>
      <c r="T4" s="17" t="str">
        <f t="shared" si="0"/>
        <v>2</v>
      </c>
    </row>
    <row r="5" spans="1:20" ht="21" x14ac:dyDescent="0.65">
      <c r="A5" s="3" t="s">
        <v>19</v>
      </c>
      <c r="B5" s="4"/>
      <c r="C5" s="53" t="str">
        <f>_xlfn.CONCAT(TEXT("01010101","00000000"),TEXT("01010101","00000000"),TEXT("010110","000000"))</f>
        <v>0101010101010101010110</v>
      </c>
      <c r="D5" s="55"/>
      <c r="E5" s="55"/>
      <c r="F5" s="49" t="str">
        <f>_xlfn.CONCAT(DEC2BIN(0,8),DEC2BIN(1,3))</f>
        <v>00000000001</v>
      </c>
      <c r="G5" s="50"/>
      <c r="S5" s="17" t="str">
        <f>DEC2BIN(3,4)</f>
        <v>0011</v>
      </c>
      <c r="T5" s="17" t="str">
        <f t="shared" si="0"/>
        <v>3</v>
      </c>
    </row>
    <row r="6" spans="1:20" ht="21" x14ac:dyDescent="0.65">
      <c r="A6" s="3" t="s">
        <v>28</v>
      </c>
      <c r="B6" s="4"/>
      <c r="C6" s="25" t="str">
        <f>IF(MOD(H6,2)&gt;0,"10","01")</f>
        <v>10</v>
      </c>
      <c r="G6" s="23" t="str">
        <f>IF(MOD(H6,2)&gt;0,"1","0")</f>
        <v>1</v>
      </c>
      <c r="H6" s="21">
        <f>SUM(H9:K11)</f>
        <v>7</v>
      </c>
      <c r="I6" t="s">
        <v>23</v>
      </c>
      <c r="S6" s="17" t="str">
        <f>DEC2BIN(4,4)</f>
        <v>0100</v>
      </c>
      <c r="T6" s="17" t="str">
        <f t="shared" si="0"/>
        <v>4</v>
      </c>
    </row>
    <row r="7" spans="1:20" ht="21" x14ac:dyDescent="0.65">
      <c r="A7" s="4"/>
      <c r="B7" s="4"/>
      <c r="C7" s="5">
        <v>8</v>
      </c>
      <c r="D7" s="5">
        <v>4</v>
      </c>
      <c r="E7" s="5">
        <v>2</v>
      </c>
      <c r="F7" s="5">
        <v>1</v>
      </c>
      <c r="S7" s="17" t="str">
        <f>DEC2BIN(5,4)</f>
        <v>0101</v>
      </c>
      <c r="T7" s="17" t="str">
        <f t="shared" si="0"/>
        <v>5</v>
      </c>
    </row>
    <row r="8" spans="1:20" ht="23.25" x14ac:dyDescent="0.7">
      <c r="A8" s="8" t="s">
        <v>3</v>
      </c>
      <c r="B8" s="4"/>
      <c r="C8" s="39" t="s">
        <v>26</v>
      </c>
      <c r="D8" s="39"/>
      <c r="E8" s="39"/>
      <c r="F8" s="39"/>
      <c r="H8" s="39" t="s">
        <v>4</v>
      </c>
      <c r="I8" s="47"/>
      <c r="J8" s="48"/>
      <c r="K8" s="48"/>
      <c r="S8" s="17" t="str">
        <f>DEC2BIN(6,4)</f>
        <v>0110</v>
      </c>
      <c r="T8" s="17" t="str">
        <f t="shared" si="0"/>
        <v>6</v>
      </c>
    </row>
    <row r="9" spans="1:20" ht="21" x14ac:dyDescent="0.65">
      <c r="A9" s="27" t="str">
        <f>MID($H$1,1,1)</f>
        <v>6</v>
      </c>
      <c r="B9" s="4"/>
      <c r="C9" s="11" t="str">
        <f>IF(VALUE(MID(TEXT(HEX2BIN($A9,4), "0000"),1,1))=1,"10","01")</f>
        <v>01</v>
      </c>
      <c r="D9" s="11" t="str">
        <f>IF(VALUE(MID(TEXT(HEX2BIN($A9,4), "0000"),2,1))=1,"10","01")</f>
        <v>10</v>
      </c>
      <c r="E9" s="11" t="str">
        <f>IF(VALUE(MID(TEXT(HEX2BIN($A9,4), "0000"),3,1))=1,"10","01")</f>
        <v>10</v>
      </c>
      <c r="F9" s="11" t="str">
        <f>IF(VALUE(MID(TEXT(HEX2BIN($A9,4), "0000"),4,1))=1,"10","01")</f>
        <v>01</v>
      </c>
      <c r="G9" s="3"/>
      <c r="H9" s="20">
        <f>VALUE(MID(TEXT(HEX2BIN($A9,4), "0000"),1,1))</f>
        <v>0</v>
      </c>
      <c r="I9" s="20">
        <f>VALUE(MID(TEXT(HEX2BIN($A9,4), "0000"),2,1))</f>
        <v>1</v>
      </c>
      <c r="J9" s="20">
        <f>VALUE(MID(TEXT(HEX2BIN($A9,4), "0000"),3,1))</f>
        <v>1</v>
      </c>
      <c r="K9" s="20">
        <f>VALUE(MID(TEXT(HEX2BIN($A9,4), "0000"),4,1))</f>
        <v>0</v>
      </c>
      <c r="S9" s="17" t="str">
        <f>DEC2BIN(7,4)</f>
        <v>0111</v>
      </c>
      <c r="T9" s="17" t="str">
        <f t="shared" si="0"/>
        <v>7</v>
      </c>
    </row>
    <row r="10" spans="1:20" ht="21" x14ac:dyDescent="0.65">
      <c r="A10" s="27" t="str">
        <f>MID($H$1,2,1)</f>
        <v>5</v>
      </c>
      <c r="B10" s="4"/>
      <c r="C10" s="11" t="str">
        <f t="shared" ref="C10:C14" si="1">IF(VALUE(MID(TEXT(HEX2BIN($A10,4), "0000"),1,1))=1,"10","01")</f>
        <v>01</v>
      </c>
      <c r="D10" s="11" t="str">
        <f t="shared" ref="D10:D14" si="2">IF(VALUE(MID(TEXT(HEX2BIN($A10,4), "0000"),2,1))=1,"10","01")</f>
        <v>10</v>
      </c>
      <c r="E10" s="11" t="str">
        <f t="shared" ref="E10:E14" si="3">IF(VALUE(MID(TEXT(HEX2BIN($A10,4), "0000"),3,1))=1,"10","01")</f>
        <v>01</v>
      </c>
      <c r="F10" s="11" t="str">
        <f t="shared" ref="F10:F14" si="4">IF(VALUE(MID(TEXT(HEX2BIN($A10,4), "0000"),4,1))=1,"10","01")</f>
        <v>10</v>
      </c>
      <c r="G10" s="3"/>
      <c r="H10" s="20">
        <f t="shared" ref="H10:H14" si="5">VALUE(MID(TEXT(HEX2BIN($A10,4), "0000"),1,1))</f>
        <v>0</v>
      </c>
      <c r="I10" s="20">
        <f t="shared" ref="I10:I14" si="6">VALUE(MID(TEXT(HEX2BIN($A10,4), "0000"),2,1))</f>
        <v>1</v>
      </c>
      <c r="J10" s="20">
        <f t="shared" ref="J10:J14" si="7">VALUE(MID(TEXT(HEX2BIN($A10,4), "0000"),3,1))</f>
        <v>0</v>
      </c>
      <c r="K10" s="20">
        <f t="shared" ref="K10:K14" si="8">VALUE(MID(TEXT(HEX2BIN($A10,4), "0000"),4,1))</f>
        <v>1</v>
      </c>
      <c r="S10" s="17" t="str">
        <f>DEC2BIN(8,4)</f>
        <v>1000</v>
      </c>
      <c r="T10" s="17" t="str">
        <f t="shared" si="0"/>
        <v>8</v>
      </c>
    </row>
    <row r="11" spans="1:20" ht="21" x14ac:dyDescent="0.65">
      <c r="A11" s="27" t="str">
        <f>MID($H$1,4,1)</f>
        <v>7</v>
      </c>
      <c r="B11" s="4"/>
      <c r="C11" s="11" t="str">
        <f t="shared" si="1"/>
        <v>01</v>
      </c>
      <c r="D11" s="11" t="str">
        <f t="shared" si="2"/>
        <v>10</v>
      </c>
      <c r="E11" s="11" t="str">
        <f t="shared" si="3"/>
        <v>10</v>
      </c>
      <c r="F11" s="11" t="str">
        <f t="shared" si="4"/>
        <v>10</v>
      </c>
      <c r="G11" s="3"/>
      <c r="H11" s="20">
        <f t="shared" si="5"/>
        <v>0</v>
      </c>
      <c r="I11" s="20">
        <f t="shared" si="6"/>
        <v>1</v>
      </c>
      <c r="J11" s="20">
        <f t="shared" si="7"/>
        <v>1</v>
      </c>
      <c r="K11" s="20">
        <f t="shared" si="8"/>
        <v>1</v>
      </c>
      <c r="S11" s="17" t="str">
        <f>DEC2BIN(9,4)</f>
        <v>1001</v>
      </c>
      <c r="T11" s="17" t="str">
        <f t="shared" si="0"/>
        <v>9</v>
      </c>
    </row>
    <row r="12" spans="1:20" ht="21" x14ac:dyDescent="0.65">
      <c r="A12" s="28" t="str">
        <f>MID($H$1,5,1)</f>
        <v>3</v>
      </c>
      <c r="B12" s="4"/>
      <c r="C12" s="11" t="str">
        <f t="shared" si="1"/>
        <v>01</v>
      </c>
      <c r="D12" s="11" t="str">
        <f t="shared" si="2"/>
        <v>01</v>
      </c>
      <c r="E12" s="11" t="str">
        <f t="shared" si="3"/>
        <v>10</v>
      </c>
      <c r="F12" s="11" t="str">
        <f t="shared" si="4"/>
        <v>10</v>
      </c>
      <c r="G12" s="3"/>
      <c r="H12" s="12">
        <f t="shared" si="5"/>
        <v>0</v>
      </c>
      <c r="I12" s="12">
        <f t="shared" si="6"/>
        <v>0</v>
      </c>
      <c r="J12" s="12">
        <f t="shared" si="7"/>
        <v>1</v>
      </c>
      <c r="K12" s="12">
        <f t="shared" si="8"/>
        <v>1</v>
      </c>
      <c r="S12" s="17" t="str">
        <f>DEC2BIN(10,4)</f>
        <v>1010</v>
      </c>
      <c r="T12" s="17" t="str">
        <f t="shared" si="0"/>
        <v>A</v>
      </c>
    </row>
    <row r="13" spans="1:20" ht="21" x14ac:dyDescent="0.65">
      <c r="A13" s="28" t="str">
        <f>MID($H$1,7,1)</f>
        <v>D</v>
      </c>
      <c r="B13" s="4"/>
      <c r="C13" s="11" t="str">
        <f t="shared" si="1"/>
        <v>10</v>
      </c>
      <c r="D13" s="11" t="str">
        <f t="shared" si="2"/>
        <v>10</v>
      </c>
      <c r="E13" s="11" t="str">
        <f t="shared" si="3"/>
        <v>01</v>
      </c>
      <c r="F13" s="11" t="str">
        <f t="shared" si="4"/>
        <v>10</v>
      </c>
      <c r="G13" s="3"/>
      <c r="H13" s="12">
        <f t="shared" si="5"/>
        <v>1</v>
      </c>
      <c r="I13" s="12">
        <f t="shared" si="6"/>
        <v>1</v>
      </c>
      <c r="J13" s="12">
        <f t="shared" si="7"/>
        <v>0</v>
      </c>
      <c r="K13" s="12">
        <f t="shared" si="8"/>
        <v>1</v>
      </c>
      <c r="S13" s="17" t="str">
        <f>DEC2BIN(11,4)</f>
        <v>1011</v>
      </c>
      <c r="T13" s="17" t="str">
        <f t="shared" si="0"/>
        <v>B</v>
      </c>
    </row>
    <row r="14" spans="1:20" ht="21" x14ac:dyDescent="0.65">
      <c r="A14" s="28" t="str">
        <f>MID($H$1,8,1)</f>
        <v>1</v>
      </c>
      <c r="B14" s="4"/>
      <c r="C14" s="11" t="str">
        <f t="shared" si="1"/>
        <v>01</v>
      </c>
      <c r="D14" s="11" t="str">
        <f t="shared" si="2"/>
        <v>01</v>
      </c>
      <c r="E14" s="11" t="str">
        <f t="shared" si="3"/>
        <v>01</v>
      </c>
      <c r="F14" s="11" t="str">
        <f t="shared" si="4"/>
        <v>10</v>
      </c>
      <c r="G14" s="3"/>
      <c r="H14" s="12">
        <f t="shared" si="5"/>
        <v>0</v>
      </c>
      <c r="I14" s="12">
        <f t="shared" si="6"/>
        <v>0</v>
      </c>
      <c r="J14" s="12">
        <f t="shared" si="7"/>
        <v>0</v>
      </c>
      <c r="K14" s="12">
        <f t="shared" si="8"/>
        <v>1</v>
      </c>
      <c r="S14" s="17" t="str">
        <f>DEC2BIN(12,4)</f>
        <v>1100</v>
      </c>
      <c r="T14" s="17" t="str">
        <f t="shared" si="0"/>
        <v>C</v>
      </c>
    </row>
    <row r="15" spans="1:20" ht="21" x14ac:dyDescent="0.65">
      <c r="A15" s="3" t="s">
        <v>29</v>
      </c>
      <c r="B15" s="4"/>
      <c r="C15" s="25" t="str">
        <f>IF(MOD(H15,2)&gt;0,"01","10")</f>
        <v>10</v>
      </c>
      <c r="G15" s="23" t="str">
        <f>IF(MOD(H15,2)&gt;0,"0","1")</f>
        <v>1</v>
      </c>
      <c r="H15" s="14">
        <f>SUM(H12:K14)</f>
        <v>6</v>
      </c>
      <c r="I15" t="s">
        <v>24</v>
      </c>
      <c r="S15" s="17" t="str">
        <f>DEC2BIN(13,4)</f>
        <v>1101</v>
      </c>
      <c r="T15" s="17" t="str">
        <f t="shared" si="0"/>
        <v>D</v>
      </c>
    </row>
    <row r="16" spans="1:20" ht="21" x14ac:dyDescent="0.65">
      <c r="A16" s="3" t="s">
        <v>14</v>
      </c>
      <c r="B16" s="4"/>
      <c r="C16" s="4" t="str">
        <f>_xlfn.CONCAT(_xlfn.CONCAT(C3,C4,C5,C6),_xlfn.CONCAT(C9:F14),C15)</f>
        <v>000111010101010101011001010101010101010101101001101001011001100110101001011010101001100101011010</v>
      </c>
      <c r="S16" s="17" t="str">
        <f>DEC2BIN(14,4)</f>
        <v>1110</v>
      </c>
      <c r="T16" s="17" t="str">
        <f t="shared" si="0"/>
        <v>E</v>
      </c>
    </row>
    <row r="17" spans="1:20" ht="21" x14ac:dyDescent="0.65">
      <c r="S17" s="17" t="str">
        <f>DEC2BIN(15,4)</f>
        <v>1111</v>
      </c>
      <c r="T17" s="17" t="str">
        <f t="shared" si="0"/>
        <v>F</v>
      </c>
    </row>
    <row r="18" spans="1:20" ht="21" x14ac:dyDescent="0.65">
      <c r="A18" s="3" t="s">
        <v>10</v>
      </c>
      <c r="B18" s="3"/>
      <c r="C18" s="9" t="s">
        <v>20</v>
      </c>
      <c r="J18" s="10" t="s">
        <v>21</v>
      </c>
    </row>
    <row r="19" spans="1:20" ht="21" x14ac:dyDescent="0.65">
      <c r="A19" s="3" t="s">
        <v>12</v>
      </c>
      <c r="C19" s="4" t="str">
        <f>MID(C$16,1+0*32,32)</f>
        <v>00011101010101010101100101010101</v>
      </c>
      <c r="J19" s="10" t="str">
        <f>_xlfn.CONCAT("0x",BIN2HEX(MID(C19,1+0*8,8),2), BIN2HEX(MID(C19,1+1*8,8),2), BIN2HEX(MID(C19,1+2*8,8),2), BIN2HEX(MID(C19,1+3*8,8),2))</f>
        <v>0x1D555955</v>
      </c>
    </row>
    <row r="20" spans="1:20" ht="21" x14ac:dyDescent="0.65">
      <c r="A20" s="3" t="s">
        <v>13</v>
      </c>
      <c r="C20" s="4" t="str">
        <f>MID(C$16,1+1*32,32)</f>
        <v>01010101011010011010010110011001</v>
      </c>
      <c r="J20" s="10" t="str">
        <f>_xlfn.CONCAT("0x",BIN2HEX(MID(C20,1+0*8,8),2), BIN2HEX(MID(C20,1+1*8,8),2), BIN2HEX(MID(C20,1+2*8,8),2), BIN2HEX(MID(C20,1+3*8,8),2))</f>
        <v>0x5569A599</v>
      </c>
    </row>
    <row r="21" spans="1:20" ht="21" x14ac:dyDescent="0.65">
      <c r="A21" s="3" t="s">
        <v>25</v>
      </c>
      <c r="C21" s="4" t="str">
        <f>MID(C$16,1+2*32,32)</f>
        <v>10101001011010101001100101011010</v>
      </c>
      <c r="J21" s="10" t="str">
        <f>_xlfn.CONCAT("0x",BIN2HEX(MID(C21,1+0*8,8),2), BIN2HEX(MID(C21,1+1*8,8),2), BIN2HEX(MID(C21,1+2*8,8),2), BIN2HEX(MID(C21,1+3*8,8),2))</f>
        <v>0xA96A995A</v>
      </c>
    </row>
    <row r="22" spans="1:20" x14ac:dyDescent="0.45">
      <c r="T22" t="s">
        <v>17</v>
      </c>
    </row>
  </sheetData>
  <mergeCells count="9">
    <mergeCell ref="H8:K8"/>
    <mergeCell ref="F4:G4"/>
    <mergeCell ref="F5:G5"/>
    <mergeCell ref="A1:B1"/>
    <mergeCell ref="H1:J1"/>
    <mergeCell ref="C3:D3"/>
    <mergeCell ref="C8:F8"/>
    <mergeCell ref="C4:D4"/>
    <mergeCell ref="C5:E5"/>
  </mergeCells>
  <conditionalFormatting sqref="C9:K14">
    <cfRule type="containsBlanks" dxfId="14" priority="13" stopIfTrue="1">
      <formula>LEN(TRIM(C9))=0</formula>
    </cfRule>
    <cfRule type="containsText" dxfId="13" priority="14" stopIfTrue="1" operator="containsText" text="Parity">
      <formula>NOT(ISERROR(SEARCH("Parity",C9)))</formula>
    </cfRule>
    <cfRule type="containsText" dxfId="12" priority="15" operator="containsText" text="10">
      <formula>NOT(ISERROR(SEARCH("10",C9)))</formula>
    </cfRule>
    <cfRule type="containsText" dxfId="11" priority="16" operator="containsText" text="01">
      <formula>NOT(ISERROR(SEARCH("01",C9)))</formula>
    </cfRule>
  </conditionalFormatting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A1B4-D60A-4DC6-88CD-EA2CDF7DD0F0}">
  <dimension ref="A1:V25"/>
  <sheetViews>
    <sheetView zoomScaleNormal="100" workbookViewId="0">
      <selection activeCell="N9" sqref="N9"/>
    </sheetView>
  </sheetViews>
  <sheetFormatPr defaultRowHeight="14.25" x14ac:dyDescent="0.45"/>
  <cols>
    <col min="2" max="2" width="14.59765625" customWidth="1"/>
    <col min="3" max="3" width="15.73046875" bestFit="1" customWidth="1"/>
    <col min="8" max="8" width="9.73046875" bestFit="1" customWidth="1"/>
    <col min="20" max="20" width="13.796875" customWidth="1"/>
  </cols>
  <sheetData>
    <row r="1" spans="1:22" ht="21" x14ac:dyDescent="0.65">
      <c r="A1" s="38" t="s">
        <v>22</v>
      </c>
      <c r="B1" s="38"/>
      <c r="C1" s="4" t="s">
        <v>6</v>
      </c>
      <c r="H1" s="41" t="s">
        <v>31</v>
      </c>
      <c r="I1" s="42"/>
      <c r="J1" s="42"/>
      <c r="U1" s="18" t="s">
        <v>4</v>
      </c>
      <c r="V1" s="18" t="s">
        <v>1</v>
      </c>
    </row>
    <row r="2" spans="1:22" ht="21" x14ac:dyDescent="0.65">
      <c r="A2" s="3"/>
      <c r="B2" s="4"/>
      <c r="C2" s="4"/>
      <c r="D2" s="4"/>
      <c r="E2" s="4"/>
      <c r="F2" s="4"/>
      <c r="U2" s="17" t="str">
        <f>DEC2BIN(0,4)</f>
        <v>0000</v>
      </c>
      <c r="V2" s="17" t="str">
        <f>BIN2HEX(U2,1)</f>
        <v>0</v>
      </c>
    </row>
    <row r="3" spans="1:22" ht="21" x14ac:dyDescent="0.65">
      <c r="A3" s="3" t="s">
        <v>7</v>
      </c>
      <c r="B3" s="4"/>
      <c r="C3" s="51" t="str">
        <f>TEXT(1,"00000000")</f>
        <v>00000001</v>
      </c>
      <c r="D3" s="52"/>
      <c r="E3" s="4"/>
      <c r="F3" s="4"/>
      <c r="U3" s="17" t="str">
        <f>DEC2BIN(1,4)</f>
        <v>0001</v>
      </c>
      <c r="V3" s="17" t="str">
        <f t="shared" ref="V3:V17" si="0">BIN2HEX(U3,1)</f>
        <v>1</v>
      </c>
    </row>
    <row r="4" spans="1:22" ht="21" x14ac:dyDescent="0.65">
      <c r="A4" s="3"/>
      <c r="B4" s="4"/>
      <c r="C4" s="15"/>
      <c r="E4" s="4"/>
      <c r="F4" s="4"/>
      <c r="H4" s="3"/>
      <c r="U4" s="17" t="str">
        <f>DEC2BIN(2,4)</f>
        <v>0010</v>
      </c>
      <c r="V4" s="17" t="str">
        <f t="shared" si="0"/>
        <v>2</v>
      </c>
    </row>
    <row r="5" spans="1:22" ht="21" x14ac:dyDescent="0.65">
      <c r="A5" s="4"/>
      <c r="B5" s="4"/>
      <c r="C5" s="5">
        <v>8</v>
      </c>
      <c r="D5" s="5">
        <v>4</v>
      </c>
      <c r="E5" s="5">
        <v>2</v>
      </c>
      <c r="F5" s="5">
        <v>1</v>
      </c>
      <c r="I5" s="56" t="s">
        <v>27</v>
      </c>
      <c r="K5" s="56" t="s">
        <v>27</v>
      </c>
      <c r="U5" s="17" t="str">
        <f>DEC2BIN(3,4)</f>
        <v>0011</v>
      </c>
      <c r="V5" s="17" t="str">
        <f t="shared" si="0"/>
        <v>3</v>
      </c>
    </row>
    <row r="6" spans="1:22" ht="23.25" x14ac:dyDescent="0.7">
      <c r="A6" s="8" t="s">
        <v>3</v>
      </c>
      <c r="B6" s="4"/>
      <c r="C6" s="39" t="s">
        <v>4</v>
      </c>
      <c r="D6" s="39"/>
      <c r="E6" s="39"/>
      <c r="F6" s="39"/>
      <c r="H6" s="3" t="s">
        <v>4</v>
      </c>
      <c r="I6" s="57"/>
      <c r="J6" s="3" t="s">
        <v>4</v>
      </c>
      <c r="K6" s="57"/>
      <c r="U6" s="17" t="str">
        <f>DEC2BIN(4,4)</f>
        <v>0100</v>
      </c>
      <c r="V6" s="17" t="str">
        <f t="shared" si="0"/>
        <v>4</v>
      </c>
    </row>
    <row r="7" spans="1:22" ht="21" x14ac:dyDescent="0.65">
      <c r="A7" s="16" t="str">
        <f>MID($H$1,1,1)</f>
        <v>1</v>
      </c>
      <c r="B7" s="4"/>
      <c r="C7" s="29">
        <f>VALUE(MID(TEXT(HEX2BIN($A7), "0000"),1,1))</f>
        <v>0</v>
      </c>
      <c r="D7" s="29">
        <f>VALUE(MID(TEXT(HEX2BIN($A7), "0000"),2,1))</f>
        <v>0</v>
      </c>
      <c r="E7" s="29">
        <f>VALUE(MID(TEXT(HEX2BIN($A7), "0000"),3,1))</f>
        <v>0</v>
      </c>
      <c r="F7" s="29">
        <f>VALUE(MID(TEXT(HEX2BIN($A7), "0000"),4,1))</f>
        <v>1</v>
      </c>
      <c r="H7" s="7" t="str">
        <f>_xlfn.CONCAT(C7:E7)</f>
        <v>000</v>
      </c>
      <c r="I7" s="3">
        <f>MOD(1+C7+D7+E7,2)</f>
        <v>1</v>
      </c>
      <c r="J7" s="4"/>
      <c r="U7" s="17" t="str">
        <f>DEC2BIN(5,4)</f>
        <v>0101</v>
      </c>
      <c r="V7" s="17" t="str">
        <f t="shared" si="0"/>
        <v>5</v>
      </c>
    </row>
    <row r="8" spans="1:22" ht="21" x14ac:dyDescent="0.65">
      <c r="A8" s="16" t="str">
        <f>MID($H$1,2,1)</f>
        <v>A</v>
      </c>
      <c r="B8" s="4"/>
      <c r="C8" s="29">
        <f>VALUE(MID(TEXT(HEX2BIN($A8), "0000"),1,1))</f>
        <v>1</v>
      </c>
      <c r="D8" s="29">
        <f>VALUE(MID(TEXT(HEX2BIN($A8), "0000"),2,1))</f>
        <v>0</v>
      </c>
      <c r="E8" s="29">
        <f>VALUE(MID(TEXT(HEX2BIN($A8), "0000"),3,1))</f>
        <v>1</v>
      </c>
      <c r="F8" s="29">
        <f>VALUE(MID(TEXT(HEX2BIN($A8), "0000"),4,1))</f>
        <v>0</v>
      </c>
      <c r="H8" s="7" t="str">
        <f>_xlfn.CONCAT(F7,C8,D8)</f>
        <v>110</v>
      </c>
      <c r="I8" s="3">
        <f>MOD(1+F7+C8+D8,2)</f>
        <v>1</v>
      </c>
      <c r="J8" s="4"/>
      <c r="U8" s="17" t="str">
        <f>DEC2BIN(6,4)</f>
        <v>0110</v>
      </c>
      <c r="V8" s="17" t="str">
        <f t="shared" si="0"/>
        <v>6</v>
      </c>
    </row>
    <row r="9" spans="1:22" ht="22.15" x14ac:dyDescent="0.7">
      <c r="A9" s="16" t="str">
        <f>MID($H$1,4,1)</f>
        <v>B</v>
      </c>
      <c r="B9" s="4"/>
      <c r="C9" s="24">
        <f>VALUE(MID(TEXT(HEX2BIN($A9), "0000"),1,1))</f>
        <v>1</v>
      </c>
      <c r="D9" s="6">
        <f>VALUE(MID(TEXT(HEX2BIN($A9), "0000"),2,1))</f>
        <v>0</v>
      </c>
      <c r="E9" s="6">
        <f>VALUE(MID(TEXT(HEX2BIN($A9), "0000"),3,1))</f>
        <v>1</v>
      </c>
      <c r="F9" s="6">
        <f>VALUE(MID(TEXT(HEX2BIN($A9), "0000"),4,1))</f>
        <v>1</v>
      </c>
      <c r="G9" s="3"/>
      <c r="H9" s="7" t="str">
        <f>_xlfn.CONCAT(E8,F8,C9)</f>
        <v>101</v>
      </c>
      <c r="I9" s="3">
        <f>MOD(1+E8+F8+C9,2)</f>
        <v>1</v>
      </c>
      <c r="J9" s="7" t="str">
        <f>_xlfn.CONCAT(D9,E9,F9)</f>
        <v>011</v>
      </c>
      <c r="K9" s="3">
        <f>MOD(1+D9+E9+F9,2)</f>
        <v>1</v>
      </c>
      <c r="N9" s="15"/>
      <c r="U9" s="17" t="str">
        <f>DEC2BIN(7,4)</f>
        <v>0111</v>
      </c>
      <c r="V9" s="17" t="str">
        <f t="shared" si="0"/>
        <v>7</v>
      </c>
    </row>
    <row r="10" spans="1:22" ht="21" x14ac:dyDescent="0.65">
      <c r="A10" s="16" t="str">
        <f>MID($H$1,5,1)</f>
        <v>2</v>
      </c>
      <c r="B10" s="4"/>
      <c r="C10" s="6">
        <f>VALUE(MID(TEXT(HEX2BIN($A10), "0000"),1,1))</f>
        <v>0</v>
      </c>
      <c r="D10" s="6">
        <f t="shared" ref="D10:D18" si="1">VALUE(MID(TEXT(HEX2BIN($A10), "0000"),2,1))</f>
        <v>0</v>
      </c>
      <c r="E10" s="6">
        <f t="shared" ref="E10:E18" si="2">VALUE(MID(TEXT(HEX2BIN($A10), "0000"),3,1))</f>
        <v>1</v>
      </c>
      <c r="F10" s="6">
        <f t="shared" ref="F10:F18" si="3">VALUE(MID(TEXT(HEX2BIN($A10), "0000"),4,1))</f>
        <v>0</v>
      </c>
      <c r="G10" s="3"/>
      <c r="H10" s="7" t="str">
        <f>_xlfn.CONCAT(C10:E10)</f>
        <v>001</v>
      </c>
      <c r="I10" s="3">
        <f>MOD(1+C10+D10+E10,2)</f>
        <v>0</v>
      </c>
      <c r="J10" s="4"/>
      <c r="U10" s="17" t="str">
        <f>DEC2BIN(8,4)</f>
        <v>1000</v>
      </c>
      <c r="V10" s="17" t="str">
        <f t="shared" si="0"/>
        <v>8</v>
      </c>
    </row>
    <row r="11" spans="1:22" ht="21" x14ac:dyDescent="0.65">
      <c r="A11" s="6" t="str">
        <f>MID($H$1,7,1)</f>
        <v>B</v>
      </c>
      <c r="B11" s="4"/>
      <c r="C11" s="6">
        <f t="shared" ref="C11:C18" si="4">VALUE(MID(TEXT(HEX2BIN($A11), "0000"),1,1))</f>
        <v>1</v>
      </c>
      <c r="D11" s="6">
        <f t="shared" si="1"/>
        <v>0</v>
      </c>
      <c r="E11" s="6">
        <f t="shared" si="2"/>
        <v>1</v>
      </c>
      <c r="F11" s="6">
        <f t="shared" si="3"/>
        <v>1</v>
      </c>
      <c r="G11" s="3"/>
      <c r="H11" s="7" t="str">
        <f>_xlfn.CONCAT(F10,C11,D11)</f>
        <v>010</v>
      </c>
      <c r="I11" s="3">
        <f>MOD(1+F10+C11+D11,2)</f>
        <v>0</v>
      </c>
      <c r="J11" s="4"/>
      <c r="U11" s="17" t="str">
        <f>DEC2BIN(9,4)</f>
        <v>1001</v>
      </c>
      <c r="V11" s="17" t="str">
        <f t="shared" si="0"/>
        <v>9</v>
      </c>
    </row>
    <row r="12" spans="1:22" ht="21" x14ac:dyDescent="0.65">
      <c r="A12" s="6" t="str">
        <f>MID($H$1,8,1)</f>
        <v>9</v>
      </c>
      <c r="B12" s="4"/>
      <c r="C12" s="6">
        <f t="shared" si="4"/>
        <v>1</v>
      </c>
      <c r="D12" s="6">
        <f t="shared" si="1"/>
        <v>0</v>
      </c>
      <c r="E12" s="6">
        <f t="shared" si="2"/>
        <v>0</v>
      </c>
      <c r="F12" s="6">
        <f t="shared" si="3"/>
        <v>1</v>
      </c>
      <c r="G12" s="3"/>
      <c r="H12" s="7" t="str">
        <f>_xlfn.CONCAT(E11,F11,C12)</f>
        <v>111</v>
      </c>
      <c r="I12" s="3">
        <f>MOD(1+E11+F11+C12,2)</f>
        <v>0</v>
      </c>
      <c r="J12" s="7" t="str">
        <f>_xlfn.CONCAT(D12,E12,F12)</f>
        <v>001</v>
      </c>
      <c r="K12" s="3">
        <f>MOD(1+D12+E12+F12,2)</f>
        <v>0</v>
      </c>
      <c r="U12" s="17" t="str">
        <f>DEC2BIN(10,4)</f>
        <v>1010</v>
      </c>
      <c r="V12" s="17" t="str">
        <f t="shared" si="0"/>
        <v>A</v>
      </c>
    </row>
    <row r="13" spans="1:22" ht="21" x14ac:dyDescent="0.65">
      <c r="A13" s="6" t="str">
        <f>MID($H$1,10,1)</f>
        <v>E</v>
      </c>
      <c r="B13" s="4"/>
      <c r="C13" s="6">
        <f t="shared" si="4"/>
        <v>1</v>
      </c>
      <c r="D13" s="6">
        <f t="shared" si="1"/>
        <v>1</v>
      </c>
      <c r="E13" s="6">
        <f t="shared" si="2"/>
        <v>1</v>
      </c>
      <c r="F13" s="6">
        <f t="shared" si="3"/>
        <v>0</v>
      </c>
      <c r="G13" s="3"/>
      <c r="H13" s="7" t="str">
        <f>_xlfn.CONCAT(C13:E13)</f>
        <v>111</v>
      </c>
      <c r="I13" s="3">
        <f>MOD(1+C13+D13+E13,2)</f>
        <v>0</v>
      </c>
      <c r="J13" s="4"/>
      <c r="U13" s="17" t="str">
        <f>DEC2BIN(11,4)</f>
        <v>1011</v>
      </c>
      <c r="V13" s="17" t="str">
        <f t="shared" si="0"/>
        <v>B</v>
      </c>
    </row>
    <row r="14" spans="1:22" ht="21" x14ac:dyDescent="0.65">
      <c r="A14" s="6" t="str">
        <f>MID($H$1,11,1)</f>
        <v>8</v>
      </c>
      <c r="B14" s="4"/>
      <c r="C14" s="6">
        <f t="shared" si="4"/>
        <v>1</v>
      </c>
      <c r="D14" s="6">
        <f t="shared" si="1"/>
        <v>0</v>
      </c>
      <c r="E14" s="6">
        <f t="shared" si="2"/>
        <v>0</v>
      </c>
      <c r="F14" s="6">
        <f t="shared" si="3"/>
        <v>0</v>
      </c>
      <c r="G14" s="3"/>
      <c r="H14" s="7" t="str">
        <f>_xlfn.CONCAT(F13,C14,D14)</f>
        <v>010</v>
      </c>
      <c r="I14" s="3">
        <f>MOD(1+F13+C14+D14,2)</f>
        <v>0</v>
      </c>
      <c r="J14" s="4"/>
      <c r="U14" s="17" t="str">
        <f>DEC2BIN(12,4)</f>
        <v>1100</v>
      </c>
      <c r="V14" s="17" t="str">
        <f t="shared" si="0"/>
        <v>C</v>
      </c>
    </row>
    <row r="15" spans="1:22" ht="22.15" x14ac:dyDescent="0.7">
      <c r="A15" s="6" t="str">
        <f>MID($H$1,13,1)</f>
        <v>C</v>
      </c>
      <c r="B15" s="4"/>
      <c r="C15" s="6">
        <f t="shared" si="4"/>
        <v>1</v>
      </c>
      <c r="D15" s="24">
        <f t="shared" si="1"/>
        <v>1</v>
      </c>
      <c r="E15" s="6">
        <f t="shared" si="2"/>
        <v>0</v>
      </c>
      <c r="F15" s="6">
        <f t="shared" si="3"/>
        <v>0</v>
      </c>
      <c r="G15" s="3"/>
      <c r="H15" s="7" t="str">
        <f>_xlfn.CONCAT(E14,F14,C15)</f>
        <v>001</v>
      </c>
      <c r="I15" s="3">
        <f>MOD(1+E14+F14+C15,2)</f>
        <v>0</v>
      </c>
      <c r="J15" s="7" t="str">
        <f>_xlfn.CONCAT(D15,E15,F15)</f>
        <v>100</v>
      </c>
      <c r="K15" s="3">
        <f>MOD(1+D15+E15+F15,2)</f>
        <v>0</v>
      </c>
      <c r="U15" s="17" t="str">
        <f>DEC2BIN(13,4)</f>
        <v>1101</v>
      </c>
      <c r="V15" s="17" t="str">
        <f t="shared" si="0"/>
        <v>D</v>
      </c>
    </row>
    <row r="16" spans="1:22" ht="21" x14ac:dyDescent="0.65">
      <c r="A16" s="6" t="str">
        <f>MID($H$1,14,1)</f>
        <v>0</v>
      </c>
      <c r="B16" s="4"/>
      <c r="C16" s="6">
        <f t="shared" si="4"/>
        <v>0</v>
      </c>
      <c r="D16" s="6">
        <f t="shared" si="1"/>
        <v>0</v>
      </c>
      <c r="E16" s="6">
        <f t="shared" si="2"/>
        <v>0</v>
      </c>
      <c r="F16" s="6">
        <f t="shared" si="3"/>
        <v>0</v>
      </c>
      <c r="G16" s="3"/>
      <c r="H16" s="7" t="str">
        <f>_xlfn.CONCAT(C16:E16)</f>
        <v>000</v>
      </c>
      <c r="I16" s="3">
        <f>MOD(1+C16+D16+E16,2)</f>
        <v>1</v>
      </c>
      <c r="J16" s="4"/>
      <c r="U16" s="17" t="str">
        <f>DEC2BIN(14,4)</f>
        <v>1110</v>
      </c>
      <c r="V16" s="17" t="str">
        <f t="shared" si="0"/>
        <v>E</v>
      </c>
    </row>
    <row r="17" spans="1:22" ht="21" x14ac:dyDescent="0.65">
      <c r="A17" s="3">
        <v>0</v>
      </c>
      <c r="B17" s="4"/>
      <c r="C17" s="6">
        <f t="shared" si="4"/>
        <v>0</v>
      </c>
      <c r="D17" s="6">
        <f t="shared" si="1"/>
        <v>0</v>
      </c>
      <c r="E17" s="6">
        <f t="shared" si="2"/>
        <v>0</v>
      </c>
      <c r="F17" s="6">
        <f t="shared" si="3"/>
        <v>0</v>
      </c>
      <c r="H17" s="7" t="str">
        <f>_xlfn.CONCAT(F16,C17,D17)</f>
        <v>000</v>
      </c>
      <c r="I17" s="3">
        <f>MOD(1+F16+C17+D17,2)</f>
        <v>1</v>
      </c>
      <c r="J17" s="4"/>
      <c r="U17" s="17" t="str">
        <f>DEC2BIN(15,4)</f>
        <v>1111</v>
      </c>
      <c r="V17" s="17" t="str">
        <f t="shared" si="0"/>
        <v>F</v>
      </c>
    </row>
    <row r="18" spans="1:22" ht="21" x14ac:dyDescent="0.65">
      <c r="A18" s="3">
        <v>0</v>
      </c>
      <c r="B18" s="4"/>
      <c r="C18" s="6">
        <f t="shared" si="4"/>
        <v>0</v>
      </c>
      <c r="D18" s="6">
        <f t="shared" si="1"/>
        <v>0</v>
      </c>
      <c r="E18" s="6">
        <f t="shared" si="2"/>
        <v>0</v>
      </c>
      <c r="F18" s="6">
        <f t="shared" si="3"/>
        <v>0</v>
      </c>
      <c r="H18" s="7" t="str">
        <f>_xlfn.CONCAT(E17,F17,C18)</f>
        <v>000</v>
      </c>
      <c r="I18" s="3">
        <f>MOD(1+E17+F17+C18,2)</f>
        <v>1</v>
      </c>
      <c r="J18" s="7" t="str">
        <f>_xlfn.CONCAT(D18,E18,F18)</f>
        <v>000</v>
      </c>
      <c r="K18" s="3">
        <f>MOD(1+D18+E18+F18,2)</f>
        <v>1</v>
      </c>
      <c r="U18" s="17"/>
      <c r="V18" s="17"/>
    </row>
    <row r="19" spans="1:22" ht="21" x14ac:dyDescent="0.65">
      <c r="A19" s="3" t="s">
        <v>30</v>
      </c>
      <c r="B19" s="4"/>
      <c r="H19" s="58" t="str">
        <f>_xlfn.CONCAT(HEX2BIN(11,8),HEX2BIN(11,8),HEX2BIN(11,8),HEX2BIN(11,8))</f>
        <v>00010001000100010001000100010001</v>
      </c>
      <c r="I19" s="55"/>
      <c r="J19" s="55"/>
      <c r="K19" s="55"/>
      <c r="U19" s="17"/>
      <c r="V19" s="17"/>
    </row>
    <row r="20" spans="1:22" ht="21" x14ac:dyDescent="0.65">
      <c r="A20" s="3" t="s">
        <v>14</v>
      </c>
      <c r="B20" s="4"/>
      <c r="C20" s="4" t="str">
        <f>_xlfn.CONCAT(C3,_xlfn.CONCAT(H7,I7,H8,I8,H9,I9,J9,K9),_xlfn.CONCAT(H10,I10,H11,I11,H12,I12,J12,K12),_xlfn.CONCAT(H13,I13,H14,I14,H15,I15,J15,K15),_xlfn.CONCAT(H16,I16,H17,I17),_xlfn.CONCAT(H18,I18,J18,K18,H19))</f>
        <v>00000001000111011011011100100100111000101110010000101000000100010001000100010001000100010001000100010001</v>
      </c>
      <c r="H20" s="3"/>
      <c r="I20" s="3"/>
      <c r="J20" s="3"/>
      <c r="K20" s="3"/>
    </row>
    <row r="22" spans="1:22" ht="21" x14ac:dyDescent="0.65">
      <c r="A22" s="3" t="s">
        <v>10</v>
      </c>
      <c r="B22" s="3"/>
      <c r="C22" s="9" t="s">
        <v>20</v>
      </c>
      <c r="J22" s="10" t="s">
        <v>21</v>
      </c>
    </row>
    <row r="23" spans="1:22" ht="21" x14ac:dyDescent="0.65">
      <c r="A23" s="3" t="s">
        <v>12</v>
      </c>
      <c r="C23" s="4" t="str">
        <f>MID(C$20,1+0*32,32)</f>
        <v>00000001000111011011011100100100</v>
      </c>
      <c r="J23" s="10" t="str">
        <f>_xlfn.CONCAT("0x",BIN2HEX(MID(C23,1+0*8,8),2), BIN2HEX(MID(C23,1+1*8,8),2), BIN2HEX(MID(C23,1+2*8,8),2), BIN2HEX(MID(C23,1+3*8,8),2))</f>
        <v>0x011DB724</v>
      </c>
    </row>
    <row r="24" spans="1:22" ht="21" x14ac:dyDescent="0.65">
      <c r="A24" s="3" t="s">
        <v>13</v>
      </c>
      <c r="C24" s="4" t="str">
        <f>MID(C$20,1+1*32,32)</f>
        <v>11100010111001000010100000010001</v>
      </c>
      <c r="J24" s="10" t="str">
        <f>_xlfn.CONCAT("0x",BIN2HEX(MID(C24,1+0*8,8),2), BIN2HEX(MID(C24,1+1*8,8),2), BIN2HEX(MID(C24,1+2*8,8),2), BIN2HEX(MID(C24,1+3*8,8),2))</f>
        <v>0xE2E42811</v>
      </c>
      <c r="T24" t="s">
        <v>31</v>
      </c>
    </row>
    <row r="25" spans="1:22" ht="21" x14ac:dyDescent="0.65">
      <c r="A25" s="3" t="s">
        <v>25</v>
      </c>
      <c r="C25" s="4" t="str">
        <f>MID(C$20,1+2*32,32)</f>
        <v>00010001000100010001000100010001</v>
      </c>
      <c r="J25" s="10" t="str">
        <f>_xlfn.CONCAT("0x",BIN2HEX(MID(C25,1+0*8,8),2), BIN2HEX(MID(C25,1+1*8,8),2), BIN2HEX(MID(C25,1+2*8,8),2), BIN2HEX(MID(C25,1+3*8,8),2))</f>
        <v>0x11111111</v>
      </c>
    </row>
  </sheetData>
  <mergeCells count="7">
    <mergeCell ref="K5:K6"/>
    <mergeCell ref="H19:K19"/>
    <mergeCell ref="A1:B1"/>
    <mergeCell ref="H1:J1"/>
    <mergeCell ref="C3:D3"/>
    <mergeCell ref="C6:F6"/>
    <mergeCell ref="I5:I6"/>
  </mergeCells>
  <conditionalFormatting sqref="H7:K19">
    <cfRule type="containsBlanks" dxfId="10" priority="1" stopIfTrue="1">
      <formula>LEN(TRIM(H7))=0</formula>
    </cfRule>
    <cfRule type="cellIs" dxfId="9" priority="5" operator="between">
      <formula>0</formula>
      <formula>0</formula>
    </cfRule>
    <cfRule type="cellIs" dxfId="8" priority="8" operator="between">
      <formula>1</formula>
      <formula>1</formula>
    </cfRule>
  </conditionalFormatting>
  <conditionalFormatting sqref="K20">
    <cfRule type="containsText" dxfId="7" priority="3" operator="containsText" text="1">
      <formula>NOT(ISERROR(SEARCH("1",K20)))</formula>
    </cfRule>
    <cfRule type="containsText" dxfId="6" priority="4" operator="containsText" text="0">
      <formula>NOT(ISERROR(SEARCH("0",K20)))</formula>
    </cfRule>
  </conditionalFormatting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9B77-5EC4-4368-8D6B-1038749EF680}">
  <sheetPr>
    <pageSetUpPr fitToPage="1"/>
  </sheetPr>
  <dimension ref="A1:K39"/>
  <sheetViews>
    <sheetView topLeftCell="A17" workbookViewId="0">
      <selection activeCell="B4" sqref="B4"/>
    </sheetView>
  </sheetViews>
  <sheetFormatPr defaultRowHeight="14.25" x14ac:dyDescent="0.45"/>
  <cols>
    <col min="1" max="1" width="34.06640625" customWidth="1"/>
    <col min="2" max="2" width="8.265625" bestFit="1" customWidth="1"/>
    <col min="3" max="3" width="3.9296875" bestFit="1" customWidth="1"/>
    <col min="4" max="4" width="63.265625" bestFit="1" customWidth="1"/>
    <col min="8" max="8" width="34.53125" bestFit="1" customWidth="1"/>
    <col min="9" max="9" width="11.19921875" bestFit="1" customWidth="1"/>
    <col min="10" max="10" width="3.9296875" bestFit="1" customWidth="1"/>
    <col min="11" max="11" width="61.73046875" bestFit="1" customWidth="1"/>
  </cols>
  <sheetData>
    <row r="1" spans="1:11" s="4" customFormat="1" ht="21" x14ac:dyDescent="0.65">
      <c r="A1" s="4" t="s">
        <v>59</v>
      </c>
      <c r="B1" s="4">
        <v>26</v>
      </c>
      <c r="D1" s="23" t="str">
        <f>_xlfn.CONCAT(DEC2BIN(MOD(B1/POWER(256,3),256),8),DEC2BIN(MOD(B1/POWER(256,2),256),8),DEC2BIN(MOD(B1/POWER(256,1),256),8),DEC2BIN(MOD(B1/POWER(256,0),256),8))</f>
        <v>00000000000000000000000000011010</v>
      </c>
      <c r="H1" s="4" t="s">
        <v>59</v>
      </c>
      <c r="I1" s="4">
        <v>34</v>
      </c>
      <c r="K1" s="23" t="str">
        <f>_xlfn.CONCAT(DEC2BIN(MOD(I1/POWER(256,3),256),8),DEC2BIN(MOD(I1/POWER(256,2),256),8),DEC2BIN(MOD(I1/POWER(256,1),256),8),DEC2BIN(MOD(I1/POWER(256,0),256),8))</f>
        <v>00000000000000000000000000100010</v>
      </c>
    </row>
    <row r="2" spans="1:11" ht="21" x14ac:dyDescent="0.65">
      <c r="A2" s="4" t="s">
        <v>32</v>
      </c>
      <c r="B2" s="4">
        <v>22</v>
      </c>
      <c r="C2" s="4"/>
      <c r="D2" s="23" t="str">
        <f>_xlfn.CONCAT(DEC2BIN(MOD(B2/POWER(256,3),256),8),DEC2BIN(MOD(B2/POWER(256,2),256),8),DEC2BIN(MOD(B2/POWER(256,1),256),8),DEC2BIN(MOD(B2/POWER(256,0),256),8))</f>
        <v>00000000000000000000000000010110</v>
      </c>
      <c r="H2" s="4" t="s">
        <v>32</v>
      </c>
      <c r="I2" s="4">
        <f>101+512</f>
        <v>613</v>
      </c>
      <c r="J2" s="4"/>
      <c r="K2" s="23" t="str">
        <f>_xlfn.CONCAT(DEC2BIN(MOD(I2/POWER(256,3),256),8),DEC2BIN(MOD(I2/POWER(256,2),256),8),DEC2BIN(MOD(I2/POWER(256,1),256),8),DEC2BIN(MOD(I2/POWER(256,0),256),8))</f>
        <v>00000000000000000000001001100101</v>
      </c>
    </row>
    <row r="3" spans="1:11" ht="21" x14ac:dyDescent="0.65">
      <c r="A3" s="4" t="s">
        <v>33</v>
      </c>
      <c r="B3" s="32">
        <v>48786</v>
      </c>
      <c r="C3" s="4"/>
      <c r="D3" s="23" t="str">
        <f>_xlfn.CONCAT(DEC2BIN(MOD(B3/POWER(256,3),256),8),DEC2BIN(MOD(B3/POWER(256,2),256),8),DEC2BIN(MOD(B3/POWER(256,1),256),8),DEC2BIN(MOD(B3/POWER(256,0),256),8))</f>
        <v>00000000000000001011111010010010</v>
      </c>
      <c r="H3" s="4" t="s">
        <v>33</v>
      </c>
      <c r="I3" s="4">
        <v>29649</v>
      </c>
      <c r="J3" s="4"/>
      <c r="K3" s="23" t="str">
        <f>_xlfn.CONCAT(DEC2BIN(MOD(I3/POWER(256,3),256),8),DEC2BIN(MOD(I3/POWER(256,2),256),8),DEC2BIN(MOD(I3/POWER(256,1),256),8),DEC2BIN(MOD(I3/POWER(256,0),256),8))</f>
        <v>00000000000000000111001111010001</v>
      </c>
    </row>
    <row r="4" spans="1:11" ht="21" x14ac:dyDescent="0.65">
      <c r="A4" s="4"/>
      <c r="B4" s="4"/>
      <c r="C4" s="4"/>
      <c r="D4" s="4"/>
      <c r="H4" s="4"/>
      <c r="I4" s="4"/>
      <c r="J4" s="4"/>
      <c r="K4" s="4"/>
    </row>
    <row r="5" spans="1:11" ht="21" x14ac:dyDescent="0.65">
      <c r="A5" s="4" t="s">
        <v>34</v>
      </c>
      <c r="B5" s="4">
        <v>8</v>
      </c>
      <c r="C5" s="4"/>
      <c r="D5" s="23" t="str">
        <f>MID(D$2,LEN(D$2)-B5+1,B5)</f>
        <v>00010110</v>
      </c>
      <c r="H5" s="4" t="s">
        <v>34</v>
      </c>
      <c r="I5" s="4">
        <v>16</v>
      </c>
      <c r="J5" s="4"/>
      <c r="K5" s="23" t="str">
        <f>MID(K$2,LEN(K$2)-I5+1,I5)</f>
        <v>0000001001100101</v>
      </c>
    </row>
    <row r="6" spans="1:11" ht="21" x14ac:dyDescent="0.65">
      <c r="A6" s="4" t="s">
        <v>35</v>
      </c>
      <c r="B6" s="4">
        <v>16</v>
      </c>
      <c r="C6" s="4"/>
      <c r="D6" s="23" t="str">
        <f>MID(D$3,LEN(D$3)-B6+1,B6)</f>
        <v>1011111010010010</v>
      </c>
      <c r="H6" s="4" t="s">
        <v>35</v>
      </c>
      <c r="I6" s="4">
        <v>16</v>
      </c>
      <c r="J6" s="4"/>
      <c r="K6" s="23" t="str">
        <f>MID(K$3,LEN(K$3)-I6+1,I6)</f>
        <v>0111001111010001</v>
      </c>
    </row>
    <row r="7" spans="1:11" ht="21" x14ac:dyDescent="0.65">
      <c r="A7" s="4" t="s">
        <v>36</v>
      </c>
      <c r="B7" s="4"/>
      <c r="C7" s="4"/>
      <c r="D7" s="23" t="str">
        <f>_xlfn.CONCAT(D5,D6)</f>
        <v>000101101011111010010010</v>
      </c>
      <c r="H7" s="4" t="s">
        <v>36</v>
      </c>
      <c r="I7" s="4"/>
      <c r="J7" s="4"/>
      <c r="K7" s="23" t="str">
        <f>_xlfn.CONCAT(K5,K6)</f>
        <v>00000010011001010111001111010001</v>
      </c>
    </row>
    <row r="8" spans="1:11" ht="21" x14ac:dyDescent="0.65">
      <c r="A8" s="4" t="s">
        <v>58</v>
      </c>
      <c r="B8" s="4"/>
      <c r="C8" s="4"/>
      <c r="D8" s="23" t="str">
        <f>RIGHT(_xlfn.CONCAT("00000000000000000000000000000000",D7),32)</f>
        <v>00000000000101101011111010010010</v>
      </c>
      <c r="H8" s="4" t="s">
        <v>58</v>
      </c>
      <c r="I8" s="4"/>
      <c r="J8" s="4"/>
      <c r="K8" s="23" t="str">
        <f>RIGHT(_xlfn.CONCAT("00000000000000000000000000000000",K7),32)</f>
        <v>00000010011001010111001111010001</v>
      </c>
    </row>
    <row r="9" spans="1:11" ht="21" x14ac:dyDescent="0.65">
      <c r="A9" s="4"/>
      <c r="B9" s="4"/>
      <c r="C9" s="4"/>
      <c r="D9" s="4"/>
      <c r="H9" s="4"/>
      <c r="I9" s="4"/>
      <c r="J9" s="4"/>
      <c r="K9" s="4"/>
    </row>
    <row r="10" spans="1:11" ht="21" x14ac:dyDescent="0.65">
      <c r="A10" s="4" t="s">
        <v>42</v>
      </c>
      <c r="B10" s="4"/>
      <c r="C10" s="4"/>
      <c r="D10" s="23" t="str">
        <f>RIGHT(D8,B1-2)</f>
        <v>000101101011111010010010</v>
      </c>
      <c r="H10" s="4" t="s">
        <v>42</v>
      </c>
      <c r="I10" s="4"/>
      <c r="J10" s="4"/>
      <c r="K10" s="23" t="str">
        <f>RIGHT(K8,I1-2)</f>
        <v>00000010011001010111001111010001</v>
      </c>
    </row>
    <row r="11" spans="1:11" ht="21" x14ac:dyDescent="0.65">
      <c r="A11" s="4" t="s">
        <v>40</v>
      </c>
      <c r="B11" s="4">
        <v>1</v>
      </c>
      <c r="C11" s="4">
        <f>B$1/2-1</f>
        <v>12</v>
      </c>
      <c r="D11" s="23" t="str">
        <f>MID(D$10,B11,C11)</f>
        <v>000101101011</v>
      </c>
      <c r="H11" s="4" t="s">
        <v>40</v>
      </c>
      <c r="I11" s="4">
        <v>1</v>
      </c>
      <c r="J11" s="4">
        <f>I$1/2-1</f>
        <v>16</v>
      </c>
      <c r="K11" s="23" t="str">
        <f>MID(K$10,I11,J11)</f>
        <v>0000001001100101</v>
      </c>
    </row>
    <row r="12" spans="1:11" ht="21" x14ac:dyDescent="0.65">
      <c r="A12" s="4" t="s">
        <v>41</v>
      </c>
      <c r="B12" s="4"/>
      <c r="C12" s="4"/>
      <c r="D12" s="4">
        <f>LEN(MID(D11,1,C11))-LEN(SUBSTITUTE(MID(D11,1,C11),"1",""))</f>
        <v>6</v>
      </c>
      <c r="H12" s="4" t="s">
        <v>41</v>
      </c>
      <c r="I12" s="4"/>
      <c r="J12" s="4"/>
      <c r="K12" s="4">
        <f>LEN(MID(K11,1,J11))-LEN(SUBSTITUTE(MID(K11,1,J11),"1",""))</f>
        <v>5</v>
      </c>
    </row>
    <row r="13" spans="1:11" ht="21" x14ac:dyDescent="0.65">
      <c r="A13" s="4" t="s">
        <v>37</v>
      </c>
      <c r="B13" s="23" t="s">
        <v>38</v>
      </c>
      <c r="C13" s="4"/>
      <c r="D13" s="4">
        <f>MOD(D12 + IF(B13="Even",0,1),2)</f>
        <v>0</v>
      </c>
      <c r="H13" s="4" t="s">
        <v>37</v>
      </c>
      <c r="I13" s="23" t="s">
        <v>38</v>
      </c>
      <c r="J13" s="4"/>
      <c r="K13" s="4">
        <f>MOD(K12 + IF(I13="Even",0,1),2)</f>
        <v>1</v>
      </c>
    </row>
    <row r="14" spans="1:11" ht="21" x14ac:dyDescent="0.65">
      <c r="A14" s="4"/>
      <c r="B14" s="4"/>
      <c r="C14" s="4"/>
      <c r="D14" s="4"/>
      <c r="H14" s="4"/>
      <c r="I14" s="4"/>
      <c r="J14" s="4"/>
      <c r="K14" s="4"/>
    </row>
    <row r="15" spans="1:11" ht="21" x14ac:dyDescent="0.65">
      <c r="A15" s="4" t="s">
        <v>40</v>
      </c>
      <c r="B15" s="4">
        <f>B11+C11</f>
        <v>13</v>
      </c>
      <c r="C15" s="4">
        <f>B$1/2-1</f>
        <v>12</v>
      </c>
      <c r="D15" s="23" t="str">
        <f>MID(D$10,B15,C15)</f>
        <v>111010010010</v>
      </c>
      <c r="H15" s="4" t="s">
        <v>40</v>
      </c>
      <c r="I15" s="4">
        <f>I11+J11</f>
        <v>17</v>
      </c>
      <c r="J15" s="4">
        <f>I$1/2-1</f>
        <v>16</v>
      </c>
      <c r="K15" s="23" t="str">
        <f>MID(K$10,I15,J15)</f>
        <v>0111001111010001</v>
      </c>
    </row>
    <row r="16" spans="1:11" ht="21" x14ac:dyDescent="0.65">
      <c r="A16" s="4" t="s">
        <v>41</v>
      </c>
      <c r="B16" s="4"/>
      <c r="C16" s="4"/>
      <c r="D16" s="4">
        <f>LEN(MID(D15,1,C15))-LEN(SUBSTITUTE(MID(D15,1,C15),"1",""))</f>
        <v>6</v>
      </c>
      <c r="H16" s="4" t="s">
        <v>41</v>
      </c>
      <c r="I16" s="4"/>
      <c r="J16" s="4"/>
      <c r="K16" s="4">
        <f>LEN(MID(K15,1,J15))-LEN(SUBSTITUTE(MID(K15,1,J15),"1",""))</f>
        <v>9</v>
      </c>
    </row>
    <row r="17" spans="1:11" ht="21" x14ac:dyDescent="0.65">
      <c r="A17" s="4" t="s">
        <v>37</v>
      </c>
      <c r="B17" s="23" t="s">
        <v>39</v>
      </c>
      <c r="C17" s="4"/>
      <c r="D17" s="4">
        <f>MOD(D16 + IF(B17="Even",0,1),2)</f>
        <v>1</v>
      </c>
      <c r="H17" s="4" t="s">
        <v>37</v>
      </c>
      <c r="I17" s="23" t="s">
        <v>39</v>
      </c>
      <c r="J17" s="4"/>
      <c r="K17" s="4">
        <f>MOD(K16 + IF(I17="Even",0,1),2)</f>
        <v>0</v>
      </c>
    </row>
    <row r="18" spans="1:11" ht="21" x14ac:dyDescent="0.65">
      <c r="A18" s="4"/>
      <c r="B18" s="4"/>
      <c r="C18" s="4"/>
      <c r="D18" s="4"/>
      <c r="H18" s="4"/>
      <c r="I18" s="4"/>
      <c r="J18" s="4"/>
      <c r="K18" s="4"/>
    </row>
    <row r="19" spans="1:11" ht="21" x14ac:dyDescent="0.65">
      <c r="A19" s="4"/>
      <c r="B19" s="4"/>
      <c r="C19" s="4"/>
      <c r="D19" s="4"/>
      <c r="H19" s="4"/>
      <c r="I19" s="4"/>
      <c r="J19" s="4"/>
      <c r="K19" s="4"/>
    </row>
    <row r="20" spans="1:11" ht="21" x14ac:dyDescent="0.65">
      <c r="A20" s="4"/>
      <c r="B20" s="4"/>
      <c r="C20" s="4"/>
      <c r="D20" s="4"/>
      <c r="H20" s="4"/>
      <c r="I20" s="4"/>
      <c r="J20" s="4"/>
      <c r="K20" s="4"/>
    </row>
    <row r="21" spans="1:11" ht="21" x14ac:dyDescent="0.65">
      <c r="A21" s="4" t="s">
        <v>15</v>
      </c>
      <c r="B21" s="4"/>
      <c r="C21" s="4"/>
      <c r="D21" s="23" t="str">
        <f>RIGHT(D7,24)</f>
        <v>000101101011111010010010</v>
      </c>
      <c r="H21" s="4" t="s">
        <v>15</v>
      </c>
      <c r="I21" s="4"/>
      <c r="J21" s="4"/>
      <c r="K21" s="23" t="str">
        <f>RIGHT(K7,24)</f>
        <v>011001010111001111010001</v>
      </c>
    </row>
    <row r="22" spans="1:11" ht="21" x14ac:dyDescent="0.65">
      <c r="A22" s="4" t="s">
        <v>15</v>
      </c>
      <c r="B22" s="4"/>
      <c r="C22" s="4"/>
      <c r="D22" s="30" t="str">
        <f>_xlfn.CONCAT(BIN2HEX(MID(D21,1,8),2),":",BIN2HEX(MID(D21,1+(1*8),8),2),":",BIN2HEX(MID(D21,1+(2*8),8),2))</f>
        <v>16:BE:92</v>
      </c>
      <c r="H22" s="4" t="s">
        <v>15</v>
      </c>
      <c r="I22" s="4"/>
      <c r="J22" s="4"/>
      <c r="K22" s="30" t="str">
        <f>_xlfn.CONCAT(BIN2HEX(MID(K21,1,8),2),":",BIN2HEX(MID(K21,1+(1*8),8),2),":",BIN2HEX(MID(K21,1+(2*8),8),2))</f>
        <v>65:73:D1</v>
      </c>
    </row>
    <row r="23" spans="1:11" ht="21" x14ac:dyDescent="0.65">
      <c r="A23" s="4"/>
      <c r="B23" s="4"/>
      <c r="C23" s="4"/>
      <c r="D23" s="4"/>
      <c r="H23" s="4"/>
      <c r="I23" s="4"/>
      <c r="J23" s="4"/>
      <c r="K23" s="4"/>
    </row>
    <row r="24" spans="1:11" ht="21" x14ac:dyDescent="0.65">
      <c r="A24" s="4"/>
      <c r="B24" s="4"/>
      <c r="C24" s="4"/>
      <c r="D24" s="4"/>
      <c r="H24" s="4"/>
      <c r="I24" s="4"/>
      <c r="J24" s="4"/>
      <c r="K24" s="4"/>
    </row>
    <row r="25" spans="1:11" ht="21" x14ac:dyDescent="0.65">
      <c r="A25" s="4" t="s">
        <v>2</v>
      </c>
      <c r="B25" s="4"/>
      <c r="C25" s="4"/>
      <c r="D25" s="23" t="str">
        <f>RIGHT(D$1,8)</f>
        <v>00011010</v>
      </c>
      <c r="H25" s="4" t="s">
        <v>2</v>
      </c>
      <c r="I25" s="4"/>
      <c r="J25" s="4"/>
      <c r="K25" s="23" t="str">
        <f>RIGHT(K$1,8)</f>
        <v>00100010</v>
      </c>
    </row>
    <row r="26" spans="1:11" ht="21" x14ac:dyDescent="0.65">
      <c r="A26" s="4" t="s">
        <v>2</v>
      </c>
      <c r="B26" s="4"/>
      <c r="C26" s="4"/>
      <c r="D26" s="23" t="str">
        <f>D8</f>
        <v>00000000000101101011111010010010</v>
      </c>
      <c r="H26" s="4" t="s">
        <v>2</v>
      </c>
      <c r="I26" s="4"/>
      <c r="J26" s="4"/>
      <c r="K26" s="23" t="str">
        <f>K8</f>
        <v>00000010011001010111001111010001</v>
      </c>
    </row>
    <row r="27" spans="1:11" ht="21" x14ac:dyDescent="0.65">
      <c r="A27" s="4" t="s">
        <v>2</v>
      </c>
      <c r="B27" s="4"/>
      <c r="C27" s="4"/>
      <c r="D27" s="30" t="str">
        <f>_xlfn.CONCAT(BIN2HEX(D25,2),":",BIN2HEX(MID(D26,1,8),2),":",BIN2HEX(MID(D26,1+(1*8),8),2),":",BIN2HEX(MID(D26,1+(2*8),8),2),":",BIN2HEX(MID(D26,1+(3*8),8),2))</f>
        <v>1A:00:16:BE:92</v>
      </c>
      <c r="H27" s="4" t="s">
        <v>2</v>
      </c>
      <c r="I27" s="4"/>
      <c r="J27" s="4"/>
      <c r="K27" s="30" t="str">
        <f>_xlfn.CONCAT(BIN2HEX(K25,2),":",BIN2HEX(MID(K26,1,8),2),":",BIN2HEX(MID(K26,1+(1*8),8),2),":",BIN2HEX(MID(K26,1+(2*8),8),2),":",BIN2HEX(MID(K26,1+(3*8),8),2))</f>
        <v>22:02:65:73:D1</v>
      </c>
    </row>
    <row r="28" spans="1:11" ht="21" x14ac:dyDescent="0.65">
      <c r="A28" s="4"/>
      <c r="B28" s="4"/>
      <c r="C28" s="4"/>
      <c r="D28" s="4"/>
      <c r="H28" s="4"/>
      <c r="I28" s="4"/>
      <c r="J28" s="4"/>
      <c r="K28" s="4"/>
    </row>
    <row r="29" spans="1:11" ht="21" x14ac:dyDescent="0.65">
      <c r="A29" s="4"/>
      <c r="B29" s="4"/>
      <c r="C29" s="4"/>
      <c r="D29" s="4"/>
      <c r="H29" s="4"/>
      <c r="I29" s="4"/>
      <c r="J29" s="4"/>
      <c r="K29" s="4"/>
    </row>
    <row r="30" spans="1:11" ht="21" x14ac:dyDescent="0.65">
      <c r="A30" s="4" t="s">
        <v>22</v>
      </c>
      <c r="B30" s="4"/>
      <c r="C30" s="4"/>
      <c r="D30" s="23" t="str">
        <f>RIGHT(D$1,8)</f>
        <v>00011010</v>
      </c>
      <c r="H30" s="4" t="s">
        <v>22</v>
      </c>
      <c r="I30" s="4"/>
      <c r="J30" s="4"/>
      <c r="K30" s="23" t="str">
        <f>RIGHT(K$1,8)</f>
        <v>00100010</v>
      </c>
    </row>
    <row r="31" spans="1:11" ht="21" x14ac:dyDescent="0.65">
      <c r="A31" s="4" t="s">
        <v>22</v>
      </c>
      <c r="B31" s="4"/>
      <c r="C31" s="4"/>
      <c r="D31" s="4">
        <f>D13</f>
        <v>0</v>
      </c>
      <c r="H31" s="4" t="s">
        <v>22</v>
      </c>
      <c r="I31" s="4"/>
      <c r="J31" s="4"/>
      <c r="K31" s="4">
        <f>K13</f>
        <v>1</v>
      </c>
    </row>
    <row r="32" spans="1:11" ht="21" x14ac:dyDescent="0.65">
      <c r="A32" s="4" t="s">
        <v>22</v>
      </c>
      <c r="B32" s="4"/>
      <c r="C32" s="4"/>
      <c r="D32" s="23" t="str">
        <f>D10</f>
        <v>000101101011111010010010</v>
      </c>
      <c r="H32" s="4" t="s">
        <v>22</v>
      </c>
      <c r="I32" s="4"/>
      <c r="J32" s="4"/>
      <c r="K32" s="23" t="str">
        <f>K10</f>
        <v>00000010011001010111001111010001</v>
      </c>
    </row>
    <row r="33" spans="1:11" ht="21" x14ac:dyDescent="0.65">
      <c r="A33" s="4" t="s">
        <v>22</v>
      </c>
      <c r="B33" s="4"/>
      <c r="C33" s="4"/>
      <c r="D33" s="4">
        <f>D17</f>
        <v>1</v>
      </c>
      <c r="H33" s="4" t="s">
        <v>22</v>
      </c>
      <c r="I33" s="4"/>
      <c r="J33" s="4"/>
      <c r="K33" s="4">
        <f>K17</f>
        <v>0</v>
      </c>
    </row>
    <row r="34" spans="1:11" ht="21" x14ac:dyDescent="0.65">
      <c r="A34" s="4" t="s">
        <v>22</v>
      </c>
      <c r="B34" s="4"/>
      <c r="C34" s="4"/>
      <c r="D34" s="23" t="str">
        <f>_xlfn.CONCAT(D30:D33,"0000000")</f>
        <v>00011010000010110101111101001001010000000</v>
      </c>
      <c r="H34" s="4" t="s">
        <v>22</v>
      </c>
      <c r="I34" s="4"/>
      <c r="J34" s="4"/>
      <c r="K34" s="23" t="str">
        <f>_xlfn.CONCAT(K30:K33,"0000000")</f>
        <v>0010001010000001001100101011100111101000100000000</v>
      </c>
    </row>
    <row r="35" spans="1:11" ht="21" x14ac:dyDescent="0.65">
      <c r="A35" s="4" t="s">
        <v>22</v>
      </c>
      <c r="B35" s="4"/>
      <c r="C35" s="4"/>
      <c r="D35" s="30" t="str">
        <f>_xlfn.CONCAT(BIN2HEX(MID(D34,1,8),2),":",BIN2HEX(MID(D34,1+(1*8),8),2),":",BIN2HEX(MID(D34,1+(2*8),8),2),":",BIN2HEX(MID(D34,1+(3*8),8),2),":",BIN2HEX(MID(D34,1+(4*8),8),2),":",BIN2HEX(MID(D34,1+(5*8),8),2),":",BIN2HEX(MID(D34,1+(6*8),8),2),":",BIN2HEX(MID(D34,1+(7*8),8),2),":",BIN2HEX(MID(D34,1+(8*8),8),2))</f>
        <v>1A:0B:5F:49:40:00:00:00:00</v>
      </c>
      <c r="H35" s="4" t="s">
        <v>22</v>
      </c>
      <c r="I35" s="4"/>
      <c r="J35" s="4"/>
      <c r="K35" s="30" t="str">
        <f>_xlfn.CONCAT(BIN2HEX(MID(K34,1,8),2),":",BIN2HEX(MID(K34,1+(1*8),8),2),":",BIN2HEX(MID(K34,1+(2*8),8),2),":",BIN2HEX(MID(K34,1+(3*8),8),2),":",BIN2HEX(MID(K34,1+(4*8),8),2),":",BIN2HEX(MID(K34,1+(5*8),8),2),":",BIN2HEX(MID(K34,1+(6*8),8),2),":",BIN2HEX(MID(K34,1+(7*8),8),2),":",BIN2HEX(MID(K34,1+(8*8),8),2))</f>
        <v>22:81:32:B9:E8:80:00:00:00</v>
      </c>
    </row>
    <row r="36" spans="1:11" ht="21" x14ac:dyDescent="0.65">
      <c r="A36" s="4"/>
      <c r="B36" s="4"/>
      <c r="C36" s="4"/>
      <c r="D36" s="4"/>
    </row>
    <row r="37" spans="1:11" ht="21" x14ac:dyDescent="0.65">
      <c r="A37" s="4"/>
      <c r="B37" s="4"/>
      <c r="C37" s="4"/>
      <c r="D37" s="4"/>
    </row>
    <row r="38" spans="1:11" ht="21" x14ac:dyDescent="0.65">
      <c r="A38" s="4"/>
      <c r="B38" s="4"/>
      <c r="C38" s="4"/>
      <c r="D38" s="4"/>
    </row>
    <row r="39" spans="1:11" ht="21" x14ac:dyDescent="0.65">
      <c r="A39" s="4"/>
      <c r="B39" s="4"/>
      <c r="C39" s="4"/>
      <c r="D39" s="4"/>
    </row>
  </sheetData>
  <conditionalFormatting sqref="D11">
    <cfRule type="expression" dxfId="5" priority="10">
      <formula>C11-LEN(D11)&gt;0</formula>
    </cfRule>
  </conditionalFormatting>
  <conditionalFormatting sqref="D15">
    <cfRule type="expression" dxfId="4" priority="9">
      <formula>C15-LEN(D15)&gt;0</formula>
    </cfRule>
  </conditionalFormatting>
  <conditionalFormatting sqref="D22">
    <cfRule type="expression" dxfId="3" priority="6">
      <formula>B1&gt;26</formula>
    </cfRule>
  </conditionalFormatting>
  <conditionalFormatting sqref="K11">
    <cfRule type="expression" dxfId="2" priority="4">
      <formula>J11-LEN(K11)&gt;0</formula>
    </cfRule>
  </conditionalFormatting>
  <conditionalFormatting sqref="K15">
    <cfRule type="expression" dxfId="1" priority="3">
      <formula>J15-LEN(K15)&gt;0</formula>
    </cfRule>
  </conditionalFormatting>
  <conditionalFormatting sqref="K22">
    <cfRule type="expression" dxfId="0" priority="2">
      <formula>I1&gt;26</formula>
    </cfRule>
  </conditionalFormatting>
  <dataValidations count="1">
    <dataValidation type="list" allowBlank="1" showInputMessage="1" showErrorMessage="1" sqref="B13 B17 I13 I17" xr:uid="{30E9191B-E179-43E3-AB73-A9EFBDA8B0C7}">
      <formula1>"Even, Odd"</formula1>
    </dataValidation>
  </dataValidations>
  <pageMargins left="0.7" right="0.7" top="0.75" bottom="0.75" header="0.3" footer="0.3"/>
  <pageSetup scale="3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217-4464-41AD-BF3A-32EDA0F7EF1C}">
  <dimension ref="A1:AJ24"/>
  <sheetViews>
    <sheetView tabSelected="1" zoomScale="40" zoomScaleNormal="40" workbookViewId="0">
      <selection activeCell="T6" sqref="T6"/>
    </sheetView>
  </sheetViews>
  <sheetFormatPr defaultRowHeight="14.25" x14ac:dyDescent="0.45"/>
  <cols>
    <col min="1" max="1" width="48" customWidth="1"/>
    <col min="2" max="2" width="9.33203125" bestFit="1" customWidth="1"/>
    <col min="3" max="3" width="48.53125" bestFit="1" customWidth="1"/>
    <col min="4" max="4" width="4" customWidth="1"/>
    <col min="5" max="35" width="3.265625" customWidth="1"/>
    <col min="36" max="36" width="3.19921875" customWidth="1"/>
  </cols>
  <sheetData>
    <row r="1" spans="1:35" ht="25.5" x14ac:dyDescent="0.75">
      <c r="A1" s="31" t="s">
        <v>51</v>
      </c>
    </row>
    <row r="2" spans="1:35" s="33" customFormat="1" ht="28.5" x14ac:dyDescent="0.85">
      <c r="A2" s="33" t="s">
        <v>32</v>
      </c>
      <c r="B2" s="33">
        <v>75</v>
      </c>
      <c r="C2" s="34" t="str">
        <f>_xlfn.CONCAT(DEC2BIN(MOD(B2/POWER(256,0),256),8))</f>
        <v>01001011</v>
      </c>
      <c r="E2" s="35" t="str">
        <f>MID($C2,1,1)</f>
        <v>0</v>
      </c>
      <c r="F2" s="35" t="str">
        <f>MID($C2,2,1)</f>
        <v>1</v>
      </c>
      <c r="G2" s="35" t="str">
        <f>MID($C2,3,1)</f>
        <v>0</v>
      </c>
      <c r="H2" s="35" t="str">
        <f>MID($C2,4,1)</f>
        <v>0</v>
      </c>
      <c r="I2" s="35" t="str">
        <f>MID($C2,5,1)</f>
        <v>1</v>
      </c>
      <c r="J2" s="35" t="str">
        <f>MID($C2,6,1)</f>
        <v>0</v>
      </c>
      <c r="K2" s="35" t="str">
        <f>MID($C2,7,1)</f>
        <v>1</v>
      </c>
      <c r="L2" s="35" t="str">
        <f>MID($C2,8,1)</f>
        <v>1</v>
      </c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</row>
    <row r="3" spans="1:35" s="33" customFormat="1" ht="28.5" x14ac:dyDescent="0.85">
      <c r="E3" s="35">
        <v>0</v>
      </c>
      <c r="F3" s="35">
        <v>1</v>
      </c>
      <c r="G3" s="35">
        <v>0</v>
      </c>
      <c r="H3" s="35">
        <v>0</v>
      </c>
      <c r="I3" s="35">
        <v>1</v>
      </c>
      <c r="J3" s="35">
        <v>0</v>
      </c>
      <c r="K3" s="35">
        <v>1</v>
      </c>
      <c r="L3" s="35">
        <v>1</v>
      </c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</row>
    <row r="4" spans="1:35" s="33" customFormat="1" ht="28.5" x14ac:dyDescent="0.85"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</row>
    <row r="5" spans="1:35" s="33" customFormat="1" ht="28.5" x14ac:dyDescent="0.85">
      <c r="A5" s="33" t="s">
        <v>33</v>
      </c>
      <c r="B5" s="36">
        <v>4594</v>
      </c>
      <c r="C5" s="34" t="str">
        <f>_xlfn.CONCAT(DEC2BIN(MOD(B5/POWER(256,1),256),8),DEC2BIN(MOD(B5/POWER(256,0),256),8))</f>
        <v>0001000111110010</v>
      </c>
      <c r="E5" s="35" t="str">
        <f>MID($C5,1,1)</f>
        <v>0</v>
      </c>
      <c r="F5" s="35" t="str">
        <f>MID($C5,2,1)</f>
        <v>0</v>
      </c>
      <c r="G5" s="35" t="str">
        <f>MID($C5,3,1)</f>
        <v>0</v>
      </c>
      <c r="H5" s="35" t="str">
        <f>MID($C5,4,1)</f>
        <v>1</v>
      </c>
      <c r="I5" s="35" t="str">
        <f>MID($C5,5,1)</f>
        <v>0</v>
      </c>
      <c r="J5" s="35" t="str">
        <f>MID($C5,6,1)</f>
        <v>0</v>
      </c>
      <c r="K5" s="35" t="str">
        <f>MID($C5,7,1)</f>
        <v>0</v>
      </c>
      <c r="L5" s="35" t="str">
        <f>MID($C5,8,1)</f>
        <v>1</v>
      </c>
      <c r="M5" s="35" t="str">
        <f>MID($C5,9,1)</f>
        <v>1</v>
      </c>
      <c r="N5" s="35" t="str">
        <f>MID($C5,10,1)</f>
        <v>1</v>
      </c>
      <c r="O5" s="35" t="str">
        <f>MID($C5,11,1)</f>
        <v>1</v>
      </c>
      <c r="P5" s="35" t="str">
        <f>MID($C5,12,1)</f>
        <v>1</v>
      </c>
      <c r="Q5" s="35" t="str">
        <f>MID($C5,13,1)</f>
        <v>0</v>
      </c>
      <c r="R5" s="35" t="str">
        <f>MID($C5,14,1)</f>
        <v>0</v>
      </c>
      <c r="S5" s="35" t="str">
        <f>MID($C5,15,1)</f>
        <v>1</v>
      </c>
      <c r="T5" s="35" t="str">
        <f>MID($C5,16,1)</f>
        <v>0</v>
      </c>
      <c r="U5" s="35" t="str">
        <f>MID($C5,17,1)</f>
        <v/>
      </c>
      <c r="V5" s="35" t="str">
        <f>MID($C5,18,1)</f>
        <v/>
      </c>
      <c r="W5" s="35" t="str">
        <f>MID($C5,19,1)</f>
        <v/>
      </c>
      <c r="X5" s="35" t="str">
        <f>MID($C5,20,1)</f>
        <v/>
      </c>
      <c r="Y5" s="35" t="str">
        <f>MID($C5,21,1)</f>
        <v/>
      </c>
      <c r="Z5" s="35" t="str">
        <f>MID($C5,22,1)</f>
        <v/>
      </c>
      <c r="AA5" s="35" t="str">
        <f>MID($C5,23,1)</f>
        <v/>
      </c>
      <c r="AB5" s="35" t="str">
        <f>MID($C5,24,1)</f>
        <v/>
      </c>
      <c r="AC5" s="35"/>
      <c r="AD5" s="35"/>
      <c r="AE5" s="35"/>
      <c r="AF5" s="35"/>
      <c r="AG5" s="35"/>
      <c r="AH5" s="35"/>
      <c r="AI5" s="35"/>
    </row>
    <row r="6" spans="1:35" s="35" customFormat="1" ht="28.5" x14ac:dyDescent="0.85">
      <c r="E6" s="35" t="str">
        <f>E5</f>
        <v>0</v>
      </c>
      <c r="F6" s="35" t="str">
        <f t="shared" ref="F6:T6" si="0">F5</f>
        <v>0</v>
      </c>
      <c r="G6" s="35" t="str">
        <f t="shared" si="0"/>
        <v>0</v>
      </c>
      <c r="H6" s="35" t="str">
        <f t="shared" si="0"/>
        <v>1</v>
      </c>
      <c r="I6" s="35" t="str">
        <f t="shared" si="0"/>
        <v>0</v>
      </c>
      <c r="J6" s="35" t="str">
        <f t="shared" si="0"/>
        <v>0</v>
      </c>
      <c r="K6" s="35" t="str">
        <f t="shared" si="0"/>
        <v>0</v>
      </c>
      <c r="L6" s="35" t="str">
        <f t="shared" si="0"/>
        <v>1</v>
      </c>
      <c r="M6" s="35" t="str">
        <f t="shared" si="0"/>
        <v>1</v>
      </c>
      <c r="N6" s="35" t="str">
        <f t="shared" si="0"/>
        <v>1</v>
      </c>
      <c r="O6" s="35" t="str">
        <f t="shared" si="0"/>
        <v>1</v>
      </c>
      <c r="P6" s="35" t="str">
        <f t="shared" si="0"/>
        <v>1</v>
      </c>
      <c r="Q6" s="35" t="str">
        <f t="shared" si="0"/>
        <v>0</v>
      </c>
      <c r="R6" s="35" t="str">
        <f t="shared" si="0"/>
        <v>0</v>
      </c>
      <c r="S6" s="35" t="str">
        <f t="shared" si="0"/>
        <v>1</v>
      </c>
      <c r="T6" s="35" t="str">
        <f t="shared" si="0"/>
        <v>0</v>
      </c>
    </row>
    <row r="7" spans="1:35" s="33" customFormat="1" ht="28.5" x14ac:dyDescent="0.85"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</row>
    <row r="8" spans="1:35" s="33" customFormat="1" ht="28.5" x14ac:dyDescent="0.85">
      <c r="A8" s="33" t="s">
        <v>46</v>
      </c>
      <c r="C8" s="34" t="str">
        <f>_xlfn.CONCAT(E3:L3,E6:H6)</f>
        <v>010010110001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</row>
    <row r="9" spans="1:35" s="33" customFormat="1" ht="28.5" x14ac:dyDescent="0.85">
      <c r="A9" s="33" t="s">
        <v>44</v>
      </c>
      <c r="C9" s="34">
        <f>LEN(C8)-LEN(SUBSTITUTE(C8,"1",""))</f>
        <v>5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</row>
    <row r="10" spans="1:35" s="33" customFormat="1" ht="28.5" x14ac:dyDescent="0.85">
      <c r="A10" s="33" t="s">
        <v>45</v>
      </c>
      <c r="C10" s="34">
        <f>MOD(C9,2)</f>
        <v>1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</row>
    <row r="11" spans="1:35" s="33" customFormat="1" ht="28.5" x14ac:dyDescent="0.85"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</row>
    <row r="12" spans="1:35" s="33" customFormat="1" ht="28.5" x14ac:dyDescent="0.85"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</row>
    <row r="13" spans="1:35" s="33" customFormat="1" ht="28.5" x14ac:dyDescent="0.85">
      <c r="A13" s="33" t="s">
        <v>47</v>
      </c>
      <c r="C13" s="34" t="str">
        <f>_xlfn.CONCAT(I6:T6)</f>
        <v>000111110010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</row>
    <row r="14" spans="1:35" s="33" customFormat="1" ht="28.5" x14ac:dyDescent="0.85">
      <c r="A14" s="33" t="s">
        <v>48</v>
      </c>
      <c r="C14" s="34">
        <f>LEN(C13)-LEN(SUBSTITUTE(C13,"1",""))</f>
        <v>6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</row>
    <row r="15" spans="1:35" s="33" customFormat="1" ht="28.5" x14ac:dyDescent="0.85">
      <c r="A15" s="33" t="s">
        <v>49</v>
      </c>
      <c r="C15" s="34">
        <f>MOD(C14+1,2)</f>
        <v>1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</row>
    <row r="16" spans="1:35" s="33" customFormat="1" ht="28.5" x14ac:dyDescent="0.85"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</row>
    <row r="17" spans="1:36" s="33" customFormat="1" ht="28.5" x14ac:dyDescent="0.85"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</row>
    <row r="18" spans="1:36" s="33" customFormat="1" ht="28.5" x14ac:dyDescent="0.85">
      <c r="A18" s="33" t="s">
        <v>57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 t="s">
        <v>43</v>
      </c>
      <c r="AB18" s="35"/>
      <c r="AC18" s="35"/>
      <c r="AD18" s="35"/>
      <c r="AE18" s="35"/>
      <c r="AF18" s="35"/>
      <c r="AG18" s="35" t="s">
        <v>43</v>
      </c>
      <c r="AH18" s="35" t="s">
        <v>43</v>
      </c>
      <c r="AI18" s="35" t="s">
        <v>43</v>
      </c>
      <c r="AJ18" s="35" t="s">
        <v>43</v>
      </c>
    </row>
    <row r="19" spans="1:36" s="33" customFormat="1" ht="28.5" x14ac:dyDescent="0.85">
      <c r="A19" s="33" t="s">
        <v>55</v>
      </c>
      <c r="E19" s="35"/>
      <c r="F19" s="35">
        <f>C10</f>
        <v>1</v>
      </c>
      <c r="G19" s="35"/>
      <c r="H19" s="35"/>
      <c r="I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36" s="33" customFormat="1" ht="28.5" x14ac:dyDescent="0.85">
      <c r="A20" s="33" t="s">
        <v>56</v>
      </c>
      <c r="E20" s="35"/>
      <c r="F20" s="35"/>
      <c r="G20" s="35"/>
      <c r="H20" s="35"/>
      <c r="I20" s="35"/>
      <c r="J20" s="35">
        <f>C15</f>
        <v>1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 t="s">
        <v>50</v>
      </c>
      <c r="AH20" s="35" t="s">
        <v>50</v>
      </c>
      <c r="AI20" s="35"/>
    </row>
    <row r="21" spans="1:36" s="33" customFormat="1" ht="28.5" x14ac:dyDescent="0.85">
      <c r="A21" s="33" t="s">
        <v>53</v>
      </c>
      <c r="E21" s="35"/>
      <c r="F21" s="35"/>
      <c r="G21" s="35"/>
      <c r="H21" s="35"/>
      <c r="I21" s="35"/>
      <c r="J21" s="35"/>
      <c r="K21" s="35">
        <f>IF(LEN(K3)&gt;0,K3,"?")</f>
        <v>1</v>
      </c>
      <c r="L21" s="35"/>
      <c r="M21" s="35"/>
      <c r="N21" s="35"/>
      <c r="O21" s="35"/>
      <c r="P21" s="35">
        <f>IF(LEN(G3)&gt;0,G3,"?")</f>
        <v>0</v>
      </c>
      <c r="Q21" s="35"/>
      <c r="R21" s="35"/>
      <c r="S21" s="35">
        <f>IF(LEN(H3)&gt;0,H3,"?")</f>
        <v>0</v>
      </c>
      <c r="T21" s="35">
        <f>IF(LEN(I3)&gt;0,I3,"?")</f>
        <v>1</v>
      </c>
      <c r="U21" s="35">
        <f>IF(LEN(F3)&gt;0,F3,"?")</f>
        <v>1</v>
      </c>
      <c r="V21" s="35"/>
      <c r="W21" s="35"/>
      <c r="X21" s="35"/>
      <c r="Y21" s="35">
        <f>IF(LEN(J3)&gt;0,J3,"?")</f>
        <v>0</v>
      </c>
      <c r="Z21" s="35"/>
      <c r="AA21" s="35"/>
      <c r="AB21" s="35"/>
      <c r="AC21" s="35">
        <f>IF(LEN(E3)&gt;0,E3,"?")</f>
        <v>0</v>
      </c>
      <c r="AD21" s="35">
        <f>IF(LEN(L3)&gt;0,L3,"?")</f>
        <v>1</v>
      </c>
      <c r="AE21" s="35"/>
      <c r="AF21" s="35"/>
      <c r="AG21" s="35"/>
      <c r="AH21" s="35"/>
      <c r="AI21" s="35"/>
    </row>
    <row r="22" spans="1:36" s="33" customFormat="1" ht="28.5" x14ac:dyDescent="0.85">
      <c r="A22" s="33" t="s">
        <v>54</v>
      </c>
      <c r="E22" s="35" t="str">
        <f>IF(LEN($N$6)&gt;0,$N$6,"?")</f>
        <v>1</v>
      </c>
      <c r="F22" s="35"/>
      <c r="G22" s="35" t="str">
        <f>IF(LEN($K$6)&gt;0,$K$6,"?")</f>
        <v>0</v>
      </c>
      <c r="H22" s="35" t="str">
        <f>IF(LEN($J$6)&gt;0,$J$6,"?")</f>
        <v>0</v>
      </c>
      <c r="I22" s="35" t="str">
        <f>IF(LEN($O$6)&gt;0,$O$6,"?")</f>
        <v>1</v>
      </c>
      <c r="J22" s="35"/>
      <c r="K22" s="35"/>
      <c r="L22" s="35" t="str">
        <f>IF(LEN($H$6)&gt;0,$H$6,"?")</f>
        <v>1</v>
      </c>
      <c r="M22" s="35" t="str">
        <f>IF(LEN($T$6)&gt;0,$T$6,"?")</f>
        <v>0</v>
      </c>
      <c r="N22" s="35" t="str">
        <f>IF(LEN($E$6)&gt;0,$E$6,"?")</f>
        <v>0</v>
      </c>
      <c r="O22" s="35" t="str">
        <f>IF(LEN($G$6)&gt;0,$G$6,"?")</f>
        <v>0</v>
      </c>
      <c r="P22" s="35"/>
      <c r="Q22" s="35" t="str">
        <f>IF(LEN($F$6)&gt;0,$F$6,"?")</f>
        <v>0</v>
      </c>
      <c r="R22" s="35" t="str">
        <f>IF(LEN($M$6)&gt;0,$M$6,"?")</f>
        <v>1</v>
      </c>
      <c r="S22" s="35"/>
      <c r="T22" s="35"/>
      <c r="U22" s="35"/>
      <c r="V22" s="35" t="str">
        <f>IF(LEN($S$6)&gt;0,$S$6,"?")</f>
        <v>1</v>
      </c>
      <c r="W22" s="35" t="str">
        <f>IF(LEN($L$6)&gt;0,$L$6,"?")</f>
        <v>1</v>
      </c>
      <c r="X22" s="35" t="str">
        <f>IF(LEN($I$6)&gt;0,$I$6,"?")</f>
        <v>0</v>
      </c>
      <c r="Y22" s="35"/>
      <c r="Z22" s="35" t="str">
        <f>IF(LEN($P$6)&gt;0,$P$6,"?")</f>
        <v>1</v>
      </c>
      <c r="AA22" s="35"/>
      <c r="AB22" s="35" t="str">
        <f>IF(LEN($Q$6)&gt;0,$Q$6,"?")</f>
        <v>0</v>
      </c>
      <c r="AC22" s="35"/>
      <c r="AD22" s="35"/>
      <c r="AE22" s="35" t="str">
        <f>IF(LEN($R$6)&gt;0,$R$6,"?")</f>
        <v>0</v>
      </c>
      <c r="AF22" s="35"/>
      <c r="AG22" s="35"/>
      <c r="AH22" s="35"/>
      <c r="AI22" s="35"/>
    </row>
    <row r="23" spans="1:36" s="33" customFormat="1" ht="28.5" x14ac:dyDescent="0.85">
      <c r="E23" s="35">
        <f>E21+E22</f>
        <v>1</v>
      </c>
      <c r="F23" s="35">
        <f>F19</f>
        <v>1</v>
      </c>
      <c r="G23" s="35">
        <f>G21+G22</f>
        <v>0</v>
      </c>
      <c r="H23" s="35">
        <f>H21+H22</f>
        <v>0</v>
      </c>
      <c r="I23" s="35">
        <f>I21+I22</f>
        <v>1</v>
      </c>
      <c r="J23" s="35">
        <f>J20</f>
        <v>1</v>
      </c>
      <c r="K23" s="35">
        <f t="shared" ref="K23:AE23" si="1">K21+K22</f>
        <v>1</v>
      </c>
      <c r="L23" s="35">
        <f t="shared" si="1"/>
        <v>1</v>
      </c>
      <c r="M23" s="35">
        <f t="shared" si="1"/>
        <v>0</v>
      </c>
      <c r="N23" s="35">
        <f t="shared" si="1"/>
        <v>0</v>
      </c>
      <c r="O23" s="35">
        <f t="shared" si="1"/>
        <v>0</v>
      </c>
      <c r="P23" s="35">
        <f t="shared" si="1"/>
        <v>0</v>
      </c>
      <c r="Q23" s="35">
        <f t="shared" si="1"/>
        <v>0</v>
      </c>
      <c r="R23" s="35">
        <f t="shared" si="1"/>
        <v>1</v>
      </c>
      <c r="S23" s="35">
        <f t="shared" si="1"/>
        <v>0</v>
      </c>
      <c r="T23" s="35">
        <f t="shared" si="1"/>
        <v>1</v>
      </c>
      <c r="U23" s="35">
        <f t="shared" si="1"/>
        <v>1</v>
      </c>
      <c r="V23" s="35">
        <f t="shared" si="1"/>
        <v>1</v>
      </c>
      <c r="W23" s="35">
        <f t="shared" si="1"/>
        <v>1</v>
      </c>
      <c r="X23" s="35">
        <f t="shared" si="1"/>
        <v>0</v>
      </c>
      <c r="Y23" s="35">
        <f t="shared" si="1"/>
        <v>0</v>
      </c>
      <c r="Z23" s="35">
        <f t="shared" si="1"/>
        <v>1</v>
      </c>
      <c r="AA23" s="35">
        <f t="shared" si="1"/>
        <v>0</v>
      </c>
      <c r="AB23" s="35">
        <f t="shared" si="1"/>
        <v>0</v>
      </c>
      <c r="AC23" s="35">
        <f t="shared" si="1"/>
        <v>0</v>
      </c>
      <c r="AD23" s="35">
        <f t="shared" si="1"/>
        <v>1</v>
      </c>
      <c r="AE23" s="35">
        <f t="shared" si="1"/>
        <v>0</v>
      </c>
      <c r="AF23" s="35">
        <v>1</v>
      </c>
      <c r="AG23" s="35">
        <v>0</v>
      </c>
      <c r="AH23" s="35">
        <v>0</v>
      </c>
      <c r="AI23" s="35">
        <v>0</v>
      </c>
      <c r="AJ23" s="35">
        <v>0</v>
      </c>
    </row>
    <row r="24" spans="1:36" s="33" customFormat="1" ht="28.5" x14ac:dyDescent="0.85">
      <c r="A24" s="33" t="s">
        <v>52</v>
      </c>
      <c r="C24" s="37" t="str">
        <f>_xlfn.CONCAT(E24,I24,":",M24,Q24,":",U24,Y24,":",AC24,AG24)</f>
        <v>CF:05:E4:50</v>
      </c>
      <c r="E24" s="35" t="str">
        <f>BIN2HEX(_xlfn.CONCAT(E23:H23),1)</f>
        <v>C</v>
      </c>
      <c r="F24" s="35"/>
      <c r="G24" s="35"/>
      <c r="H24" s="35"/>
      <c r="I24" s="35" t="str">
        <f>BIN2HEX(_xlfn.CONCAT(I23:L23),1)</f>
        <v>F</v>
      </c>
      <c r="J24" s="35"/>
      <c r="K24" s="35"/>
      <c r="L24" s="35"/>
      <c r="M24" s="35" t="str">
        <f>BIN2HEX(_xlfn.CONCAT(M23:P23),1)</f>
        <v>0</v>
      </c>
      <c r="N24" s="35"/>
      <c r="O24" s="35"/>
      <c r="P24" s="35"/>
      <c r="Q24" s="35" t="str">
        <f>BIN2HEX(_xlfn.CONCAT(Q23:T23),1)</f>
        <v>5</v>
      </c>
      <c r="R24" s="35"/>
      <c r="S24" s="35"/>
      <c r="T24" s="35"/>
      <c r="U24" s="35" t="str">
        <f>BIN2HEX(_xlfn.CONCAT(U23:X23),1)</f>
        <v>E</v>
      </c>
      <c r="V24" s="35"/>
      <c r="W24" s="35"/>
      <c r="X24" s="35"/>
      <c r="Y24" s="35" t="str">
        <f>BIN2HEX(_xlfn.CONCAT(Y23:AB23),1)</f>
        <v>4</v>
      </c>
      <c r="Z24" s="35"/>
      <c r="AA24" s="35"/>
      <c r="AB24" s="35"/>
      <c r="AC24" s="35" t="str">
        <f>BIN2HEX(_xlfn.CONCAT(AC23:AF23),1)</f>
        <v>5</v>
      </c>
      <c r="AD24" s="35"/>
      <c r="AE24" s="35"/>
      <c r="AF24" s="35"/>
      <c r="AG24" s="35" t="str">
        <f>BIN2HEX(_xlfn.CONCAT(AG23:AJ23),1)</f>
        <v>0</v>
      </c>
      <c r="AH24" s="35"/>
      <c r="AI24" s="3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EM4100</vt:lpstr>
      <vt:lpstr>H10301</vt:lpstr>
      <vt:lpstr>AWID</vt:lpstr>
      <vt:lpstr>CardNumber</vt:lpstr>
      <vt:lpstr>Indala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Jamison</dc:creator>
  <cp:lastModifiedBy>Derek Jamison</cp:lastModifiedBy>
  <cp:lastPrinted>2024-02-19T02:28:06Z</cp:lastPrinted>
  <dcterms:created xsi:type="dcterms:W3CDTF">2024-02-13T19:54:37Z</dcterms:created>
  <dcterms:modified xsi:type="dcterms:W3CDTF">2024-03-19T21:24:21Z</dcterms:modified>
</cp:coreProperties>
</file>