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phygroup-my.sharepoint.com/personal/ivanzlatev_murphygroup_co_uk/Documents/Desktop/07 StarNet (Tunnel control)/211007-PC - UG/01 Raw Data/"/>
    </mc:Choice>
  </mc:AlternateContent>
  <xr:revisionPtr revIDLastSave="0" documentId="8_{C4C1F8D7-3F1C-46AD-B36F-D587CB28C3A1}" xr6:coauthVersionLast="46" xr6:coauthVersionMax="46" xr10:uidLastSave="{00000000-0000-0000-0000-000000000000}"/>
  <bookViews>
    <workbookView xWindow="-108" yWindow="-108" windowWidth="23256" windowHeight="12576"/>
  </bookViews>
  <sheets>
    <sheet name="211007-PC" sheetId="1" r:id="rId1"/>
  </sheets>
  <calcPr calcId="0"/>
</workbook>
</file>

<file path=xl/calcChain.xml><?xml version="1.0" encoding="utf-8"?>
<calcChain xmlns="http://schemas.openxmlformats.org/spreadsheetml/2006/main">
  <c r="Q25" i="1" l="1"/>
  <c r="R25" i="1"/>
  <c r="Q30" i="1"/>
  <c r="R30" i="1"/>
  <c r="Q40" i="1"/>
  <c r="R40" i="1"/>
  <c r="Q50" i="1"/>
  <c r="R50" i="1"/>
  <c r="Q60" i="1"/>
  <c r="R60" i="1"/>
  <c r="Q70" i="1"/>
  <c r="R70" i="1"/>
  <c r="Q71" i="1"/>
  <c r="R71" i="1"/>
  <c r="Q61" i="1"/>
  <c r="R61" i="1"/>
  <c r="Q51" i="1"/>
  <c r="R51" i="1"/>
  <c r="Q41" i="1"/>
  <c r="R41" i="1"/>
  <c r="Q31" i="1"/>
  <c r="R31" i="1"/>
  <c r="Q32" i="1"/>
  <c r="R32" i="1"/>
  <c r="Q42" i="1"/>
  <c r="R42" i="1"/>
  <c r="Q52" i="1"/>
  <c r="R52" i="1"/>
  <c r="Q62" i="1"/>
  <c r="R62" i="1"/>
  <c r="Q72" i="1"/>
  <c r="R72" i="1"/>
  <c r="Q73" i="1"/>
  <c r="R73" i="1"/>
  <c r="Q63" i="1"/>
  <c r="R63" i="1"/>
  <c r="Q53" i="1"/>
  <c r="R53" i="1"/>
  <c r="Q43" i="1"/>
  <c r="R43" i="1"/>
  <c r="Q33" i="1"/>
  <c r="R33" i="1"/>
  <c r="Q34" i="1"/>
  <c r="R34" i="1"/>
  <c r="Q44" i="1"/>
  <c r="R44" i="1"/>
  <c r="Q54" i="1"/>
  <c r="R54" i="1"/>
  <c r="Q64" i="1"/>
  <c r="R64" i="1"/>
  <c r="Q74" i="1"/>
  <c r="R74" i="1"/>
  <c r="Q75" i="1"/>
  <c r="R75" i="1"/>
  <c r="Q65" i="1"/>
  <c r="R65" i="1"/>
  <c r="Q55" i="1"/>
  <c r="R55" i="1"/>
  <c r="Q45" i="1"/>
  <c r="R45" i="1"/>
  <c r="Q35" i="1"/>
  <c r="R35" i="1"/>
  <c r="Q36" i="1"/>
  <c r="R36" i="1"/>
  <c r="Q46" i="1"/>
  <c r="R46" i="1"/>
  <c r="Q56" i="1"/>
  <c r="R56" i="1"/>
  <c r="Q66" i="1"/>
  <c r="R66" i="1"/>
  <c r="Q76" i="1"/>
  <c r="R76" i="1"/>
  <c r="Q77" i="1"/>
  <c r="R77" i="1"/>
  <c r="Q67" i="1"/>
  <c r="R67" i="1"/>
  <c r="Q57" i="1"/>
  <c r="R57" i="1"/>
  <c r="Q47" i="1"/>
  <c r="R47" i="1"/>
  <c r="Q37" i="1"/>
  <c r="R37" i="1"/>
  <c r="Q38" i="1"/>
  <c r="R38" i="1"/>
  <c r="Q48" i="1"/>
  <c r="R48" i="1"/>
  <c r="Q58" i="1"/>
  <c r="R58" i="1"/>
  <c r="Q68" i="1"/>
  <c r="R68" i="1"/>
  <c r="Q78" i="1"/>
  <c r="R78" i="1"/>
  <c r="Q79" i="1"/>
  <c r="R79" i="1"/>
  <c r="Q69" i="1"/>
  <c r="R69" i="1"/>
  <c r="Q59" i="1"/>
  <c r="R59" i="1"/>
  <c r="Q49" i="1"/>
  <c r="R49" i="1"/>
  <c r="Q39" i="1"/>
  <c r="R39" i="1"/>
  <c r="Q88" i="1"/>
  <c r="R88" i="1"/>
  <c r="Q93" i="1"/>
  <c r="R93" i="1"/>
  <c r="Q103" i="1"/>
  <c r="R103" i="1"/>
  <c r="Q113" i="1"/>
  <c r="R113" i="1"/>
  <c r="Q123" i="1"/>
  <c r="R123" i="1"/>
  <c r="Q133" i="1"/>
  <c r="R133" i="1"/>
  <c r="Q134" i="1"/>
  <c r="R134" i="1"/>
  <c r="Q124" i="1"/>
  <c r="R124" i="1"/>
  <c r="Q114" i="1"/>
  <c r="R114" i="1"/>
  <c r="Q104" i="1"/>
  <c r="R104" i="1"/>
  <c r="Q94" i="1"/>
  <c r="R94" i="1"/>
  <c r="Q95" i="1"/>
  <c r="R95" i="1"/>
  <c r="Q105" i="1"/>
  <c r="R105" i="1"/>
  <c r="Q115" i="1"/>
  <c r="R115" i="1"/>
  <c r="Q125" i="1"/>
  <c r="R125" i="1"/>
  <c r="Q135" i="1"/>
  <c r="R135" i="1"/>
  <c r="Q136" i="1"/>
  <c r="R136" i="1"/>
  <c r="Q126" i="1"/>
  <c r="R126" i="1"/>
  <c r="Q116" i="1"/>
  <c r="R116" i="1"/>
  <c r="Q106" i="1"/>
  <c r="R106" i="1"/>
  <c r="Q96" i="1"/>
  <c r="R96" i="1"/>
  <c r="Q97" i="1"/>
  <c r="R97" i="1"/>
  <c r="Q107" i="1"/>
  <c r="R107" i="1"/>
  <c r="Q117" i="1"/>
  <c r="R117" i="1"/>
  <c r="Q127" i="1"/>
  <c r="R127" i="1"/>
  <c r="Q137" i="1"/>
  <c r="R137" i="1"/>
  <c r="Q138" i="1"/>
  <c r="R138" i="1"/>
  <c r="Q128" i="1"/>
  <c r="R128" i="1"/>
  <c r="Q118" i="1"/>
  <c r="R118" i="1"/>
  <c r="Q108" i="1"/>
  <c r="R108" i="1"/>
  <c r="Q98" i="1"/>
  <c r="R98" i="1"/>
  <c r="Q99" i="1"/>
  <c r="R99" i="1"/>
  <c r="Q109" i="1"/>
  <c r="R109" i="1"/>
  <c r="Q119" i="1"/>
  <c r="R119" i="1"/>
  <c r="Q129" i="1"/>
  <c r="R129" i="1"/>
  <c r="Q139" i="1"/>
  <c r="R139" i="1"/>
  <c r="Q140" i="1"/>
  <c r="R140" i="1"/>
  <c r="Q130" i="1"/>
  <c r="R130" i="1"/>
  <c r="Q120" i="1"/>
  <c r="R120" i="1"/>
  <c r="Q110" i="1"/>
  <c r="R110" i="1"/>
  <c r="Q100" i="1"/>
  <c r="R100" i="1"/>
  <c r="Q101" i="1"/>
  <c r="R101" i="1"/>
  <c r="Q111" i="1"/>
  <c r="R111" i="1"/>
  <c r="Q121" i="1"/>
  <c r="R121" i="1"/>
  <c r="Q131" i="1"/>
  <c r="R131" i="1"/>
  <c r="Q141" i="1"/>
  <c r="R141" i="1"/>
  <c r="Q142" i="1"/>
  <c r="R142" i="1"/>
  <c r="Q132" i="1"/>
  <c r="R132" i="1"/>
  <c r="Q122" i="1"/>
  <c r="R122" i="1"/>
  <c r="Q112" i="1"/>
  <c r="R112" i="1"/>
  <c r="Q102" i="1"/>
  <c r="R102" i="1"/>
  <c r="Q151" i="1"/>
  <c r="R151" i="1"/>
  <c r="Q156" i="1"/>
  <c r="R156" i="1"/>
  <c r="Q166" i="1"/>
  <c r="R166" i="1"/>
  <c r="Q176" i="1"/>
  <c r="R176" i="1"/>
  <c r="Q186" i="1"/>
  <c r="R186" i="1"/>
  <c r="Q196" i="1"/>
  <c r="R196" i="1"/>
  <c r="Q197" i="1"/>
  <c r="R197" i="1"/>
  <c r="Q187" i="1"/>
  <c r="R187" i="1"/>
  <c r="Q177" i="1"/>
  <c r="R177" i="1"/>
  <c r="Q167" i="1"/>
  <c r="R167" i="1"/>
  <c r="Q157" i="1"/>
  <c r="R157" i="1"/>
  <c r="Q158" i="1"/>
  <c r="R158" i="1"/>
  <c r="Q168" i="1"/>
  <c r="R168" i="1"/>
  <c r="Q178" i="1"/>
  <c r="R178" i="1"/>
  <c r="Q188" i="1"/>
  <c r="R188" i="1"/>
  <c r="Q198" i="1"/>
  <c r="R198" i="1"/>
  <c r="Q199" i="1"/>
  <c r="R199" i="1"/>
  <c r="Q189" i="1"/>
  <c r="R189" i="1"/>
  <c r="Q179" i="1"/>
  <c r="R179" i="1"/>
  <c r="Q169" i="1"/>
  <c r="R169" i="1"/>
  <c r="Q159" i="1"/>
  <c r="R159" i="1"/>
  <c r="Q160" i="1"/>
  <c r="R160" i="1"/>
  <c r="Q170" i="1"/>
  <c r="R170" i="1"/>
  <c r="Q180" i="1"/>
  <c r="R180" i="1"/>
  <c r="Q190" i="1"/>
  <c r="R190" i="1"/>
  <c r="Q200" i="1"/>
  <c r="R200" i="1"/>
  <c r="Q201" i="1"/>
  <c r="R201" i="1"/>
  <c r="Q191" i="1"/>
  <c r="R191" i="1"/>
  <c r="Q181" i="1"/>
  <c r="R181" i="1"/>
  <c r="Q171" i="1"/>
  <c r="R171" i="1"/>
  <c r="Q161" i="1"/>
  <c r="R161" i="1"/>
  <c r="Q162" i="1"/>
  <c r="R162" i="1"/>
  <c r="Q172" i="1"/>
  <c r="R172" i="1"/>
  <c r="Q182" i="1"/>
  <c r="R182" i="1"/>
  <c r="Q192" i="1"/>
  <c r="R192" i="1"/>
  <c r="Q202" i="1"/>
  <c r="R202" i="1"/>
  <c r="Q203" i="1"/>
  <c r="R203" i="1"/>
  <c r="Q193" i="1"/>
  <c r="R193" i="1"/>
  <c r="Q183" i="1"/>
  <c r="R183" i="1"/>
  <c r="Q173" i="1"/>
  <c r="R173" i="1"/>
  <c r="Q163" i="1"/>
  <c r="R163" i="1"/>
  <c r="Q164" i="1"/>
  <c r="R164" i="1"/>
  <c r="Q174" i="1"/>
  <c r="R174" i="1"/>
  <c r="Q184" i="1"/>
  <c r="R184" i="1"/>
  <c r="Q194" i="1"/>
  <c r="R194" i="1"/>
  <c r="Q204" i="1"/>
  <c r="R204" i="1"/>
  <c r="Q205" i="1"/>
  <c r="R205" i="1"/>
  <c r="Q195" i="1"/>
  <c r="R195" i="1"/>
  <c r="Q185" i="1"/>
  <c r="R185" i="1"/>
  <c r="Q175" i="1"/>
  <c r="R175" i="1"/>
  <c r="Q165" i="1"/>
  <c r="R165" i="1"/>
  <c r="Q214" i="1"/>
  <c r="R214" i="1"/>
  <c r="Q219" i="1"/>
  <c r="R219" i="1"/>
  <c r="Q229" i="1"/>
  <c r="R229" i="1"/>
  <c r="Q239" i="1"/>
  <c r="R239" i="1"/>
  <c r="Q249" i="1"/>
  <c r="R249" i="1"/>
  <c r="Q259" i="1"/>
  <c r="R259" i="1"/>
  <c r="Q260" i="1"/>
  <c r="R260" i="1"/>
  <c r="Q250" i="1"/>
  <c r="R250" i="1"/>
  <c r="Q240" i="1"/>
  <c r="R240" i="1"/>
  <c r="Q230" i="1"/>
  <c r="R230" i="1"/>
  <c r="Q220" i="1"/>
  <c r="R220" i="1"/>
  <c r="Q221" i="1"/>
  <c r="R221" i="1"/>
  <c r="Q231" i="1"/>
  <c r="R231" i="1"/>
  <c r="Q241" i="1"/>
  <c r="R241" i="1"/>
  <c r="Q251" i="1"/>
  <c r="R251" i="1"/>
  <c r="Q261" i="1"/>
  <c r="R261" i="1"/>
  <c r="Q262" i="1"/>
  <c r="R262" i="1"/>
  <c r="Q252" i="1"/>
  <c r="R252" i="1"/>
  <c r="Q242" i="1"/>
  <c r="R242" i="1"/>
  <c r="Q232" i="1"/>
  <c r="R232" i="1"/>
  <c r="Q222" i="1"/>
  <c r="R222" i="1"/>
  <c r="Q223" i="1"/>
  <c r="R223" i="1"/>
  <c r="Q233" i="1"/>
  <c r="R233" i="1"/>
  <c r="Q243" i="1"/>
  <c r="R243" i="1"/>
  <c r="Q253" i="1"/>
  <c r="R253" i="1"/>
  <c r="Q263" i="1"/>
  <c r="R263" i="1"/>
  <c r="Q264" i="1"/>
  <c r="R264" i="1"/>
  <c r="Q254" i="1"/>
  <c r="R254" i="1"/>
  <c r="Q244" i="1"/>
  <c r="R244" i="1"/>
  <c r="Q234" i="1"/>
  <c r="R234" i="1"/>
  <c r="Q224" i="1"/>
  <c r="R224" i="1"/>
  <c r="Q225" i="1"/>
  <c r="R225" i="1"/>
  <c r="Q235" i="1"/>
  <c r="R235" i="1"/>
  <c r="Q245" i="1"/>
  <c r="R245" i="1"/>
  <c r="Q255" i="1"/>
  <c r="R255" i="1"/>
  <c r="Q265" i="1"/>
  <c r="R265" i="1"/>
  <c r="Q266" i="1"/>
  <c r="R266" i="1"/>
  <c r="Q246" i="1"/>
  <c r="R246" i="1"/>
  <c r="Q236" i="1"/>
  <c r="R236" i="1"/>
  <c r="Q226" i="1"/>
  <c r="R226" i="1"/>
  <c r="Q227" i="1"/>
  <c r="R227" i="1"/>
  <c r="Q237" i="1"/>
  <c r="R237" i="1"/>
  <c r="Q247" i="1"/>
  <c r="R247" i="1"/>
  <c r="Q256" i="1"/>
  <c r="R256" i="1"/>
  <c r="Q267" i="1"/>
  <c r="R267" i="1"/>
  <c r="Q268" i="1"/>
  <c r="R268" i="1"/>
  <c r="Q257" i="1"/>
  <c r="R257" i="1"/>
  <c r="Q248" i="1"/>
  <c r="R248" i="1"/>
  <c r="Q238" i="1"/>
  <c r="R238" i="1"/>
  <c r="Q228" i="1"/>
  <c r="R228" i="1"/>
  <c r="Q258" i="1"/>
  <c r="R258" i="1"/>
  <c r="Q277" i="1"/>
  <c r="R277" i="1"/>
  <c r="Q282" i="1"/>
  <c r="R282" i="1"/>
  <c r="Q292" i="1"/>
  <c r="R292" i="1"/>
  <c r="Q302" i="1"/>
  <c r="R302" i="1"/>
  <c r="Q303" i="1"/>
  <c r="R303" i="1"/>
  <c r="Q293" i="1"/>
  <c r="R293" i="1"/>
  <c r="Q283" i="1"/>
  <c r="R283" i="1"/>
  <c r="Q284" i="1"/>
  <c r="R284" i="1"/>
  <c r="Q294" i="1"/>
  <c r="R294" i="1"/>
  <c r="Q304" i="1"/>
  <c r="R304" i="1"/>
  <c r="Q305" i="1"/>
  <c r="R305" i="1"/>
  <c r="Q295" i="1"/>
  <c r="R295" i="1"/>
  <c r="Q285" i="1"/>
  <c r="R285" i="1"/>
  <c r="Q286" i="1"/>
  <c r="R286" i="1"/>
  <c r="Q296" i="1"/>
  <c r="R296" i="1"/>
  <c r="Q306" i="1"/>
  <c r="R306" i="1"/>
  <c r="Q307" i="1"/>
  <c r="R307" i="1"/>
  <c r="Q297" i="1"/>
  <c r="R297" i="1"/>
  <c r="Q287" i="1"/>
  <c r="R287" i="1"/>
  <c r="Q288" i="1"/>
  <c r="R288" i="1"/>
  <c r="Q298" i="1"/>
  <c r="R298" i="1"/>
  <c r="Q308" i="1"/>
  <c r="R308" i="1"/>
  <c r="Q309" i="1"/>
  <c r="R309" i="1"/>
  <c r="Q299" i="1"/>
  <c r="R299" i="1"/>
  <c r="Q289" i="1"/>
  <c r="R289" i="1"/>
  <c r="Q290" i="1"/>
  <c r="R290" i="1"/>
  <c r="Q300" i="1"/>
  <c r="R300" i="1"/>
  <c r="Q310" i="1"/>
  <c r="R310" i="1"/>
  <c r="Q311" i="1"/>
  <c r="R311" i="1"/>
  <c r="Q301" i="1"/>
  <c r="R301" i="1"/>
  <c r="Q291" i="1"/>
  <c r="R291" i="1"/>
  <c r="Q320" i="1"/>
  <c r="R320" i="1"/>
  <c r="Q325" i="1"/>
  <c r="R325" i="1"/>
  <c r="Q335" i="1"/>
  <c r="R335" i="1"/>
  <c r="Q345" i="1"/>
  <c r="R345" i="1"/>
  <c r="Q355" i="1"/>
  <c r="R355" i="1"/>
  <c r="Q356" i="1"/>
  <c r="R356" i="1"/>
  <c r="Q346" i="1"/>
  <c r="R346" i="1"/>
  <c r="Q336" i="1"/>
  <c r="R336" i="1"/>
  <c r="Q326" i="1"/>
  <c r="R326" i="1"/>
  <c r="Q327" i="1"/>
  <c r="R327" i="1"/>
  <c r="Q337" i="1"/>
  <c r="R337" i="1"/>
  <c r="Q347" i="1"/>
  <c r="R347" i="1"/>
  <c r="Q357" i="1"/>
  <c r="R357" i="1"/>
  <c r="Q358" i="1"/>
  <c r="R358" i="1"/>
  <c r="Q348" i="1"/>
  <c r="R348" i="1"/>
  <c r="Q338" i="1"/>
  <c r="R338" i="1"/>
  <c r="Q328" i="1"/>
  <c r="R328" i="1"/>
  <c r="Q329" i="1"/>
  <c r="R329" i="1"/>
  <c r="Q339" i="1"/>
  <c r="R339" i="1"/>
  <c r="Q349" i="1"/>
  <c r="R349" i="1"/>
  <c r="Q359" i="1"/>
  <c r="R359" i="1"/>
  <c r="Q360" i="1"/>
  <c r="R360" i="1"/>
  <c r="Q350" i="1"/>
  <c r="R350" i="1"/>
  <c r="Q340" i="1"/>
  <c r="R340" i="1"/>
  <c r="Q330" i="1"/>
  <c r="R330" i="1"/>
  <c r="Q331" i="1"/>
  <c r="R331" i="1"/>
  <c r="Q341" i="1"/>
  <c r="R341" i="1"/>
  <c r="Q351" i="1"/>
  <c r="R351" i="1"/>
  <c r="Q361" i="1"/>
  <c r="R361" i="1"/>
  <c r="Q362" i="1"/>
  <c r="R362" i="1"/>
  <c r="Q352" i="1"/>
  <c r="R352" i="1"/>
  <c r="Q342" i="1"/>
  <c r="R342" i="1"/>
  <c r="Q332" i="1"/>
  <c r="R332" i="1"/>
  <c r="Q333" i="1"/>
  <c r="R333" i="1"/>
  <c r="Q343" i="1"/>
  <c r="R343" i="1"/>
  <c r="Q353" i="1"/>
  <c r="R353" i="1"/>
  <c r="Q363" i="1"/>
  <c r="R363" i="1"/>
  <c r="Q364" i="1"/>
  <c r="R364" i="1"/>
  <c r="Q354" i="1"/>
  <c r="R354" i="1"/>
  <c r="Q344" i="1"/>
  <c r="R344" i="1"/>
  <c r="Q334" i="1"/>
  <c r="R334" i="1"/>
  <c r="Q373" i="1"/>
  <c r="R373" i="1"/>
  <c r="Q378" i="1"/>
  <c r="R378" i="1"/>
  <c r="Q388" i="1"/>
  <c r="R388" i="1"/>
  <c r="Q389" i="1"/>
  <c r="R389" i="1"/>
  <c r="Q379" i="1"/>
  <c r="R379" i="1"/>
  <c r="Q380" i="1"/>
  <c r="R380" i="1"/>
  <c r="Q390" i="1"/>
  <c r="R390" i="1"/>
  <c r="Q391" i="1"/>
  <c r="R391" i="1"/>
  <c r="Q381" i="1"/>
  <c r="R381" i="1"/>
  <c r="Q382" i="1"/>
  <c r="R382" i="1"/>
  <c r="Q392" i="1"/>
  <c r="R392" i="1"/>
  <c r="Q393" i="1"/>
  <c r="R393" i="1"/>
  <c r="Q383" i="1"/>
  <c r="R383" i="1"/>
  <c r="Q384" i="1"/>
  <c r="R384" i="1"/>
  <c r="Q394" i="1"/>
  <c r="R394" i="1"/>
  <c r="Q395" i="1"/>
  <c r="R395" i="1"/>
  <c r="Q385" i="1"/>
  <c r="R385" i="1"/>
  <c r="Q386" i="1"/>
  <c r="R386" i="1"/>
  <c r="Q396" i="1"/>
  <c r="R396" i="1"/>
  <c r="Q397" i="1"/>
  <c r="R397" i="1"/>
  <c r="Q387" i="1"/>
  <c r="R387" i="1"/>
  <c r="Q406" i="1"/>
  <c r="R406" i="1"/>
  <c r="Q411" i="1"/>
  <c r="R411" i="1"/>
  <c r="Q412" i="1"/>
  <c r="R412" i="1"/>
  <c r="Q420" i="1"/>
  <c r="R420" i="1"/>
  <c r="Q430" i="1"/>
  <c r="R430" i="1"/>
  <c r="Q431" i="1"/>
  <c r="R431" i="1"/>
  <c r="Q421" i="1"/>
  <c r="R421" i="1"/>
  <c r="Q413" i="1"/>
  <c r="R413" i="1"/>
  <c r="Q414" i="1"/>
  <c r="R414" i="1"/>
  <c r="Q422" i="1"/>
  <c r="R422" i="1"/>
  <c r="Q432" i="1"/>
  <c r="R432" i="1"/>
  <c r="Q433" i="1"/>
  <c r="R433" i="1"/>
  <c r="Q423" i="1"/>
  <c r="R423" i="1"/>
  <c r="Q415" i="1"/>
  <c r="R415" i="1"/>
  <c r="Q416" i="1"/>
  <c r="R416" i="1"/>
  <c r="Q424" i="1"/>
  <c r="R424" i="1"/>
  <c r="Q434" i="1"/>
  <c r="R434" i="1"/>
  <c r="Q435" i="1"/>
  <c r="R435" i="1"/>
  <c r="Q425" i="1"/>
  <c r="R425" i="1"/>
  <c r="Q426" i="1"/>
  <c r="R426" i="1"/>
  <c r="Q436" i="1"/>
  <c r="R436" i="1"/>
  <c r="Q437" i="1"/>
  <c r="R437" i="1"/>
  <c r="Q427" i="1"/>
  <c r="R427" i="1"/>
  <c r="Q417" i="1"/>
  <c r="R417" i="1"/>
  <c r="Q418" i="1"/>
  <c r="R418" i="1"/>
  <c r="Q428" i="1"/>
  <c r="R428" i="1"/>
  <c r="Q438" i="1"/>
  <c r="R438" i="1"/>
  <c r="Q439" i="1"/>
  <c r="R439" i="1"/>
  <c r="Q429" i="1"/>
  <c r="R429" i="1"/>
  <c r="Q419" i="1"/>
  <c r="R419" i="1"/>
</calcChain>
</file>

<file path=xl/sharedStrings.xml><?xml version="1.0" encoding="utf-8"?>
<sst xmlns="http://schemas.openxmlformats.org/spreadsheetml/2006/main" count="2551" uniqueCount="73">
  <si>
    <t>#</t>
  </si>
  <si>
    <t>Starnet</t>
  </si>
  <si>
    <t>Traverse</t>
  </si>
  <si>
    <t>JobFile:</t>
  </si>
  <si>
    <t>211007-PC</t>
  </si>
  <si>
    <t>Date:</t>
  </si>
  <si>
    <t>Time</t>
  </si>
  <si>
    <t>hrs</t>
  </si>
  <si>
    <t>TS16</t>
  </si>
  <si>
    <t>P</t>
  </si>
  <si>
    <t>1"</t>
  </si>
  <si>
    <t>R1000</t>
  </si>
  <si>
    <t>Sr</t>
  </si>
  <si>
    <t>No.</t>
  </si>
  <si>
    <t>Operator:</t>
  </si>
  <si>
    <t>Station</t>
  </si>
  <si>
    <t>HZ</t>
  </si>
  <si>
    <t>VA</t>
  </si>
  <si>
    <t>SD</t>
  </si>
  <si>
    <t>HD</t>
  </si>
  <si>
    <t>I_Ht</t>
  </si>
  <si>
    <t>T_Ht</t>
  </si>
  <si>
    <t>Prism-Const</t>
  </si>
  <si>
    <t>ATR</t>
  </si>
  <si>
    <t>Scale-at-Central-Meridian</t>
  </si>
  <si>
    <t>EDM-Meas-Mode</t>
  </si>
  <si>
    <t>Tilt-T"</t>
  </si>
  <si>
    <t>Tilt-L"</t>
  </si>
  <si>
    <t>Temp:</t>
  </si>
  <si>
    <t>Humidity:</t>
  </si>
  <si>
    <t>Pressure:</t>
  </si>
  <si>
    <t>1026.00mbar</t>
  </si>
  <si>
    <t>Atmosph.Correction:</t>
  </si>
  <si>
    <t>3(PPM)</t>
  </si>
  <si>
    <t>Geom.Correction:</t>
  </si>
  <si>
    <t>-187(PPM)</t>
  </si>
  <si>
    <t>0.9998129906(scale)</t>
  </si>
  <si>
    <t>Ref.</t>
  </si>
  <si>
    <t>Coefficient:</t>
  </si>
  <si>
    <t>Atmospheric</t>
  </si>
  <si>
    <t>Correction</t>
  </si>
  <si>
    <t>(ppm):</t>
  </si>
  <si>
    <t>Geometric</t>
  </si>
  <si>
    <t>Correction:</t>
  </si>
  <si>
    <t>Scale</t>
  </si>
  <si>
    <t>DB</t>
  </si>
  <si>
    <t>AB0350</t>
  </si>
  <si>
    <t>DM</t>
  </si>
  <si>
    <t>AB0304</t>
  </si>
  <si>
    <t>Round</t>
  </si>
  <si>
    <t>Prism</t>
  </si>
  <si>
    <t>On</t>
  </si>
  <si>
    <t>Standard</t>
  </si>
  <si>
    <t>-186(PPM)</t>
  </si>
  <si>
    <t>0.9998136830(scale)</t>
  </si>
  <si>
    <t>AB0314</t>
  </si>
  <si>
    <t>AB0360</t>
  </si>
  <si>
    <t>AB0440</t>
  </si>
  <si>
    <t>AB0450</t>
  </si>
  <si>
    <t>0.9998136446(scale)</t>
  </si>
  <si>
    <t>Off</t>
  </si>
  <si>
    <t>0.9998133271(scale)</t>
  </si>
  <si>
    <t>AB0487</t>
  </si>
  <si>
    <t>AB0497</t>
  </si>
  <si>
    <t>0.9998132757(scale)</t>
  </si>
  <si>
    <t>0.9998131645(scale)</t>
  </si>
  <si>
    <t>0.9998131238(scale)</t>
  </si>
  <si>
    <t>AG0519</t>
  </si>
  <si>
    <t>0.9998129531(scale)</t>
  </si>
  <si>
    <t>AG0537</t>
  </si>
  <si>
    <t>0.9998128901(scale)</t>
  </si>
  <si>
    <t>AG0547</t>
  </si>
  <si>
    <t>AG0556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</si>
</sst>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9"/>
  <sheetViews>
    <sheetView tabSelected="1" topLeftCell="A414" workbookViewId="0">
      <selection activeCell="A430" sqref="A430:H43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</row>
    <row r="3" spans="1:18" x14ac:dyDescent="0.3">
      <c r="A3" t="s">
        <v>0</v>
      </c>
      <c r="B3" t="s">
        <v>3</v>
      </c>
      <c r="C3" t="s">
        <v>4</v>
      </c>
      <c r="D3" t="s">
        <v>5</v>
      </c>
      <c r="E3" s="1">
        <v>44476</v>
      </c>
      <c r="F3" t="s">
        <v>6</v>
      </c>
      <c r="G3" s="2">
        <v>0.41597222222222219</v>
      </c>
      <c r="H3" t="s">
        <v>7</v>
      </c>
    </row>
    <row r="4" spans="1:18" x14ac:dyDescent="0.3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3265642</v>
      </c>
    </row>
    <row r="5" spans="1:18" x14ac:dyDescent="0.3">
      <c r="A5" t="s">
        <v>0</v>
      </c>
      <c r="B5" t="s">
        <v>14</v>
      </c>
    </row>
    <row r="6" spans="1:18" x14ac:dyDescent="0.3">
      <c r="A6" t="s">
        <v>0</v>
      </c>
    </row>
    <row r="7" spans="1:18" x14ac:dyDescent="0.3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0</v>
      </c>
      <c r="J7" t="s">
        <v>0</v>
      </c>
      <c r="K7" t="s">
        <v>0</v>
      </c>
      <c r="L7" t="s">
        <v>22</v>
      </c>
      <c r="M7" t="s">
        <v>23</v>
      </c>
      <c r="N7" t="s">
        <v>24</v>
      </c>
      <c r="O7" t="s">
        <v>25</v>
      </c>
      <c r="P7" t="s">
        <v>6</v>
      </c>
      <c r="Q7" t="s">
        <v>26</v>
      </c>
      <c r="R7" t="s">
        <v>27</v>
      </c>
    </row>
    <row r="8" spans="1:18" x14ac:dyDescent="0.3">
      <c r="A8" t="s">
        <v>0</v>
      </c>
    </row>
    <row r="10" spans="1:18" x14ac:dyDescent="0.3">
      <c r="A10" t="s">
        <v>28</v>
      </c>
      <c r="B10">
        <v>18</v>
      </c>
      <c r="C10" t="s">
        <v>29</v>
      </c>
      <c r="D10" s="3">
        <v>0.6</v>
      </c>
      <c r="E10" t="s">
        <v>30</v>
      </c>
      <c r="F10" t="s">
        <v>31</v>
      </c>
      <c r="G10" t="s">
        <v>32</v>
      </c>
      <c r="H10" t="s">
        <v>33</v>
      </c>
    </row>
    <row r="11" spans="1:18" x14ac:dyDescent="0.3">
      <c r="A11" t="s">
        <v>34</v>
      </c>
      <c r="B11" t="s">
        <v>35</v>
      </c>
      <c r="C11" t="s">
        <v>34</v>
      </c>
      <c r="D11" t="s">
        <v>36</v>
      </c>
    </row>
    <row r="12" spans="1:18" x14ac:dyDescent="0.3">
      <c r="A12" t="s">
        <v>37</v>
      </c>
      <c r="B12" t="s">
        <v>38</v>
      </c>
      <c r="C12">
        <v>0.13</v>
      </c>
    </row>
    <row r="14" spans="1:18" x14ac:dyDescent="0.3">
      <c r="A14" t="s">
        <v>28</v>
      </c>
      <c r="B14">
        <v>18</v>
      </c>
      <c r="C14" t="s">
        <v>29</v>
      </c>
      <c r="D14" s="3">
        <v>0.6</v>
      </c>
      <c r="E14" t="s">
        <v>30</v>
      </c>
      <c r="F14" t="s">
        <v>31</v>
      </c>
      <c r="G14" t="s">
        <v>32</v>
      </c>
      <c r="H14" t="s">
        <v>33</v>
      </c>
    </row>
    <row r="15" spans="1:18" x14ac:dyDescent="0.3">
      <c r="A15" t="s">
        <v>34</v>
      </c>
      <c r="B15" t="s">
        <v>35</v>
      </c>
      <c r="C15" t="s">
        <v>34</v>
      </c>
      <c r="D15" t="s">
        <v>36</v>
      </c>
    </row>
    <row r="16" spans="1:18" x14ac:dyDescent="0.3">
      <c r="A16" t="s">
        <v>37</v>
      </c>
      <c r="B16" t="s">
        <v>38</v>
      </c>
      <c r="C16">
        <v>0.13</v>
      </c>
    </row>
    <row r="18" spans="1:18" x14ac:dyDescent="0.3">
      <c r="A18" t="s">
        <v>0</v>
      </c>
      <c r="B18" t="s">
        <v>39</v>
      </c>
      <c r="C18" t="s">
        <v>40</v>
      </c>
      <c r="D18" t="s">
        <v>41</v>
      </c>
      <c r="E18">
        <v>3</v>
      </c>
    </row>
    <row r="19" spans="1:18" x14ac:dyDescent="0.3">
      <c r="A19" t="s">
        <v>0</v>
      </c>
      <c r="B19" t="s">
        <v>42</v>
      </c>
      <c r="C19" t="s">
        <v>43</v>
      </c>
      <c r="D19">
        <v>-186</v>
      </c>
    </row>
    <row r="20" spans="1:18" x14ac:dyDescent="0.3">
      <c r="A20" t="s">
        <v>0</v>
      </c>
      <c r="B20" t="s">
        <v>42</v>
      </c>
      <c r="C20" t="s">
        <v>44</v>
      </c>
      <c r="D20" t="s">
        <v>43</v>
      </c>
      <c r="E20">
        <v>0.99981368299999995</v>
      </c>
    </row>
    <row r="24" spans="1:18" x14ac:dyDescent="0.3">
      <c r="A24" t="s">
        <v>45</v>
      </c>
      <c r="B24" t="s">
        <v>46</v>
      </c>
    </row>
    <row r="25" spans="1:18" x14ac:dyDescent="0.3">
      <c r="A25" t="s">
        <v>47</v>
      </c>
      <c r="B25" t="s">
        <v>48</v>
      </c>
      <c r="C25">
        <v>135.66789299999999</v>
      </c>
      <c r="D25">
        <v>99.839223000000004</v>
      </c>
      <c r="E25">
        <v>55.369399999999999</v>
      </c>
      <c r="F25">
        <v>55.358899999999998</v>
      </c>
      <c r="G25">
        <v>0.24099999999999999</v>
      </c>
      <c r="H25">
        <v>0.23300000000000001</v>
      </c>
      <c r="I25" t="s">
        <v>0</v>
      </c>
      <c r="J25" t="s">
        <v>49</v>
      </c>
      <c r="K25" t="s">
        <v>50</v>
      </c>
      <c r="L25">
        <v>0</v>
      </c>
      <c r="M25" t="s">
        <v>51</v>
      </c>
      <c r="N25">
        <v>1</v>
      </c>
      <c r="O25" t="s">
        <v>52</v>
      </c>
      <c r="P25" s="2">
        <v>0.41666666666666669</v>
      </c>
      <c r="Q25">
        <f>0.0001232789*3600</f>
        <v>0.44380404000000001</v>
      </c>
      <c r="R25">
        <f>-0.0001614237*3600</f>
        <v>-0.58112531999999995</v>
      </c>
    </row>
    <row r="26" spans="1:18" x14ac:dyDescent="0.3">
      <c r="A26" t="s">
        <v>28</v>
      </c>
      <c r="B26">
        <v>18</v>
      </c>
      <c r="C26" t="s">
        <v>29</v>
      </c>
      <c r="D26" s="3">
        <v>0.6</v>
      </c>
      <c r="E26" t="s">
        <v>30</v>
      </c>
      <c r="F26" t="s">
        <v>31</v>
      </c>
      <c r="G26" t="s">
        <v>32</v>
      </c>
      <c r="H26" t="s">
        <v>33</v>
      </c>
    </row>
    <row r="27" spans="1:18" x14ac:dyDescent="0.3">
      <c r="A27" t="s">
        <v>34</v>
      </c>
      <c r="B27" t="s">
        <v>53</v>
      </c>
      <c r="C27" t="s">
        <v>34</v>
      </c>
      <c r="D27" t="s">
        <v>54</v>
      </c>
    </row>
    <row r="28" spans="1:18" x14ac:dyDescent="0.3">
      <c r="A28" t="s">
        <v>37</v>
      </c>
      <c r="B28" t="s">
        <v>38</v>
      </c>
      <c r="C28">
        <v>0.13</v>
      </c>
    </row>
    <row r="30" spans="1:18" x14ac:dyDescent="0.3">
      <c r="A30" t="s">
        <v>46</v>
      </c>
      <c r="B30" t="s">
        <v>48</v>
      </c>
      <c r="C30">
        <v>135.66819000000001</v>
      </c>
      <c r="D30">
        <v>99.839129999999997</v>
      </c>
      <c r="E30">
        <v>55.369300000000003</v>
      </c>
      <c r="F30">
        <v>55.358800000000002</v>
      </c>
      <c r="G30">
        <v>0.24099999999999999</v>
      </c>
      <c r="H30">
        <v>0.23300000000000001</v>
      </c>
      <c r="I30" t="s">
        <v>0</v>
      </c>
      <c r="J30" t="s">
        <v>49</v>
      </c>
      <c r="K30" t="s">
        <v>50</v>
      </c>
      <c r="L30">
        <v>0</v>
      </c>
      <c r="M30" t="s">
        <v>51</v>
      </c>
      <c r="N30">
        <v>1</v>
      </c>
      <c r="O30" t="s">
        <v>52</v>
      </c>
      <c r="P30" s="2">
        <v>0.41736111111111113</v>
      </c>
      <c r="Q30">
        <f>0.0001557222*3600</f>
        <v>0.56059992000000003</v>
      </c>
      <c r="R30">
        <f>-0.0001234236*3600</f>
        <v>-0.44432495999999994</v>
      </c>
    </row>
    <row r="31" spans="1:18" x14ac:dyDescent="0.3">
      <c r="A31" t="s">
        <v>46</v>
      </c>
      <c r="B31" t="s">
        <v>48</v>
      </c>
      <c r="C31">
        <v>335.66728499999999</v>
      </c>
      <c r="D31">
        <v>300.16108800000001</v>
      </c>
      <c r="E31">
        <v>55.369300000000003</v>
      </c>
      <c r="F31">
        <v>55.358800000000002</v>
      </c>
      <c r="G31">
        <v>0.24099999999999999</v>
      </c>
      <c r="H31">
        <v>0.23300000000000001</v>
      </c>
      <c r="I31" t="s">
        <v>0</v>
      </c>
      <c r="J31" t="s">
        <v>49</v>
      </c>
      <c r="K31" t="s">
        <v>50</v>
      </c>
      <c r="L31">
        <v>0</v>
      </c>
      <c r="M31" t="s">
        <v>51</v>
      </c>
      <c r="N31">
        <v>1</v>
      </c>
      <c r="O31" t="s">
        <v>52</v>
      </c>
      <c r="P31" s="2">
        <v>0.41944444444444445</v>
      </c>
      <c r="Q31">
        <f>-0.0000901235*3600</f>
        <v>-0.32444459999999997</v>
      </c>
      <c r="R31">
        <f>0.0003040815*3600</f>
        <v>1.0946933999999999</v>
      </c>
    </row>
    <row r="32" spans="1:18" x14ac:dyDescent="0.3">
      <c r="A32" t="s">
        <v>46</v>
      </c>
      <c r="B32" t="s">
        <v>48</v>
      </c>
      <c r="C32">
        <v>135.667889</v>
      </c>
      <c r="D32">
        <v>99.839826000000002</v>
      </c>
      <c r="E32">
        <v>55.369199999999999</v>
      </c>
      <c r="F32">
        <v>55.358699999999999</v>
      </c>
      <c r="G32">
        <v>0.24099999999999999</v>
      </c>
      <c r="H32">
        <v>0.23300000000000001</v>
      </c>
      <c r="I32" t="s">
        <v>0</v>
      </c>
      <c r="J32" t="s">
        <v>49</v>
      </c>
      <c r="K32" t="s">
        <v>50</v>
      </c>
      <c r="L32">
        <v>0</v>
      </c>
      <c r="M32" t="s">
        <v>51</v>
      </c>
      <c r="N32">
        <v>1</v>
      </c>
      <c r="O32" t="s">
        <v>52</v>
      </c>
      <c r="P32" s="2">
        <v>0.4201388888888889</v>
      </c>
      <c r="Q32">
        <f>-0.0000062171*3600</f>
        <v>-2.2381560000000002E-2</v>
      </c>
      <c r="R32">
        <f>-0.0000466951*3600</f>
        <v>-0.16810236000000001</v>
      </c>
    </row>
    <row r="33" spans="1:18" x14ac:dyDescent="0.3">
      <c r="A33" t="s">
        <v>46</v>
      </c>
      <c r="B33" t="s">
        <v>48</v>
      </c>
      <c r="C33">
        <v>335.66756600000002</v>
      </c>
      <c r="D33">
        <v>300.16058900000002</v>
      </c>
      <c r="E33">
        <v>55.369199999999999</v>
      </c>
      <c r="F33">
        <v>55.358699999999999</v>
      </c>
      <c r="G33">
        <v>0.24099999999999999</v>
      </c>
      <c r="H33">
        <v>0.23300000000000001</v>
      </c>
      <c r="I33" t="s">
        <v>0</v>
      </c>
      <c r="J33" t="s">
        <v>49</v>
      </c>
      <c r="K33" t="s">
        <v>50</v>
      </c>
      <c r="L33">
        <v>0</v>
      </c>
      <c r="M33" t="s">
        <v>51</v>
      </c>
      <c r="N33">
        <v>1</v>
      </c>
      <c r="O33" t="s">
        <v>52</v>
      </c>
      <c r="P33" s="2">
        <v>0.42083333333333334</v>
      </c>
      <c r="Q33">
        <f>-0.0001616455*3600</f>
        <v>-0.58192379999999999</v>
      </c>
      <c r="R33">
        <f>0.0002912992*3600</f>
        <v>1.04867712</v>
      </c>
    </row>
    <row r="34" spans="1:18" x14ac:dyDescent="0.3">
      <c r="A34" t="s">
        <v>46</v>
      </c>
      <c r="B34" t="s">
        <v>48</v>
      </c>
      <c r="C34">
        <v>135.66831400000001</v>
      </c>
      <c r="D34">
        <v>99.839544000000004</v>
      </c>
      <c r="E34">
        <v>55.369100000000003</v>
      </c>
      <c r="F34">
        <v>55.358600000000003</v>
      </c>
      <c r="G34">
        <v>0.24099999999999999</v>
      </c>
      <c r="H34">
        <v>0.23300000000000001</v>
      </c>
      <c r="I34" t="s">
        <v>0</v>
      </c>
      <c r="J34" t="s">
        <v>49</v>
      </c>
      <c r="K34" t="s">
        <v>50</v>
      </c>
      <c r="L34">
        <v>0</v>
      </c>
      <c r="M34" t="s">
        <v>51</v>
      </c>
      <c r="N34">
        <v>1</v>
      </c>
      <c r="O34" t="s">
        <v>52</v>
      </c>
      <c r="P34" s="2">
        <v>0.42083333333333334</v>
      </c>
      <c r="Q34">
        <f>-0.000387576*3600</f>
        <v>-1.3952735999999999</v>
      </c>
      <c r="R34">
        <f>-0.0002855723*3600</f>
        <v>-1.02806028</v>
      </c>
    </row>
    <row r="35" spans="1:18" x14ac:dyDescent="0.3">
      <c r="A35" t="s">
        <v>46</v>
      </c>
      <c r="B35" t="s">
        <v>48</v>
      </c>
      <c r="C35">
        <v>335.66757699999999</v>
      </c>
      <c r="D35">
        <v>300.16090600000001</v>
      </c>
      <c r="E35">
        <v>55.369199999999999</v>
      </c>
      <c r="F35">
        <v>55.358699999999999</v>
      </c>
      <c r="G35">
        <v>0.24099999999999999</v>
      </c>
      <c r="H35">
        <v>0.23300000000000001</v>
      </c>
      <c r="I35" t="s">
        <v>0</v>
      </c>
      <c r="J35" t="s">
        <v>49</v>
      </c>
      <c r="K35" t="s">
        <v>50</v>
      </c>
      <c r="L35">
        <v>0</v>
      </c>
      <c r="M35" t="s">
        <v>51</v>
      </c>
      <c r="N35">
        <v>1</v>
      </c>
      <c r="O35" t="s">
        <v>52</v>
      </c>
      <c r="P35" s="2">
        <v>0.42152777777777778</v>
      </c>
      <c r="Q35">
        <f>-0.0001488106*3600</f>
        <v>-0.53571815999999994</v>
      </c>
      <c r="R35">
        <f>0.0008358433*3600</f>
        <v>3.0090358799999999</v>
      </c>
    </row>
    <row r="36" spans="1:18" x14ac:dyDescent="0.3">
      <c r="A36" t="s">
        <v>46</v>
      </c>
      <c r="B36" t="s">
        <v>48</v>
      </c>
      <c r="C36">
        <v>135.66790800000001</v>
      </c>
      <c r="D36">
        <v>99.838960999999998</v>
      </c>
      <c r="E36">
        <v>55.369300000000003</v>
      </c>
      <c r="F36">
        <v>55.358800000000002</v>
      </c>
      <c r="G36">
        <v>0.24099999999999999</v>
      </c>
      <c r="H36">
        <v>0.23300000000000001</v>
      </c>
      <c r="I36" t="s">
        <v>0</v>
      </c>
      <c r="J36" t="s">
        <v>49</v>
      </c>
      <c r="K36" t="s">
        <v>50</v>
      </c>
      <c r="L36">
        <v>0</v>
      </c>
      <c r="M36" t="s">
        <v>51</v>
      </c>
      <c r="N36">
        <v>1</v>
      </c>
      <c r="O36" t="s">
        <v>52</v>
      </c>
      <c r="P36" s="2">
        <v>0.42152777777777778</v>
      </c>
      <c r="Q36">
        <f>-0.0000397606*3600</f>
        <v>-0.14313816000000001</v>
      </c>
      <c r="R36">
        <f>-0.0001266955*3600</f>
        <v>-0.4561038</v>
      </c>
    </row>
    <row r="37" spans="1:18" x14ac:dyDescent="0.3">
      <c r="A37" t="s">
        <v>46</v>
      </c>
      <c r="B37" t="s">
        <v>48</v>
      </c>
      <c r="C37">
        <v>335.66762399999999</v>
      </c>
      <c r="D37">
        <v>300.16102699999999</v>
      </c>
      <c r="E37">
        <v>55.369199999999999</v>
      </c>
      <c r="F37">
        <v>55.358699999999999</v>
      </c>
      <c r="G37">
        <v>0.24099999999999999</v>
      </c>
      <c r="H37">
        <v>0.23300000000000001</v>
      </c>
      <c r="I37" t="s">
        <v>0</v>
      </c>
      <c r="J37" t="s">
        <v>49</v>
      </c>
      <c r="K37" t="s">
        <v>50</v>
      </c>
      <c r="L37">
        <v>0</v>
      </c>
      <c r="M37" t="s">
        <v>51</v>
      </c>
      <c r="N37">
        <v>1</v>
      </c>
      <c r="O37" t="s">
        <v>52</v>
      </c>
      <c r="P37" s="2">
        <v>0.42222222222222222</v>
      </c>
      <c r="Q37">
        <f>-0.0001318601*3600</f>
        <v>-0.47469636000000004</v>
      </c>
      <c r="R37">
        <f>0.0003584664*3600</f>
        <v>1.2904790400000001</v>
      </c>
    </row>
    <row r="38" spans="1:18" x14ac:dyDescent="0.3">
      <c r="A38" t="s">
        <v>46</v>
      </c>
      <c r="B38" t="s">
        <v>48</v>
      </c>
      <c r="C38">
        <v>135.668328</v>
      </c>
      <c r="D38">
        <v>99.839067999999997</v>
      </c>
      <c r="E38">
        <v>55.369100000000003</v>
      </c>
      <c r="F38">
        <v>55.358600000000003</v>
      </c>
      <c r="G38">
        <v>0.24099999999999999</v>
      </c>
      <c r="H38">
        <v>0.23300000000000001</v>
      </c>
      <c r="I38" t="s">
        <v>0</v>
      </c>
      <c r="J38" t="s">
        <v>49</v>
      </c>
      <c r="K38" t="s">
        <v>50</v>
      </c>
      <c r="L38">
        <v>0</v>
      </c>
      <c r="M38" t="s">
        <v>51</v>
      </c>
      <c r="N38">
        <v>1</v>
      </c>
      <c r="O38" t="s">
        <v>52</v>
      </c>
      <c r="P38" s="2">
        <v>0.42222222222222222</v>
      </c>
      <c r="Q38">
        <f>-0.0004573764*3600</f>
        <v>-1.64655504</v>
      </c>
      <c r="R38">
        <f>-0.0001889519*3600</f>
        <v>-0.68022684</v>
      </c>
    </row>
    <row r="39" spans="1:18" x14ac:dyDescent="0.3">
      <c r="A39" t="s">
        <v>46</v>
      </c>
      <c r="B39" t="s">
        <v>48</v>
      </c>
      <c r="C39">
        <v>335.66770400000001</v>
      </c>
      <c r="D39">
        <v>300.16140300000001</v>
      </c>
      <c r="E39">
        <v>55.369199999999999</v>
      </c>
      <c r="F39">
        <v>55.358699999999999</v>
      </c>
      <c r="G39">
        <v>0.24099999999999999</v>
      </c>
      <c r="H39">
        <v>0.23300000000000001</v>
      </c>
      <c r="I39" t="s">
        <v>0</v>
      </c>
      <c r="J39" t="s">
        <v>49</v>
      </c>
      <c r="K39" t="s">
        <v>50</v>
      </c>
      <c r="L39">
        <v>0</v>
      </c>
      <c r="M39" t="s">
        <v>51</v>
      </c>
      <c r="N39">
        <v>1</v>
      </c>
      <c r="O39" t="s">
        <v>52</v>
      </c>
      <c r="P39" s="2">
        <v>0.42291666666666666</v>
      </c>
      <c r="Q39">
        <f>-0.000130724*3600</f>
        <v>-0.47060640000000004</v>
      </c>
      <c r="R39">
        <f>0.0008405531*3600</f>
        <v>3.0259911599999998</v>
      </c>
    </row>
    <row r="40" spans="1:18" x14ac:dyDescent="0.3">
      <c r="A40" t="s">
        <v>46</v>
      </c>
      <c r="B40" t="s">
        <v>55</v>
      </c>
      <c r="C40">
        <v>137.18383399999999</v>
      </c>
      <c r="D40">
        <v>99.925524999999993</v>
      </c>
      <c r="E40">
        <v>43.4148</v>
      </c>
      <c r="F40">
        <v>43.406700000000001</v>
      </c>
      <c r="G40">
        <v>0.24099999999999999</v>
      </c>
      <c r="H40">
        <v>0.24199999999999999</v>
      </c>
      <c r="I40" t="s">
        <v>0</v>
      </c>
      <c r="J40" t="s">
        <v>49</v>
      </c>
      <c r="K40" t="s">
        <v>50</v>
      </c>
      <c r="L40">
        <v>0</v>
      </c>
      <c r="M40" t="s">
        <v>51</v>
      </c>
      <c r="N40">
        <v>1</v>
      </c>
      <c r="O40" t="s">
        <v>52</v>
      </c>
      <c r="P40" s="2">
        <v>0.41805555555555557</v>
      </c>
      <c r="Q40">
        <f>0.0001149022*3600</f>
        <v>0.41364792</v>
      </c>
      <c r="R40">
        <f>-0.0000942603*3600</f>
        <v>-0.33933708000000001</v>
      </c>
    </row>
    <row r="41" spans="1:18" x14ac:dyDescent="0.3">
      <c r="A41" t="s">
        <v>46</v>
      </c>
      <c r="B41" t="s">
        <v>55</v>
      </c>
      <c r="C41">
        <v>337.18345499999998</v>
      </c>
      <c r="D41">
        <v>300.073621</v>
      </c>
      <c r="E41">
        <v>43.414700000000003</v>
      </c>
      <c r="F41">
        <v>43.406599999999997</v>
      </c>
      <c r="G41">
        <v>0.24099999999999999</v>
      </c>
      <c r="H41">
        <v>0.24199999999999999</v>
      </c>
      <c r="I41" t="s">
        <v>0</v>
      </c>
      <c r="J41" t="s">
        <v>49</v>
      </c>
      <c r="K41" t="s">
        <v>50</v>
      </c>
      <c r="L41">
        <v>0</v>
      </c>
      <c r="M41" t="s">
        <v>51</v>
      </c>
      <c r="N41">
        <v>1</v>
      </c>
      <c r="O41" t="s">
        <v>52</v>
      </c>
      <c r="P41" s="2">
        <v>0.41944444444444445</v>
      </c>
      <c r="Q41">
        <f>-0.0002407194*3600</f>
        <v>-0.86658983999999994</v>
      </c>
      <c r="R41">
        <f>0.000288214*3600</f>
        <v>1.0375704000000001</v>
      </c>
    </row>
    <row r="42" spans="1:18" x14ac:dyDescent="0.3">
      <c r="A42" t="s">
        <v>46</v>
      </c>
      <c r="B42" t="s">
        <v>55</v>
      </c>
      <c r="C42">
        <v>137.18410800000001</v>
      </c>
      <c r="D42">
        <v>99.925848999999999</v>
      </c>
      <c r="E42">
        <v>43.414400000000001</v>
      </c>
      <c r="F42">
        <v>43.406300000000002</v>
      </c>
      <c r="G42">
        <v>0.24099999999999999</v>
      </c>
      <c r="H42">
        <v>0.24199999999999999</v>
      </c>
      <c r="I42" t="s">
        <v>0</v>
      </c>
      <c r="J42" t="s">
        <v>49</v>
      </c>
      <c r="K42" t="s">
        <v>50</v>
      </c>
      <c r="L42">
        <v>0</v>
      </c>
      <c r="M42" t="s">
        <v>51</v>
      </c>
      <c r="N42">
        <v>1</v>
      </c>
      <c r="O42" t="s">
        <v>52</v>
      </c>
      <c r="P42" s="2">
        <v>0.4201388888888889</v>
      </c>
      <c r="Q42">
        <f>-0.0000032864*3600</f>
        <v>-1.1831039999999999E-2</v>
      </c>
      <c r="R42">
        <f>-0.0000182231*3600</f>
        <v>-6.5603159999999994E-2</v>
      </c>
    </row>
    <row r="43" spans="1:18" x14ac:dyDescent="0.3">
      <c r="A43" t="s">
        <v>46</v>
      </c>
      <c r="B43" t="s">
        <v>55</v>
      </c>
      <c r="C43">
        <v>337.18336299999999</v>
      </c>
      <c r="D43">
        <v>300.07345900000001</v>
      </c>
      <c r="E43">
        <v>43.414700000000003</v>
      </c>
      <c r="F43">
        <v>43.406599999999997</v>
      </c>
      <c r="G43">
        <v>0.24099999999999999</v>
      </c>
      <c r="H43">
        <v>0.24199999999999999</v>
      </c>
      <c r="I43" t="s">
        <v>0</v>
      </c>
      <c r="J43" t="s">
        <v>49</v>
      </c>
      <c r="K43" t="s">
        <v>50</v>
      </c>
      <c r="L43">
        <v>0</v>
      </c>
      <c r="M43" t="s">
        <v>51</v>
      </c>
      <c r="N43">
        <v>1</v>
      </c>
      <c r="O43" t="s">
        <v>52</v>
      </c>
      <c r="P43" s="2">
        <v>0.42083333333333334</v>
      </c>
      <c r="Q43">
        <f>-0.0002817808*3600</f>
        <v>-1.01441088</v>
      </c>
      <c r="R43">
        <f>0.0002939162*3600</f>
        <v>1.05809832</v>
      </c>
    </row>
    <row r="44" spans="1:18" x14ac:dyDescent="0.3">
      <c r="A44" t="s">
        <v>46</v>
      </c>
      <c r="B44" t="s">
        <v>55</v>
      </c>
      <c r="C44">
        <v>137.184191</v>
      </c>
      <c r="D44">
        <v>99.925498000000005</v>
      </c>
      <c r="E44">
        <v>43.4148</v>
      </c>
      <c r="F44">
        <v>43.406700000000001</v>
      </c>
      <c r="G44">
        <v>0.24099999999999999</v>
      </c>
      <c r="H44">
        <v>0.24199999999999999</v>
      </c>
      <c r="I44" t="s">
        <v>0</v>
      </c>
      <c r="J44" t="s">
        <v>49</v>
      </c>
      <c r="K44" t="s">
        <v>50</v>
      </c>
      <c r="L44">
        <v>0</v>
      </c>
      <c r="M44" t="s">
        <v>51</v>
      </c>
      <c r="N44">
        <v>1</v>
      </c>
      <c r="O44" t="s">
        <v>52</v>
      </c>
      <c r="P44" s="2">
        <v>0.42083333333333334</v>
      </c>
      <c r="Q44">
        <f>-0.0004870059*3600</f>
        <v>-1.75322124</v>
      </c>
      <c r="R44">
        <f>-0.0002913733*3600</f>
        <v>-1.0489438799999999</v>
      </c>
    </row>
    <row r="45" spans="1:18" x14ac:dyDescent="0.3">
      <c r="A45" t="s">
        <v>46</v>
      </c>
      <c r="B45" t="s">
        <v>55</v>
      </c>
      <c r="C45">
        <v>337.18334499999997</v>
      </c>
      <c r="D45">
        <v>300.07350700000001</v>
      </c>
      <c r="E45">
        <v>43.414499999999997</v>
      </c>
      <c r="F45">
        <v>43.406399999999998</v>
      </c>
      <c r="G45">
        <v>0.24099999999999999</v>
      </c>
      <c r="H45">
        <v>0.24199999999999999</v>
      </c>
      <c r="I45" t="s">
        <v>0</v>
      </c>
      <c r="J45" t="s">
        <v>49</v>
      </c>
      <c r="K45" t="s">
        <v>50</v>
      </c>
      <c r="L45">
        <v>0</v>
      </c>
      <c r="M45" t="s">
        <v>51</v>
      </c>
      <c r="N45">
        <v>1</v>
      </c>
      <c r="O45" t="s">
        <v>52</v>
      </c>
      <c r="P45" s="2">
        <v>0.42152777777777778</v>
      </c>
      <c r="Q45">
        <f>-0.0000960168*3600</f>
        <v>-0.34566047999999999</v>
      </c>
      <c r="R45">
        <f>0.0008072816*3600</f>
        <v>2.90621376</v>
      </c>
    </row>
    <row r="46" spans="1:18" x14ac:dyDescent="0.3">
      <c r="A46" t="s">
        <v>46</v>
      </c>
      <c r="B46" t="s">
        <v>55</v>
      </c>
      <c r="C46">
        <v>137.183877</v>
      </c>
      <c r="D46">
        <v>99.925338999999994</v>
      </c>
      <c r="E46">
        <v>43.4146</v>
      </c>
      <c r="F46">
        <v>43.406500000000001</v>
      </c>
      <c r="G46">
        <v>0.24099999999999999</v>
      </c>
      <c r="H46">
        <v>0.24199999999999999</v>
      </c>
      <c r="I46" t="s">
        <v>0</v>
      </c>
      <c r="J46" t="s">
        <v>49</v>
      </c>
      <c r="K46" t="s">
        <v>50</v>
      </c>
      <c r="L46">
        <v>0</v>
      </c>
      <c r="M46" t="s">
        <v>51</v>
      </c>
      <c r="N46">
        <v>1</v>
      </c>
      <c r="O46" t="s">
        <v>52</v>
      </c>
      <c r="P46" s="2">
        <v>0.42152777777777778</v>
      </c>
      <c r="Q46">
        <f>-0.0000465673*3600</f>
        <v>-0.16764227999999998</v>
      </c>
      <c r="R46">
        <f>-0.0000995919*3600</f>
        <v>-0.35853084000000002</v>
      </c>
    </row>
    <row r="47" spans="1:18" x14ac:dyDescent="0.3">
      <c r="A47" t="s">
        <v>46</v>
      </c>
      <c r="B47" t="s">
        <v>55</v>
      </c>
      <c r="C47">
        <v>337.18328300000002</v>
      </c>
      <c r="D47">
        <v>300.07410299999998</v>
      </c>
      <c r="E47">
        <v>43.414499999999997</v>
      </c>
      <c r="F47">
        <v>43.406399999999998</v>
      </c>
      <c r="G47">
        <v>0.24099999999999999</v>
      </c>
      <c r="H47">
        <v>0.24199999999999999</v>
      </c>
      <c r="I47" t="s">
        <v>0</v>
      </c>
      <c r="J47" t="s">
        <v>49</v>
      </c>
      <c r="K47" t="s">
        <v>50</v>
      </c>
      <c r="L47">
        <v>0</v>
      </c>
      <c r="M47" t="s">
        <v>51</v>
      </c>
      <c r="N47">
        <v>1</v>
      </c>
      <c r="O47" t="s">
        <v>52</v>
      </c>
      <c r="P47" s="2">
        <v>0.42222222222222222</v>
      </c>
      <c r="Q47">
        <f>-0.0003572321*3600</f>
        <v>-1.28603556</v>
      </c>
      <c r="R47">
        <f>0.0003046713*3600</f>
        <v>1.0968166800000001</v>
      </c>
    </row>
    <row r="48" spans="1:18" x14ac:dyDescent="0.3">
      <c r="A48" t="s">
        <v>46</v>
      </c>
      <c r="B48" t="s">
        <v>55</v>
      </c>
      <c r="C48">
        <v>137.183954</v>
      </c>
      <c r="D48">
        <v>99.925303999999997</v>
      </c>
      <c r="E48">
        <v>43.414400000000001</v>
      </c>
      <c r="F48">
        <v>43.406300000000002</v>
      </c>
      <c r="G48">
        <v>0.24099999999999999</v>
      </c>
      <c r="H48">
        <v>0.24199999999999999</v>
      </c>
      <c r="I48" t="s">
        <v>0</v>
      </c>
      <c r="J48" t="s">
        <v>49</v>
      </c>
      <c r="K48" t="s">
        <v>50</v>
      </c>
      <c r="L48">
        <v>0</v>
      </c>
      <c r="M48" t="s">
        <v>51</v>
      </c>
      <c r="N48">
        <v>1</v>
      </c>
      <c r="O48" t="s">
        <v>52</v>
      </c>
      <c r="P48" s="2">
        <v>0.42222222222222222</v>
      </c>
      <c r="Q48">
        <f>-0.0002957402*3600</f>
        <v>-1.0646647200000001</v>
      </c>
      <c r="R48">
        <f>-0.0002017596*3600</f>
        <v>-0.72633455999999996</v>
      </c>
    </row>
    <row r="49" spans="1:18" x14ac:dyDescent="0.3">
      <c r="A49" t="s">
        <v>46</v>
      </c>
      <c r="B49" t="s">
        <v>55</v>
      </c>
      <c r="C49">
        <v>337.18353500000001</v>
      </c>
      <c r="D49">
        <v>300.07403499999998</v>
      </c>
      <c r="E49">
        <v>43.414400000000001</v>
      </c>
      <c r="F49">
        <v>43.406300000000002</v>
      </c>
      <c r="G49">
        <v>0.24099999999999999</v>
      </c>
      <c r="H49">
        <v>0.24199999999999999</v>
      </c>
      <c r="I49" t="s">
        <v>0</v>
      </c>
      <c r="J49" t="s">
        <v>49</v>
      </c>
      <c r="K49" t="s">
        <v>50</v>
      </c>
      <c r="L49">
        <v>0</v>
      </c>
      <c r="M49" t="s">
        <v>51</v>
      </c>
      <c r="N49">
        <v>1</v>
      </c>
      <c r="O49" t="s">
        <v>52</v>
      </c>
      <c r="P49" s="2">
        <v>0.42291666666666666</v>
      </c>
      <c r="Q49">
        <f>-0.0001215974*3600</f>
        <v>-0.43775063999999997</v>
      </c>
      <c r="R49">
        <f>0.0009270321*3600</f>
        <v>3.33731556</v>
      </c>
    </row>
    <row r="50" spans="1:18" x14ac:dyDescent="0.3">
      <c r="A50" t="s">
        <v>46</v>
      </c>
      <c r="B50" t="s">
        <v>56</v>
      </c>
      <c r="C50">
        <v>344.01146999999997</v>
      </c>
      <c r="D50">
        <v>100.242002</v>
      </c>
      <c r="E50">
        <v>12.1404</v>
      </c>
      <c r="F50">
        <v>12.1381</v>
      </c>
      <c r="G50">
        <v>0.24099999999999999</v>
      </c>
      <c r="H50">
        <v>0.23799999999999999</v>
      </c>
      <c r="I50" t="s">
        <v>0</v>
      </c>
      <c r="J50" t="s">
        <v>49</v>
      </c>
      <c r="K50" t="s">
        <v>50</v>
      </c>
      <c r="L50">
        <v>0</v>
      </c>
      <c r="M50" t="s">
        <v>51</v>
      </c>
      <c r="N50">
        <v>1</v>
      </c>
      <c r="O50" t="s">
        <v>52</v>
      </c>
      <c r="P50" s="2">
        <v>0.41805555555555557</v>
      </c>
      <c r="Q50">
        <f>0.0000970424*3600</f>
        <v>0.34935263999999999</v>
      </c>
      <c r="R50">
        <f>0.0008335676*3600</f>
        <v>3.0008433600000002</v>
      </c>
    </row>
    <row r="51" spans="1:18" x14ac:dyDescent="0.3">
      <c r="A51" t="s">
        <v>46</v>
      </c>
      <c r="B51" t="s">
        <v>56</v>
      </c>
      <c r="C51">
        <v>144.010705</v>
      </c>
      <c r="D51">
        <v>299.755337</v>
      </c>
      <c r="E51">
        <v>12.1402</v>
      </c>
      <c r="F51">
        <v>12.1379</v>
      </c>
      <c r="G51">
        <v>0.24099999999999999</v>
      </c>
      <c r="H51">
        <v>0.23799999999999999</v>
      </c>
      <c r="I51" t="s">
        <v>0</v>
      </c>
      <c r="J51" t="s">
        <v>49</v>
      </c>
      <c r="K51" t="s">
        <v>50</v>
      </c>
      <c r="L51">
        <v>0</v>
      </c>
      <c r="M51" t="s">
        <v>51</v>
      </c>
      <c r="N51">
        <v>1</v>
      </c>
      <c r="O51" t="s">
        <v>52</v>
      </c>
      <c r="P51" s="2">
        <v>0.41944444444444445</v>
      </c>
      <c r="Q51">
        <f>-0.0003560826*3600</f>
        <v>-1.2818973600000001</v>
      </c>
      <c r="R51">
        <f>-0.000319333*3600</f>
        <v>-1.1495987999999999</v>
      </c>
    </row>
    <row r="52" spans="1:18" x14ac:dyDescent="0.3">
      <c r="A52" t="s">
        <v>46</v>
      </c>
      <c r="B52" t="s">
        <v>56</v>
      </c>
      <c r="C52">
        <v>344.01153299999999</v>
      </c>
      <c r="D52">
        <v>100.242082</v>
      </c>
      <c r="E52">
        <v>12.1403</v>
      </c>
      <c r="F52">
        <v>12.138</v>
      </c>
      <c r="G52">
        <v>0.24099999999999999</v>
      </c>
      <c r="H52">
        <v>0.23799999999999999</v>
      </c>
      <c r="I52" t="s">
        <v>0</v>
      </c>
      <c r="J52" t="s">
        <v>49</v>
      </c>
      <c r="K52" t="s">
        <v>50</v>
      </c>
      <c r="L52">
        <v>0</v>
      </c>
      <c r="M52" t="s">
        <v>51</v>
      </c>
      <c r="N52">
        <v>1</v>
      </c>
      <c r="O52" t="s">
        <v>52</v>
      </c>
      <c r="P52" s="2">
        <v>0.4201388888888889</v>
      </c>
      <c r="Q52">
        <f>-0.00028958*3600</f>
        <v>-1.0424880000000001</v>
      </c>
      <c r="R52">
        <f>0.0004051199*3600</f>
        <v>1.4584316399999999</v>
      </c>
    </row>
    <row r="53" spans="1:18" x14ac:dyDescent="0.3">
      <c r="A53" t="s">
        <v>46</v>
      </c>
      <c r="B53" t="s">
        <v>56</v>
      </c>
      <c r="C53">
        <v>144.01084800000001</v>
      </c>
      <c r="D53">
        <v>299.75522799999999</v>
      </c>
      <c r="E53">
        <v>12.1403</v>
      </c>
      <c r="F53">
        <v>12.138</v>
      </c>
      <c r="G53">
        <v>0.24099999999999999</v>
      </c>
      <c r="H53">
        <v>0.23799999999999999</v>
      </c>
      <c r="I53" t="s">
        <v>0</v>
      </c>
      <c r="J53" t="s">
        <v>49</v>
      </c>
      <c r="K53" t="s">
        <v>50</v>
      </c>
      <c r="L53">
        <v>0</v>
      </c>
      <c r="M53" t="s">
        <v>51</v>
      </c>
      <c r="N53">
        <v>1</v>
      </c>
      <c r="O53" t="s">
        <v>52</v>
      </c>
      <c r="P53" s="2">
        <v>0.4201388888888889</v>
      </c>
      <c r="Q53">
        <f>-0.0004010338*3600</f>
        <v>-1.4437216800000001</v>
      </c>
      <c r="R53">
        <f>-0.0002849759*3600</f>
        <v>-1.0259132399999999</v>
      </c>
    </row>
    <row r="54" spans="1:18" x14ac:dyDescent="0.3">
      <c r="A54" t="s">
        <v>46</v>
      </c>
      <c r="B54" t="s">
        <v>56</v>
      </c>
      <c r="C54">
        <v>344.01196499999998</v>
      </c>
      <c r="D54">
        <v>100.242028</v>
      </c>
      <c r="E54">
        <v>12.1403</v>
      </c>
      <c r="F54">
        <v>12.138</v>
      </c>
      <c r="G54">
        <v>0.24099999999999999</v>
      </c>
      <c r="H54">
        <v>0.23799999999999999</v>
      </c>
      <c r="I54" t="s">
        <v>0</v>
      </c>
      <c r="J54" t="s">
        <v>49</v>
      </c>
      <c r="K54" t="s">
        <v>50</v>
      </c>
      <c r="L54">
        <v>0</v>
      </c>
      <c r="M54" t="s">
        <v>51</v>
      </c>
      <c r="N54">
        <v>1</v>
      </c>
      <c r="O54" t="s">
        <v>52</v>
      </c>
      <c r="P54" s="2">
        <v>0.42083333333333334</v>
      </c>
      <c r="Q54">
        <f>-0.0000877749*3600</f>
        <v>-0.31598964000000002</v>
      </c>
      <c r="R54">
        <f>0.0010781906*3600</f>
        <v>3.8814861599999997</v>
      </c>
    </row>
    <row r="55" spans="1:18" x14ac:dyDescent="0.3">
      <c r="A55" t="s">
        <v>46</v>
      </c>
      <c r="B55" t="s">
        <v>56</v>
      </c>
      <c r="C55">
        <v>144.01064299999999</v>
      </c>
      <c r="D55">
        <v>299.75545399999999</v>
      </c>
      <c r="E55">
        <v>12.1402</v>
      </c>
      <c r="F55">
        <v>12.1379</v>
      </c>
      <c r="G55">
        <v>0.24099999999999999</v>
      </c>
      <c r="H55">
        <v>0.23799999999999999</v>
      </c>
      <c r="I55" t="s">
        <v>0</v>
      </c>
      <c r="J55" t="s">
        <v>49</v>
      </c>
      <c r="K55" t="s">
        <v>50</v>
      </c>
      <c r="L55">
        <v>0</v>
      </c>
      <c r="M55" t="s">
        <v>51</v>
      </c>
      <c r="N55">
        <v>1</v>
      </c>
      <c r="O55" t="s">
        <v>52</v>
      </c>
      <c r="P55" s="2">
        <v>0.42083333333333334</v>
      </c>
      <c r="Q55">
        <f>-0.0000265762*3600</f>
        <v>-9.5674320000000007E-2</v>
      </c>
      <c r="R55">
        <f>-0.0001778604*3600</f>
        <v>-0.64029744</v>
      </c>
    </row>
    <row r="56" spans="1:18" x14ac:dyDescent="0.3">
      <c r="A56" t="s">
        <v>46</v>
      </c>
      <c r="B56" t="s">
        <v>56</v>
      </c>
      <c r="C56">
        <v>344.011504</v>
      </c>
      <c r="D56">
        <v>100.242029</v>
      </c>
      <c r="E56">
        <v>12.1403</v>
      </c>
      <c r="F56">
        <v>12.138</v>
      </c>
      <c r="G56">
        <v>0.24099999999999999</v>
      </c>
      <c r="H56">
        <v>0.23799999999999999</v>
      </c>
      <c r="I56" t="s">
        <v>0</v>
      </c>
      <c r="J56" t="s">
        <v>49</v>
      </c>
      <c r="K56" t="s">
        <v>50</v>
      </c>
      <c r="L56">
        <v>0</v>
      </c>
      <c r="M56" t="s">
        <v>51</v>
      </c>
      <c r="N56">
        <v>1</v>
      </c>
      <c r="O56" t="s">
        <v>52</v>
      </c>
      <c r="P56" s="2">
        <v>0.42152777777777778</v>
      </c>
      <c r="Q56">
        <f>-0.0002110627*3600</f>
        <v>-0.75982572000000004</v>
      </c>
      <c r="R56">
        <f>0.00030772*3600</f>
        <v>1.1077919999999999</v>
      </c>
    </row>
    <row r="57" spans="1:18" x14ac:dyDescent="0.3">
      <c r="A57" t="s">
        <v>46</v>
      </c>
      <c r="B57" t="s">
        <v>56</v>
      </c>
      <c r="C57">
        <v>144.011021</v>
      </c>
      <c r="D57">
        <v>299.75538599999999</v>
      </c>
      <c r="E57">
        <v>12.1402</v>
      </c>
      <c r="F57">
        <v>12.1379</v>
      </c>
      <c r="G57">
        <v>0.24099999999999999</v>
      </c>
      <c r="H57">
        <v>0.23799999999999999</v>
      </c>
      <c r="I57" t="s">
        <v>0</v>
      </c>
      <c r="J57" t="s">
        <v>49</v>
      </c>
      <c r="K57" t="s">
        <v>50</v>
      </c>
      <c r="L57">
        <v>0</v>
      </c>
      <c r="M57" t="s">
        <v>51</v>
      </c>
      <c r="N57">
        <v>1</v>
      </c>
      <c r="O57" t="s">
        <v>52</v>
      </c>
      <c r="P57" s="2">
        <v>0.42222222222222222</v>
      </c>
      <c r="Q57">
        <f>-0.0003123233*3600</f>
        <v>-1.12436388</v>
      </c>
      <c r="R57">
        <f>-0.0002084669*3600</f>
        <v>-0.75048083999999993</v>
      </c>
    </row>
    <row r="58" spans="1:18" x14ac:dyDescent="0.3">
      <c r="A58" t="s">
        <v>46</v>
      </c>
      <c r="B58" t="s">
        <v>56</v>
      </c>
      <c r="C58">
        <v>344.01184599999999</v>
      </c>
      <c r="D58">
        <v>100.24205000000001</v>
      </c>
      <c r="E58">
        <v>12.1402</v>
      </c>
      <c r="F58">
        <v>12.1379</v>
      </c>
      <c r="G58">
        <v>0.24099999999999999</v>
      </c>
      <c r="H58">
        <v>0.23799999999999999</v>
      </c>
      <c r="I58" t="s">
        <v>0</v>
      </c>
      <c r="J58" t="s">
        <v>49</v>
      </c>
      <c r="K58" t="s">
        <v>50</v>
      </c>
      <c r="L58">
        <v>0</v>
      </c>
      <c r="M58" t="s">
        <v>51</v>
      </c>
      <c r="N58">
        <v>1</v>
      </c>
      <c r="O58" t="s">
        <v>52</v>
      </c>
      <c r="P58" s="2">
        <v>0.42222222222222222</v>
      </c>
      <c r="Q58">
        <f>-0.0002119003*3600</f>
        <v>-0.76284107999999995</v>
      </c>
      <c r="R58">
        <f>0.0009780478*3600</f>
        <v>3.5209720799999999</v>
      </c>
    </row>
    <row r="59" spans="1:18" x14ac:dyDescent="0.3">
      <c r="A59" t="s">
        <v>46</v>
      </c>
      <c r="B59" t="s">
        <v>56</v>
      </c>
      <c r="C59">
        <v>144.01084</v>
      </c>
      <c r="D59">
        <v>299.75546000000003</v>
      </c>
      <c r="E59">
        <v>12.1401</v>
      </c>
      <c r="F59">
        <v>12.1378</v>
      </c>
      <c r="G59">
        <v>0.24099999999999999</v>
      </c>
      <c r="H59">
        <v>0.23799999999999999</v>
      </c>
      <c r="I59" t="s">
        <v>0</v>
      </c>
      <c r="J59" t="s">
        <v>49</v>
      </c>
      <c r="K59" t="s">
        <v>50</v>
      </c>
      <c r="L59">
        <v>0</v>
      </c>
      <c r="M59" t="s">
        <v>51</v>
      </c>
      <c r="N59">
        <v>1</v>
      </c>
      <c r="O59" t="s">
        <v>52</v>
      </c>
      <c r="P59" s="2">
        <v>0.42291666666666666</v>
      </c>
      <c r="Q59">
        <f>0.0000023811*3600</f>
        <v>8.57196E-3</v>
      </c>
      <c r="R59">
        <f>-0.0001197683*3600</f>
        <v>-0.43116588</v>
      </c>
    </row>
    <row r="60" spans="1:18" x14ac:dyDescent="0.3">
      <c r="A60" t="s">
        <v>46</v>
      </c>
      <c r="B60" t="s">
        <v>57</v>
      </c>
      <c r="C60">
        <v>346.33675299999999</v>
      </c>
      <c r="D60">
        <v>100.17126399999999</v>
      </c>
      <c r="E60">
        <v>108.37050000000001</v>
      </c>
      <c r="F60">
        <v>108.34990000000001</v>
      </c>
      <c r="G60">
        <v>0.24099999999999999</v>
      </c>
      <c r="H60">
        <v>0.24199999999999999</v>
      </c>
      <c r="I60" t="s">
        <v>0</v>
      </c>
      <c r="J60" t="s">
        <v>49</v>
      </c>
      <c r="K60" t="s">
        <v>50</v>
      </c>
      <c r="L60">
        <v>0</v>
      </c>
      <c r="M60" t="s">
        <v>51</v>
      </c>
      <c r="N60">
        <v>1</v>
      </c>
      <c r="O60" t="s">
        <v>52</v>
      </c>
      <c r="P60" s="2">
        <v>0.41805555555555557</v>
      </c>
      <c r="Q60">
        <f>0.0000292005*3600</f>
        <v>0.1051218</v>
      </c>
      <c r="R60">
        <f>0.0007687049*3600</f>
        <v>2.76733764</v>
      </c>
    </row>
    <row r="61" spans="1:18" x14ac:dyDescent="0.3">
      <c r="A61" t="s">
        <v>46</v>
      </c>
      <c r="B61" t="s">
        <v>57</v>
      </c>
      <c r="C61">
        <v>146.33603600000001</v>
      </c>
      <c r="D61">
        <v>299.82943</v>
      </c>
      <c r="E61">
        <v>108.3706</v>
      </c>
      <c r="F61">
        <v>108.35</v>
      </c>
      <c r="G61">
        <v>0.24099999999999999</v>
      </c>
      <c r="H61">
        <v>0.24199999999999999</v>
      </c>
      <c r="I61" t="s">
        <v>0</v>
      </c>
      <c r="J61" t="s">
        <v>49</v>
      </c>
      <c r="K61" t="s">
        <v>50</v>
      </c>
      <c r="L61">
        <v>0</v>
      </c>
      <c r="M61" t="s">
        <v>51</v>
      </c>
      <c r="N61">
        <v>1</v>
      </c>
      <c r="O61" t="s">
        <v>52</v>
      </c>
      <c r="P61" s="2">
        <v>0.41875000000000001</v>
      </c>
      <c r="Q61">
        <f>-0.0002953833*3600</f>
        <v>-1.0633798800000001</v>
      </c>
      <c r="R61">
        <f>-0.0004202333*3600</f>
        <v>-1.51283988</v>
      </c>
    </row>
    <row r="62" spans="1:18" x14ac:dyDescent="0.3">
      <c r="A62" t="s">
        <v>46</v>
      </c>
      <c r="B62" t="s">
        <v>57</v>
      </c>
      <c r="C62">
        <v>346.33694100000002</v>
      </c>
      <c r="D62">
        <v>100.17244700000001</v>
      </c>
      <c r="E62">
        <v>108.3706</v>
      </c>
      <c r="F62">
        <v>108.35</v>
      </c>
      <c r="G62">
        <v>0.24099999999999999</v>
      </c>
      <c r="H62">
        <v>0.24199999999999999</v>
      </c>
      <c r="I62" t="s">
        <v>0</v>
      </c>
      <c r="J62" t="s">
        <v>49</v>
      </c>
      <c r="K62" t="s">
        <v>50</v>
      </c>
      <c r="L62">
        <v>0</v>
      </c>
      <c r="M62" t="s">
        <v>51</v>
      </c>
      <c r="N62">
        <v>1</v>
      </c>
      <c r="O62" t="s">
        <v>52</v>
      </c>
      <c r="P62" s="2">
        <v>0.4201388888888889</v>
      </c>
      <c r="Q62">
        <f>-0.0001533756*3600</f>
        <v>-0.55215216</v>
      </c>
      <c r="R62">
        <f>0.0004242902*3600</f>
        <v>1.5274447199999999</v>
      </c>
    </row>
    <row r="63" spans="1:18" x14ac:dyDescent="0.3">
      <c r="A63" t="s">
        <v>46</v>
      </c>
      <c r="B63" t="s">
        <v>57</v>
      </c>
      <c r="C63">
        <v>146.33645000000001</v>
      </c>
      <c r="D63">
        <v>299.82829500000003</v>
      </c>
      <c r="E63">
        <v>108.37050000000001</v>
      </c>
      <c r="F63">
        <v>108.34990000000001</v>
      </c>
      <c r="G63">
        <v>0.24099999999999999</v>
      </c>
      <c r="H63">
        <v>0.24199999999999999</v>
      </c>
      <c r="I63" t="s">
        <v>0</v>
      </c>
      <c r="J63" t="s">
        <v>49</v>
      </c>
      <c r="K63" t="s">
        <v>50</v>
      </c>
      <c r="L63">
        <v>0</v>
      </c>
      <c r="M63" t="s">
        <v>51</v>
      </c>
      <c r="N63">
        <v>1</v>
      </c>
      <c r="O63" t="s">
        <v>52</v>
      </c>
      <c r="P63" s="2">
        <v>0.4201388888888889</v>
      </c>
      <c r="Q63">
        <f>-0.0003025584*3600</f>
        <v>-1.0892102400000001</v>
      </c>
      <c r="R63">
        <f>-0.0004240709*3600</f>
        <v>-1.52665524</v>
      </c>
    </row>
    <row r="64" spans="1:18" x14ac:dyDescent="0.3">
      <c r="A64" t="s">
        <v>46</v>
      </c>
      <c r="B64" t="s">
        <v>57</v>
      </c>
      <c r="C64">
        <v>346.336659</v>
      </c>
      <c r="D64">
        <v>100.17225500000001</v>
      </c>
      <c r="E64">
        <v>108.3704</v>
      </c>
      <c r="F64">
        <v>108.3498</v>
      </c>
      <c r="G64">
        <v>0.24099999999999999</v>
      </c>
      <c r="H64">
        <v>0.24199999999999999</v>
      </c>
      <c r="I64" t="s">
        <v>0</v>
      </c>
      <c r="J64" t="s">
        <v>49</v>
      </c>
      <c r="K64" t="s">
        <v>50</v>
      </c>
      <c r="L64">
        <v>0</v>
      </c>
      <c r="M64" t="s">
        <v>51</v>
      </c>
      <c r="N64">
        <v>1</v>
      </c>
      <c r="O64" t="s">
        <v>52</v>
      </c>
      <c r="P64" s="2">
        <v>0.42083333333333334</v>
      </c>
      <c r="Q64">
        <f>-0.0001770683*3600</f>
        <v>-0.63744588000000002</v>
      </c>
      <c r="R64">
        <f>0.0009404993*3600</f>
        <v>3.3857974799999999</v>
      </c>
    </row>
    <row r="65" spans="1:18" x14ac:dyDescent="0.3">
      <c r="A65" t="s">
        <v>46</v>
      </c>
      <c r="B65" t="s">
        <v>57</v>
      </c>
      <c r="C65">
        <v>146.33651499999999</v>
      </c>
      <c r="D65">
        <v>299.82881200000003</v>
      </c>
      <c r="E65">
        <v>108.37050000000001</v>
      </c>
      <c r="F65">
        <v>108.34990000000001</v>
      </c>
      <c r="G65">
        <v>0.24099999999999999</v>
      </c>
      <c r="H65">
        <v>0.24199999999999999</v>
      </c>
      <c r="I65" t="s">
        <v>0</v>
      </c>
      <c r="J65" t="s">
        <v>49</v>
      </c>
      <c r="K65" t="s">
        <v>50</v>
      </c>
      <c r="L65">
        <v>0</v>
      </c>
      <c r="M65" t="s">
        <v>51</v>
      </c>
      <c r="N65">
        <v>1</v>
      </c>
      <c r="O65" t="s">
        <v>52</v>
      </c>
      <c r="P65" s="2">
        <v>0.42083333333333334</v>
      </c>
      <c r="Q65">
        <f>0.0000871117*3600</f>
        <v>0.31360211999999998</v>
      </c>
      <c r="R65">
        <f>-0.0001825312*3600</f>
        <v>-0.65711231999999997</v>
      </c>
    </row>
    <row r="66" spans="1:18" x14ac:dyDescent="0.3">
      <c r="A66" t="s">
        <v>46</v>
      </c>
      <c r="B66" t="s">
        <v>57</v>
      </c>
      <c r="C66">
        <v>346.33670699999999</v>
      </c>
      <c r="D66">
        <v>100.17167000000001</v>
      </c>
      <c r="E66">
        <v>108.3704</v>
      </c>
      <c r="F66">
        <v>108.3498</v>
      </c>
      <c r="G66">
        <v>0.24099999999999999</v>
      </c>
      <c r="H66">
        <v>0.24199999999999999</v>
      </c>
      <c r="I66" t="s">
        <v>0</v>
      </c>
      <c r="J66" t="s">
        <v>49</v>
      </c>
      <c r="K66" t="s">
        <v>50</v>
      </c>
      <c r="L66">
        <v>0</v>
      </c>
      <c r="M66" t="s">
        <v>51</v>
      </c>
      <c r="N66">
        <v>1</v>
      </c>
      <c r="O66" t="s">
        <v>52</v>
      </c>
      <c r="P66" s="2">
        <v>0.42152777777777778</v>
      </c>
      <c r="Q66">
        <f>-0.0004076338*3600</f>
        <v>-1.4674816800000001</v>
      </c>
      <c r="R66">
        <f>0.0004593671*3600</f>
        <v>1.6537215599999999</v>
      </c>
    </row>
    <row r="67" spans="1:18" x14ac:dyDescent="0.3">
      <c r="A67" t="s">
        <v>46</v>
      </c>
      <c r="B67" t="s">
        <v>57</v>
      </c>
      <c r="C67">
        <v>146.33615599999999</v>
      </c>
      <c r="D67">
        <v>299.82884100000001</v>
      </c>
      <c r="E67">
        <v>108.3704</v>
      </c>
      <c r="F67">
        <v>108.3498</v>
      </c>
      <c r="G67">
        <v>0.24099999999999999</v>
      </c>
      <c r="H67">
        <v>0.24199999999999999</v>
      </c>
      <c r="I67" t="s">
        <v>0</v>
      </c>
      <c r="J67" t="s">
        <v>49</v>
      </c>
      <c r="K67" t="s">
        <v>50</v>
      </c>
      <c r="L67">
        <v>0</v>
      </c>
      <c r="M67" t="s">
        <v>51</v>
      </c>
      <c r="N67">
        <v>1</v>
      </c>
      <c r="O67" t="s">
        <v>52</v>
      </c>
      <c r="P67" s="2">
        <v>0.42152777777777778</v>
      </c>
      <c r="Q67">
        <f>-0.0004354732*3600</f>
        <v>-1.56770352</v>
      </c>
      <c r="R67">
        <f>-0.0002814606*3600</f>
        <v>-1.0132581600000001</v>
      </c>
    </row>
    <row r="68" spans="1:18" x14ac:dyDescent="0.3">
      <c r="A68" t="s">
        <v>46</v>
      </c>
      <c r="B68" t="s">
        <v>57</v>
      </c>
      <c r="C68">
        <v>346.33658000000003</v>
      </c>
      <c r="D68">
        <v>100.17194600000001</v>
      </c>
      <c r="E68">
        <v>108.37050000000001</v>
      </c>
      <c r="F68">
        <v>108.34990000000001</v>
      </c>
      <c r="G68">
        <v>0.24099999999999999</v>
      </c>
      <c r="H68">
        <v>0.24199999999999999</v>
      </c>
      <c r="I68" t="s">
        <v>0</v>
      </c>
      <c r="J68" t="s">
        <v>49</v>
      </c>
      <c r="K68" t="s">
        <v>50</v>
      </c>
      <c r="L68">
        <v>0</v>
      </c>
      <c r="M68" t="s">
        <v>51</v>
      </c>
      <c r="N68">
        <v>1</v>
      </c>
      <c r="O68" t="s">
        <v>52</v>
      </c>
      <c r="P68" s="2">
        <v>0.42222222222222222</v>
      </c>
      <c r="Q68">
        <f>-0.0002806536*3600</f>
        <v>-1.0103529600000001</v>
      </c>
      <c r="R68">
        <f>0.0008540271*3600</f>
        <v>3.0744975599999997</v>
      </c>
    </row>
    <row r="69" spans="1:18" x14ac:dyDescent="0.3">
      <c r="A69" t="s">
        <v>46</v>
      </c>
      <c r="B69" t="s">
        <v>57</v>
      </c>
      <c r="C69">
        <v>146.336434</v>
      </c>
      <c r="D69">
        <v>299.82883800000002</v>
      </c>
      <c r="E69">
        <v>108.3702</v>
      </c>
      <c r="F69">
        <v>108.3496</v>
      </c>
      <c r="G69">
        <v>0.24099999999999999</v>
      </c>
      <c r="H69">
        <v>0.24199999999999999</v>
      </c>
      <c r="I69" t="s">
        <v>0</v>
      </c>
      <c r="J69" t="s">
        <v>49</v>
      </c>
      <c r="K69" t="s">
        <v>50</v>
      </c>
      <c r="L69">
        <v>0</v>
      </c>
      <c r="M69" t="s">
        <v>51</v>
      </c>
      <c r="N69">
        <v>1</v>
      </c>
      <c r="O69" t="s">
        <v>52</v>
      </c>
      <c r="P69" s="2">
        <v>0.42291666666666666</v>
      </c>
      <c r="Q69">
        <f>0.0000733382*3600</f>
        <v>0.26401752000000001</v>
      </c>
      <c r="R69">
        <f>-0.0002730574*3600</f>
        <v>-0.98300664000000004</v>
      </c>
    </row>
    <row r="70" spans="1:18" x14ac:dyDescent="0.3">
      <c r="A70" t="s">
        <v>46</v>
      </c>
      <c r="B70" t="s">
        <v>58</v>
      </c>
      <c r="C70">
        <v>345.64746500000001</v>
      </c>
      <c r="D70">
        <v>100.135071</v>
      </c>
      <c r="E70">
        <v>120.52419999999999</v>
      </c>
      <c r="F70">
        <v>120.50149999999999</v>
      </c>
      <c r="G70">
        <v>0.24099999999999999</v>
      </c>
      <c r="H70">
        <v>0.24299999999999999</v>
      </c>
      <c r="I70" t="s">
        <v>0</v>
      </c>
      <c r="J70" t="s">
        <v>49</v>
      </c>
      <c r="K70" t="s">
        <v>50</v>
      </c>
      <c r="L70">
        <v>0</v>
      </c>
      <c r="M70" t="s">
        <v>51</v>
      </c>
      <c r="N70">
        <v>1</v>
      </c>
      <c r="O70" t="s">
        <v>52</v>
      </c>
      <c r="P70" s="2">
        <v>0.41875000000000001</v>
      </c>
      <c r="Q70">
        <f>-0.0000609699*3600</f>
        <v>-0.21949163999999999</v>
      </c>
      <c r="R70">
        <f>0.0008663645*3600</f>
        <v>3.1189122</v>
      </c>
    </row>
    <row r="71" spans="1:18" x14ac:dyDescent="0.3">
      <c r="A71" t="s">
        <v>46</v>
      </c>
      <c r="B71" t="s">
        <v>58</v>
      </c>
      <c r="C71">
        <v>145.64700400000001</v>
      </c>
      <c r="D71">
        <v>299.86568499999998</v>
      </c>
      <c r="E71">
        <v>120.524</v>
      </c>
      <c r="F71">
        <v>120.5013</v>
      </c>
      <c r="G71">
        <v>0.24099999999999999</v>
      </c>
      <c r="H71">
        <v>0.24299999999999999</v>
      </c>
      <c r="I71" t="s">
        <v>0</v>
      </c>
      <c r="J71" t="s">
        <v>49</v>
      </c>
      <c r="K71" t="s">
        <v>50</v>
      </c>
      <c r="L71">
        <v>0</v>
      </c>
      <c r="M71" t="s">
        <v>51</v>
      </c>
      <c r="N71">
        <v>1</v>
      </c>
      <c r="O71" t="s">
        <v>52</v>
      </c>
      <c r="P71" s="2">
        <v>0.41875000000000001</v>
      </c>
      <c r="Q71">
        <f>-0.0002163112*3600</f>
        <v>-0.77872032000000002</v>
      </c>
      <c r="R71">
        <f>-0.0003846204*3600</f>
        <v>-1.38463344</v>
      </c>
    </row>
    <row r="72" spans="1:18" x14ac:dyDescent="0.3">
      <c r="A72" t="s">
        <v>46</v>
      </c>
      <c r="B72" t="s">
        <v>58</v>
      </c>
      <c r="C72">
        <v>345.64742999999999</v>
      </c>
      <c r="D72">
        <v>100.135595</v>
      </c>
      <c r="E72">
        <v>120.52419999999999</v>
      </c>
      <c r="F72">
        <v>120.50149999999999</v>
      </c>
      <c r="G72">
        <v>0.24099999999999999</v>
      </c>
      <c r="H72">
        <v>0.24299999999999999</v>
      </c>
      <c r="I72" t="s">
        <v>0</v>
      </c>
      <c r="J72" t="s">
        <v>49</v>
      </c>
      <c r="K72" t="s">
        <v>50</v>
      </c>
      <c r="L72">
        <v>0</v>
      </c>
      <c r="M72" t="s">
        <v>51</v>
      </c>
      <c r="N72">
        <v>1</v>
      </c>
      <c r="O72" t="s">
        <v>52</v>
      </c>
      <c r="P72" s="2">
        <v>0.4201388888888889</v>
      </c>
      <c r="Q72">
        <f>-0.0001484332*3600</f>
        <v>-0.53435951999999998</v>
      </c>
      <c r="R72">
        <f>0.00049033*3600</f>
        <v>1.765188</v>
      </c>
    </row>
    <row r="73" spans="1:18" x14ac:dyDescent="0.3">
      <c r="A73" t="s">
        <v>46</v>
      </c>
      <c r="B73" t="s">
        <v>58</v>
      </c>
      <c r="C73">
        <v>145.64687599999999</v>
      </c>
      <c r="D73">
        <v>299.86544800000001</v>
      </c>
      <c r="E73">
        <v>120.5241</v>
      </c>
      <c r="F73">
        <v>120.5014</v>
      </c>
      <c r="G73">
        <v>0.24099999999999999</v>
      </c>
      <c r="H73">
        <v>0.24299999999999999</v>
      </c>
      <c r="I73" t="s">
        <v>0</v>
      </c>
      <c r="J73" t="s">
        <v>49</v>
      </c>
      <c r="K73" t="s">
        <v>50</v>
      </c>
      <c r="L73">
        <v>0</v>
      </c>
      <c r="M73" t="s">
        <v>51</v>
      </c>
      <c r="N73">
        <v>1</v>
      </c>
      <c r="O73" t="s">
        <v>52</v>
      </c>
      <c r="P73" s="2">
        <v>0.4201388888888889</v>
      </c>
      <c r="Q73">
        <f>-0.0002806913*3600</f>
        <v>-1.0104886799999999</v>
      </c>
      <c r="R73">
        <f>-0.0004321264*3600</f>
        <v>-1.55565504</v>
      </c>
    </row>
    <row r="74" spans="1:18" x14ac:dyDescent="0.3">
      <c r="A74" t="s">
        <v>46</v>
      </c>
      <c r="B74" t="s">
        <v>58</v>
      </c>
      <c r="C74">
        <v>345.646998</v>
      </c>
      <c r="D74">
        <v>100.135228</v>
      </c>
      <c r="E74">
        <v>120.52419999999999</v>
      </c>
      <c r="F74">
        <v>120.50149999999999</v>
      </c>
      <c r="G74">
        <v>0.24099999999999999</v>
      </c>
      <c r="H74">
        <v>0.24299999999999999</v>
      </c>
      <c r="I74" t="s">
        <v>0</v>
      </c>
      <c r="J74" t="s">
        <v>49</v>
      </c>
      <c r="K74" t="s">
        <v>50</v>
      </c>
      <c r="L74">
        <v>0</v>
      </c>
      <c r="M74" t="s">
        <v>51</v>
      </c>
      <c r="N74">
        <v>1</v>
      </c>
      <c r="O74" t="s">
        <v>52</v>
      </c>
      <c r="P74" s="2">
        <v>0.42083333333333334</v>
      </c>
      <c r="Q74">
        <f>-0.0001119854*3600</f>
        <v>-0.40314743999999997</v>
      </c>
      <c r="R74">
        <f>0.0009615784*3600</f>
        <v>3.46168224</v>
      </c>
    </row>
    <row r="75" spans="1:18" x14ac:dyDescent="0.3">
      <c r="A75" t="s">
        <v>46</v>
      </c>
      <c r="B75" t="s">
        <v>58</v>
      </c>
      <c r="C75">
        <v>145.64689899999999</v>
      </c>
      <c r="D75">
        <v>299.86571800000002</v>
      </c>
      <c r="E75">
        <v>120.5239</v>
      </c>
      <c r="F75">
        <v>120.5012</v>
      </c>
      <c r="G75">
        <v>0.24099999999999999</v>
      </c>
      <c r="H75">
        <v>0.24299999999999999</v>
      </c>
      <c r="I75" t="s">
        <v>0</v>
      </c>
      <c r="J75" t="s">
        <v>49</v>
      </c>
      <c r="K75" t="s">
        <v>50</v>
      </c>
      <c r="L75">
        <v>0</v>
      </c>
      <c r="M75" t="s">
        <v>51</v>
      </c>
      <c r="N75">
        <v>1</v>
      </c>
      <c r="O75" t="s">
        <v>52</v>
      </c>
      <c r="P75" s="2">
        <v>0.42083333333333334</v>
      </c>
      <c r="Q75">
        <f>0.0001359294*3600</f>
        <v>0.48934583999999998</v>
      </c>
      <c r="R75">
        <f>-0.0002089939*3600</f>
        <v>-0.75237803999999997</v>
      </c>
    </row>
    <row r="76" spans="1:18" x14ac:dyDescent="0.3">
      <c r="A76" t="s">
        <v>46</v>
      </c>
      <c r="B76" t="s">
        <v>58</v>
      </c>
      <c r="C76">
        <v>345.64696300000003</v>
      </c>
      <c r="D76">
        <v>100.135159</v>
      </c>
      <c r="E76">
        <v>120.5241</v>
      </c>
      <c r="F76">
        <v>120.5014</v>
      </c>
      <c r="G76">
        <v>0.24099999999999999</v>
      </c>
      <c r="H76">
        <v>0.24299999999999999</v>
      </c>
      <c r="I76" t="s">
        <v>0</v>
      </c>
      <c r="J76" t="s">
        <v>49</v>
      </c>
      <c r="K76" t="s">
        <v>50</v>
      </c>
      <c r="L76">
        <v>0</v>
      </c>
      <c r="M76" t="s">
        <v>51</v>
      </c>
      <c r="N76">
        <v>1</v>
      </c>
      <c r="O76" t="s">
        <v>52</v>
      </c>
      <c r="P76" s="2">
        <v>0.42152777777777778</v>
      </c>
      <c r="Q76">
        <f>-0.0003208376*3600</f>
        <v>-1.1550153600000002</v>
      </c>
      <c r="R76">
        <f>0.0004227865*3600</f>
        <v>1.5220313999999999</v>
      </c>
    </row>
    <row r="77" spans="1:18" x14ac:dyDescent="0.3">
      <c r="A77" t="s">
        <v>46</v>
      </c>
      <c r="B77" t="s">
        <v>58</v>
      </c>
      <c r="C77">
        <v>145.64688799999999</v>
      </c>
      <c r="D77">
        <v>299.86579799999998</v>
      </c>
      <c r="E77">
        <v>120.52379999999999</v>
      </c>
      <c r="F77">
        <v>120.50109999999999</v>
      </c>
      <c r="G77">
        <v>0.24099999999999999</v>
      </c>
      <c r="H77">
        <v>0.24299999999999999</v>
      </c>
      <c r="I77" t="s">
        <v>0</v>
      </c>
      <c r="J77" t="s">
        <v>49</v>
      </c>
      <c r="K77" t="s">
        <v>50</v>
      </c>
      <c r="L77">
        <v>0</v>
      </c>
      <c r="M77" t="s">
        <v>51</v>
      </c>
      <c r="N77">
        <v>1</v>
      </c>
      <c r="O77" t="s">
        <v>52</v>
      </c>
      <c r="P77" s="2">
        <v>0.42152777777777778</v>
      </c>
      <c r="Q77">
        <f>-0.0003837706*3600</f>
        <v>-1.38157416</v>
      </c>
      <c r="R77">
        <f>-0.0002872826*3600</f>
        <v>-1.03421736</v>
      </c>
    </row>
    <row r="78" spans="1:18" x14ac:dyDescent="0.3">
      <c r="A78" t="s">
        <v>46</v>
      </c>
      <c r="B78" t="s">
        <v>58</v>
      </c>
      <c r="C78">
        <v>345.64740799999998</v>
      </c>
      <c r="D78">
        <v>100.13509500000001</v>
      </c>
      <c r="E78">
        <v>120.5241</v>
      </c>
      <c r="F78">
        <v>120.5014</v>
      </c>
      <c r="G78">
        <v>0.24099999999999999</v>
      </c>
      <c r="H78">
        <v>0.24299999999999999</v>
      </c>
      <c r="I78" t="s">
        <v>0</v>
      </c>
      <c r="J78" t="s">
        <v>49</v>
      </c>
      <c r="K78" t="s">
        <v>50</v>
      </c>
      <c r="L78">
        <v>0</v>
      </c>
      <c r="M78" t="s">
        <v>51</v>
      </c>
      <c r="N78">
        <v>1</v>
      </c>
      <c r="O78" t="s">
        <v>52</v>
      </c>
      <c r="P78" s="2">
        <v>0.42222222222222222</v>
      </c>
      <c r="Q78">
        <f>-0.0003047606*3600</f>
        <v>-1.0971381599999999</v>
      </c>
      <c r="R78">
        <f>0.0008724572*3600</f>
        <v>3.1408459200000003</v>
      </c>
    </row>
    <row r="79" spans="1:18" x14ac:dyDescent="0.3">
      <c r="A79" t="s">
        <v>46</v>
      </c>
      <c r="B79" t="s">
        <v>58</v>
      </c>
      <c r="C79">
        <v>145.647099</v>
      </c>
      <c r="D79">
        <v>299.86576300000002</v>
      </c>
      <c r="E79">
        <v>120.52370000000001</v>
      </c>
      <c r="F79">
        <v>120.501</v>
      </c>
      <c r="G79">
        <v>0.24099999999999999</v>
      </c>
      <c r="H79">
        <v>0.24299999999999999</v>
      </c>
      <c r="I79" t="s">
        <v>0</v>
      </c>
      <c r="J79" t="s">
        <v>49</v>
      </c>
      <c r="K79" t="s">
        <v>50</v>
      </c>
      <c r="L79">
        <v>0</v>
      </c>
      <c r="M79" t="s">
        <v>51</v>
      </c>
      <c r="N79">
        <v>1</v>
      </c>
      <c r="O79" t="s">
        <v>52</v>
      </c>
      <c r="P79" s="2">
        <v>0.42222222222222222</v>
      </c>
      <c r="Q79">
        <f>-0.0000837575*3600</f>
        <v>-0.30152699999999999</v>
      </c>
      <c r="R79">
        <f>-0.0001554476*3600</f>
        <v>-0.55961136</v>
      </c>
    </row>
    <row r="80" spans="1:18" x14ac:dyDescent="0.3">
      <c r="P80" s="2"/>
    </row>
    <row r="81" spans="1:18" x14ac:dyDescent="0.3">
      <c r="A81" t="s">
        <v>0</v>
      </c>
      <c r="B81" t="s">
        <v>39</v>
      </c>
      <c r="C81" t="s">
        <v>40</v>
      </c>
      <c r="D81" t="s">
        <v>41</v>
      </c>
      <c r="E81">
        <v>3</v>
      </c>
    </row>
    <row r="82" spans="1:18" x14ac:dyDescent="0.3">
      <c r="A82" t="s">
        <v>0</v>
      </c>
      <c r="B82" t="s">
        <v>42</v>
      </c>
      <c r="C82" t="s">
        <v>43</v>
      </c>
      <c r="D82">
        <v>-186</v>
      </c>
    </row>
    <row r="83" spans="1:18" x14ac:dyDescent="0.3">
      <c r="A83" t="s">
        <v>0</v>
      </c>
      <c r="B83" t="s">
        <v>42</v>
      </c>
      <c r="C83" t="s">
        <v>44</v>
      </c>
      <c r="D83" t="s">
        <v>43</v>
      </c>
      <c r="E83">
        <v>0.9998136446</v>
      </c>
    </row>
    <row r="87" spans="1:18" x14ac:dyDescent="0.3">
      <c r="A87" t="s">
        <v>45</v>
      </c>
      <c r="B87" t="s">
        <v>56</v>
      </c>
    </row>
    <row r="88" spans="1:18" x14ac:dyDescent="0.3">
      <c r="A88" t="s">
        <v>47</v>
      </c>
      <c r="B88" t="s">
        <v>48</v>
      </c>
      <c r="C88">
        <v>137.16587899999999</v>
      </c>
      <c r="D88">
        <v>99.824331999999998</v>
      </c>
      <c r="E88">
        <v>67.424800000000005</v>
      </c>
      <c r="F88">
        <v>67.411900000000003</v>
      </c>
      <c r="G88">
        <v>0.23799999999999999</v>
      </c>
      <c r="H88">
        <v>0.23300000000000001</v>
      </c>
      <c r="I88" t="s">
        <v>0</v>
      </c>
      <c r="J88" t="s">
        <v>49</v>
      </c>
      <c r="K88" t="s">
        <v>50</v>
      </c>
      <c r="L88">
        <v>0</v>
      </c>
      <c r="M88" t="s">
        <v>51</v>
      </c>
      <c r="N88">
        <v>1</v>
      </c>
      <c r="O88" t="s">
        <v>52</v>
      </c>
      <c r="P88" s="2">
        <v>0.42638888888888887</v>
      </c>
      <c r="Q88">
        <f>-0.0002947287*3600</f>
        <v>-1.0610233199999999</v>
      </c>
      <c r="R88">
        <f>-0.0004069186*3600</f>
        <v>-1.46490696</v>
      </c>
    </row>
    <row r="89" spans="1:18" x14ac:dyDescent="0.3">
      <c r="A89" t="s">
        <v>28</v>
      </c>
      <c r="B89">
        <v>18</v>
      </c>
      <c r="C89" t="s">
        <v>29</v>
      </c>
      <c r="D89" s="3">
        <v>0.6</v>
      </c>
      <c r="E89" t="s">
        <v>30</v>
      </c>
      <c r="F89" t="s">
        <v>31</v>
      </c>
      <c r="G89" t="s">
        <v>32</v>
      </c>
      <c r="H89" t="s">
        <v>33</v>
      </c>
    </row>
    <row r="90" spans="1:18" x14ac:dyDescent="0.3">
      <c r="A90" t="s">
        <v>34</v>
      </c>
      <c r="B90" t="s">
        <v>53</v>
      </c>
      <c r="C90" t="s">
        <v>34</v>
      </c>
      <c r="D90" t="s">
        <v>59</v>
      </c>
    </row>
    <row r="91" spans="1:18" x14ac:dyDescent="0.3">
      <c r="A91" t="s">
        <v>37</v>
      </c>
      <c r="B91" t="s">
        <v>38</v>
      </c>
      <c r="C91">
        <v>0.13</v>
      </c>
    </row>
    <row r="93" spans="1:18" x14ac:dyDescent="0.3">
      <c r="A93" t="s">
        <v>56</v>
      </c>
      <c r="B93" t="s">
        <v>48</v>
      </c>
      <c r="C93">
        <v>137.164693</v>
      </c>
      <c r="D93">
        <v>99.824973999999997</v>
      </c>
      <c r="E93">
        <v>67.424499999999995</v>
      </c>
      <c r="F93">
        <v>67.411600000000007</v>
      </c>
      <c r="G93">
        <v>0.23799999999999999</v>
      </c>
      <c r="H93">
        <v>0.23300000000000001</v>
      </c>
      <c r="I93" t="s">
        <v>0</v>
      </c>
      <c r="J93" t="s">
        <v>49</v>
      </c>
      <c r="K93" t="s">
        <v>50</v>
      </c>
      <c r="L93">
        <v>0</v>
      </c>
      <c r="M93" t="s">
        <v>51</v>
      </c>
      <c r="N93">
        <v>1</v>
      </c>
      <c r="O93" t="s">
        <v>52</v>
      </c>
      <c r="P93" s="2">
        <v>0.42638888888888887</v>
      </c>
      <c r="Q93">
        <f>-0.00029478*3600</f>
        <v>-1.0612080000000002</v>
      </c>
      <c r="R93">
        <f>-0.000486415*3600</f>
        <v>-1.7510940000000002</v>
      </c>
    </row>
    <row r="94" spans="1:18" x14ac:dyDescent="0.3">
      <c r="A94" t="s">
        <v>56</v>
      </c>
      <c r="B94" t="s">
        <v>48</v>
      </c>
      <c r="C94">
        <v>337.16450600000002</v>
      </c>
      <c r="D94">
        <v>300.175298</v>
      </c>
      <c r="E94">
        <v>67.424499999999995</v>
      </c>
      <c r="F94">
        <v>67.411600000000007</v>
      </c>
      <c r="G94">
        <v>0.23799999999999999</v>
      </c>
      <c r="H94">
        <v>0.23300000000000001</v>
      </c>
      <c r="I94" t="s">
        <v>0</v>
      </c>
      <c r="J94" t="s">
        <v>49</v>
      </c>
      <c r="K94" t="s">
        <v>50</v>
      </c>
      <c r="L94">
        <v>0</v>
      </c>
      <c r="M94" t="s">
        <v>51</v>
      </c>
      <c r="N94">
        <v>1</v>
      </c>
      <c r="O94" t="s">
        <v>52</v>
      </c>
      <c r="P94" s="2">
        <v>0.4284722222222222</v>
      </c>
      <c r="Q94">
        <f>-0.0009228171*3600</f>
        <v>-3.3221415599999999</v>
      </c>
      <c r="R94">
        <f>0.0008787975*3600</f>
        <v>3.1636709999999999</v>
      </c>
    </row>
    <row r="95" spans="1:18" x14ac:dyDescent="0.3">
      <c r="A95" t="s">
        <v>56</v>
      </c>
      <c r="B95" t="s">
        <v>48</v>
      </c>
      <c r="C95">
        <v>137.164545</v>
      </c>
      <c r="D95">
        <v>99.824467999999996</v>
      </c>
      <c r="E95">
        <v>67.424700000000001</v>
      </c>
      <c r="F95">
        <v>67.411799999999999</v>
      </c>
      <c r="G95">
        <v>0.23799999999999999</v>
      </c>
      <c r="H95">
        <v>0.23300000000000001</v>
      </c>
      <c r="I95" t="s">
        <v>0</v>
      </c>
      <c r="J95" t="s">
        <v>49</v>
      </c>
      <c r="K95" t="s">
        <v>50</v>
      </c>
      <c r="L95">
        <v>0</v>
      </c>
      <c r="M95" t="s">
        <v>51</v>
      </c>
      <c r="N95">
        <v>1</v>
      </c>
      <c r="O95" t="s">
        <v>52</v>
      </c>
      <c r="P95" s="2">
        <v>0.4284722222222222</v>
      </c>
      <c r="Q95">
        <f>-0.0002293356*3600</f>
        <v>-0.82560815999999992</v>
      </c>
      <c r="R95">
        <f>-0.0006158531*3600</f>
        <v>-2.2170711600000002</v>
      </c>
    </row>
    <row r="96" spans="1:18" x14ac:dyDescent="0.3">
      <c r="A96" t="s">
        <v>56</v>
      </c>
      <c r="B96" t="s">
        <v>48</v>
      </c>
      <c r="C96">
        <v>337.164402</v>
      </c>
      <c r="D96">
        <v>300.175524</v>
      </c>
      <c r="E96">
        <v>67.424499999999995</v>
      </c>
      <c r="F96">
        <v>67.411600000000007</v>
      </c>
      <c r="G96">
        <v>0.23799999999999999</v>
      </c>
      <c r="H96">
        <v>0.23300000000000001</v>
      </c>
      <c r="I96" t="s">
        <v>0</v>
      </c>
      <c r="J96" t="s">
        <v>49</v>
      </c>
      <c r="K96" t="s">
        <v>50</v>
      </c>
      <c r="L96">
        <v>0</v>
      </c>
      <c r="M96" t="s">
        <v>51</v>
      </c>
      <c r="N96">
        <v>1</v>
      </c>
      <c r="O96" t="s">
        <v>52</v>
      </c>
      <c r="P96" s="2">
        <v>0.4291666666666667</v>
      </c>
      <c r="Q96">
        <f>-0.0005906828*3600</f>
        <v>-2.1264580799999999</v>
      </c>
      <c r="R96">
        <f>0.0011692455*3600</f>
        <v>4.2092837999999997</v>
      </c>
    </row>
    <row r="97" spans="1:18" x14ac:dyDescent="0.3">
      <c r="A97" t="s">
        <v>56</v>
      </c>
      <c r="B97" t="s">
        <v>48</v>
      </c>
      <c r="C97">
        <v>137.16530700000001</v>
      </c>
      <c r="D97">
        <v>99.824096999999995</v>
      </c>
      <c r="E97">
        <v>67.424800000000005</v>
      </c>
      <c r="F97">
        <v>67.411900000000003</v>
      </c>
      <c r="G97">
        <v>0.23799999999999999</v>
      </c>
      <c r="H97">
        <v>0.23300000000000001</v>
      </c>
      <c r="I97" t="s">
        <v>0</v>
      </c>
      <c r="J97" t="s">
        <v>49</v>
      </c>
      <c r="K97" t="s">
        <v>50</v>
      </c>
      <c r="L97">
        <v>0</v>
      </c>
      <c r="M97" t="s">
        <v>51</v>
      </c>
      <c r="N97">
        <v>1</v>
      </c>
      <c r="O97" t="s">
        <v>52</v>
      </c>
      <c r="P97" s="2">
        <v>0.4291666666666667</v>
      </c>
      <c r="Q97">
        <f>-0.0002184893*3600</f>
        <v>-0.78656148000000004</v>
      </c>
      <c r="R97">
        <f>-0.0000832383*3600</f>
        <v>-0.29965787999999999</v>
      </c>
    </row>
    <row r="98" spans="1:18" x14ac:dyDescent="0.3">
      <c r="A98" t="s">
        <v>56</v>
      </c>
      <c r="B98" t="s">
        <v>48</v>
      </c>
      <c r="C98">
        <v>337.16444999999999</v>
      </c>
      <c r="D98">
        <v>300.17568899999998</v>
      </c>
      <c r="E98">
        <v>67.424499999999995</v>
      </c>
      <c r="F98">
        <v>67.411600000000007</v>
      </c>
      <c r="G98">
        <v>0.23799999999999999</v>
      </c>
      <c r="H98">
        <v>0.23300000000000001</v>
      </c>
      <c r="I98" t="s">
        <v>0</v>
      </c>
      <c r="J98" t="s">
        <v>49</v>
      </c>
      <c r="K98" t="s">
        <v>50</v>
      </c>
      <c r="L98">
        <v>0</v>
      </c>
      <c r="M98" t="s">
        <v>51</v>
      </c>
      <c r="N98">
        <v>1</v>
      </c>
      <c r="O98" t="s">
        <v>52</v>
      </c>
      <c r="P98" s="2">
        <v>0.42986111111111108</v>
      </c>
      <c r="Q98">
        <f>-0.001013386*3600</f>
        <v>-3.6481896000000003</v>
      </c>
      <c r="R98">
        <f>0.0009022606*3600</f>
        <v>3.2481381599999999</v>
      </c>
    </row>
    <row r="99" spans="1:18" x14ac:dyDescent="0.3">
      <c r="A99" t="s">
        <v>56</v>
      </c>
      <c r="B99" t="s">
        <v>48</v>
      </c>
      <c r="C99">
        <v>137.16507200000001</v>
      </c>
      <c r="D99">
        <v>99.823676000000006</v>
      </c>
      <c r="E99">
        <v>67.424800000000005</v>
      </c>
      <c r="F99">
        <v>67.411900000000003</v>
      </c>
      <c r="G99">
        <v>0.23799999999999999</v>
      </c>
      <c r="H99">
        <v>0.23300000000000001</v>
      </c>
      <c r="I99" t="s">
        <v>0</v>
      </c>
      <c r="J99" t="s">
        <v>49</v>
      </c>
      <c r="K99" t="s">
        <v>50</v>
      </c>
      <c r="L99">
        <v>0</v>
      </c>
      <c r="M99" t="s">
        <v>51</v>
      </c>
      <c r="N99">
        <v>1</v>
      </c>
      <c r="O99" t="s">
        <v>52</v>
      </c>
      <c r="P99" s="2">
        <v>0.42986111111111108</v>
      </c>
      <c r="Q99">
        <f>-0.0002672487*3600</f>
        <v>-0.96209531999999998</v>
      </c>
      <c r="R99">
        <f>-0.0000927868*3600</f>
        <v>-0.33403248000000002</v>
      </c>
    </row>
    <row r="100" spans="1:18" x14ac:dyDescent="0.3">
      <c r="A100" t="s">
        <v>56</v>
      </c>
      <c r="B100" t="s">
        <v>48</v>
      </c>
      <c r="C100">
        <v>337.16425500000003</v>
      </c>
      <c r="D100">
        <v>300.175814</v>
      </c>
      <c r="E100">
        <v>67.424599999999998</v>
      </c>
      <c r="F100">
        <v>67.411699999999996</v>
      </c>
      <c r="G100">
        <v>0.23799999999999999</v>
      </c>
      <c r="H100">
        <v>0.23300000000000001</v>
      </c>
      <c r="I100" t="s">
        <v>0</v>
      </c>
      <c r="J100" t="s">
        <v>49</v>
      </c>
      <c r="K100" t="s">
        <v>50</v>
      </c>
      <c r="L100">
        <v>0</v>
      </c>
      <c r="M100" t="s">
        <v>51</v>
      </c>
      <c r="N100">
        <v>1</v>
      </c>
      <c r="O100" t="s">
        <v>52</v>
      </c>
      <c r="P100" s="2">
        <v>0.43055555555555558</v>
      </c>
      <c r="Q100">
        <f>-0.0010245301*3600</f>
        <v>-3.6883083600000002</v>
      </c>
      <c r="R100">
        <f>0.0008473516*3600</f>
        <v>3.0504657599999998</v>
      </c>
    </row>
    <row r="101" spans="1:18" x14ac:dyDescent="0.3">
      <c r="A101" t="s">
        <v>56</v>
      </c>
      <c r="B101" t="s">
        <v>48</v>
      </c>
      <c r="C101">
        <v>137.16443599999999</v>
      </c>
      <c r="D101">
        <v>99.824365999999998</v>
      </c>
      <c r="E101">
        <v>67.424499999999995</v>
      </c>
      <c r="F101">
        <v>67.411600000000007</v>
      </c>
      <c r="G101">
        <v>0.23799999999999999</v>
      </c>
      <c r="H101">
        <v>0.23300000000000001</v>
      </c>
      <c r="I101" t="s">
        <v>0</v>
      </c>
      <c r="J101" t="s">
        <v>49</v>
      </c>
      <c r="K101" t="s">
        <v>50</v>
      </c>
      <c r="L101">
        <v>0</v>
      </c>
      <c r="M101" t="s">
        <v>51</v>
      </c>
      <c r="N101">
        <v>1</v>
      </c>
      <c r="O101" t="s">
        <v>52</v>
      </c>
      <c r="P101" s="2">
        <v>0.43055555555555558</v>
      </c>
      <c r="Q101">
        <f>-0.0002381773*3600</f>
        <v>-0.85743828</v>
      </c>
      <c r="R101">
        <f>-0.0006430039*3600</f>
        <v>-2.3148140400000004</v>
      </c>
    </row>
    <row r="102" spans="1:18" x14ac:dyDescent="0.3">
      <c r="A102" t="s">
        <v>56</v>
      </c>
      <c r="B102" t="s">
        <v>48</v>
      </c>
      <c r="C102">
        <v>337.16398500000003</v>
      </c>
      <c r="D102">
        <v>300.17541599999998</v>
      </c>
      <c r="E102">
        <v>67.424700000000001</v>
      </c>
      <c r="F102">
        <v>67.411799999999999</v>
      </c>
      <c r="G102">
        <v>0.23799999999999999</v>
      </c>
      <c r="H102">
        <v>0.23300000000000001</v>
      </c>
      <c r="I102" t="s">
        <v>0</v>
      </c>
      <c r="J102" t="s">
        <v>49</v>
      </c>
      <c r="K102" t="s">
        <v>50</v>
      </c>
      <c r="L102">
        <v>0</v>
      </c>
      <c r="M102" t="s">
        <v>51</v>
      </c>
      <c r="N102">
        <v>1</v>
      </c>
      <c r="O102" t="s">
        <v>52</v>
      </c>
      <c r="P102" s="2">
        <v>0.43124999999999997</v>
      </c>
      <c r="Q102">
        <f>-0.0005258128*3600</f>
        <v>-1.8929260800000001</v>
      </c>
      <c r="R102">
        <f>0.0012805274*3600</f>
        <v>4.6098986399999999</v>
      </c>
    </row>
    <row r="103" spans="1:18" x14ac:dyDescent="0.3">
      <c r="A103" t="s">
        <v>56</v>
      </c>
      <c r="B103" t="s">
        <v>55</v>
      </c>
      <c r="C103">
        <v>138.67409599999999</v>
      </c>
      <c r="D103">
        <v>99.888784999999999</v>
      </c>
      <c r="E103">
        <v>55.500399999999999</v>
      </c>
      <c r="F103">
        <v>55.49</v>
      </c>
      <c r="G103">
        <v>0.23799999999999999</v>
      </c>
      <c r="H103">
        <v>0.24199999999999999</v>
      </c>
      <c r="I103" t="s">
        <v>0</v>
      </c>
      <c r="J103" t="s">
        <v>49</v>
      </c>
      <c r="K103" t="s">
        <v>50</v>
      </c>
      <c r="L103">
        <v>0</v>
      </c>
      <c r="M103" t="s">
        <v>51</v>
      </c>
      <c r="N103">
        <v>1</v>
      </c>
      <c r="O103" t="s">
        <v>52</v>
      </c>
      <c r="P103" s="2">
        <v>0.42708333333333331</v>
      </c>
      <c r="Q103">
        <f>-0.0002653412*3600</f>
        <v>-0.95522832000000002</v>
      </c>
      <c r="R103">
        <f>-0.000403345*3600</f>
        <v>-1.4520420000000001</v>
      </c>
    </row>
    <row r="104" spans="1:18" x14ac:dyDescent="0.3">
      <c r="A104" t="s">
        <v>56</v>
      </c>
      <c r="B104" t="s">
        <v>55</v>
      </c>
      <c r="C104">
        <v>338.67300499999999</v>
      </c>
      <c r="D104">
        <v>300.11053800000002</v>
      </c>
      <c r="E104">
        <v>55.500399999999999</v>
      </c>
      <c r="F104">
        <v>55.49</v>
      </c>
      <c r="G104">
        <v>0.23799999999999999</v>
      </c>
      <c r="H104">
        <v>0.24199999999999999</v>
      </c>
      <c r="I104" t="s">
        <v>0</v>
      </c>
      <c r="J104" t="s">
        <v>49</v>
      </c>
      <c r="K104" t="s">
        <v>50</v>
      </c>
      <c r="L104">
        <v>0</v>
      </c>
      <c r="M104" t="s">
        <v>51</v>
      </c>
      <c r="N104">
        <v>1</v>
      </c>
      <c r="O104" t="s">
        <v>52</v>
      </c>
      <c r="P104" s="2">
        <v>0.4284722222222222</v>
      </c>
      <c r="Q104">
        <f>-0.0008531965*3600</f>
        <v>-3.0715074000000002</v>
      </c>
      <c r="R104">
        <f>0.000911835*3600</f>
        <v>3.2826059999999999</v>
      </c>
    </row>
    <row r="105" spans="1:18" x14ac:dyDescent="0.3">
      <c r="A105" t="s">
        <v>56</v>
      </c>
      <c r="B105" t="s">
        <v>55</v>
      </c>
      <c r="C105">
        <v>138.67372</v>
      </c>
      <c r="D105">
        <v>99.888857999999999</v>
      </c>
      <c r="E105">
        <v>55.500500000000002</v>
      </c>
      <c r="F105">
        <v>55.490099999999998</v>
      </c>
      <c r="G105">
        <v>0.23799999999999999</v>
      </c>
      <c r="H105">
        <v>0.24199999999999999</v>
      </c>
      <c r="I105" t="s">
        <v>0</v>
      </c>
      <c r="J105" t="s">
        <v>49</v>
      </c>
      <c r="K105" t="s">
        <v>50</v>
      </c>
      <c r="L105">
        <v>0</v>
      </c>
      <c r="M105" t="s">
        <v>51</v>
      </c>
      <c r="N105">
        <v>1</v>
      </c>
      <c r="O105" t="s">
        <v>52</v>
      </c>
      <c r="P105" s="2">
        <v>0.4284722222222222</v>
      </c>
      <c r="Q105">
        <f>-0.0001876935*3600</f>
        <v>-0.67569659999999998</v>
      </c>
      <c r="R105">
        <f>-0.0005800149*3600</f>
        <v>-2.08805364</v>
      </c>
    </row>
    <row r="106" spans="1:18" x14ac:dyDescent="0.3">
      <c r="A106" t="s">
        <v>56</v>
      </c>
      <c r="B106" t="s">
        <v>55</v>
      </c>
      <c r="C106">
        <v>338.67319199999997</v>
      </c>
      <c r="D106">
        <v>300.11080800000002</v>
      </c>
      <c r="E106">
        <v>55.5002</v>
      </c>
      <c r="F106">
        <v>55.489800000000002</v>
      </c>
      <c r="G106">
        <v>0.23799999999999999</v>
      </c>
      <c r="H106">
        <v>0.24199999999999999</v>
      </c>
      <c r="I106" t="s">
        <v>0</v>
      </c>
      <c r="J106" t="s">
        <v>49</v>
      </c>
      <c r="K106" t="s">
        <v>50</v>
      </c>
      <c r="L106">
        <v>0</v>
      </c>
      <c r="M106" t="s">
        <v>51</v>
      </c>
      <c r="N106">
        <v>1</v>
      </c>
      <c r="O106" t="s">
        <v>52</v>
      </c>
      <c r="P106" s="2">
        <v>0.4291666666666667</v>
      </c>
      <c r="Q106">
        <f>-0.0005626277*3600</f>
        <v>-2.0254597200000002</v>
      </c>
      <c r="R106">
        <f>0.0011734244*3600</f>
        <v>4.2243278399999999</v>
      </c>
    </row>
    <row r="107" spans="1:18" x14ac:dyDescent="0.3">
      <c r="A107" t="s">
        <v>56</v>
      </c>
      <c r="B107" t="s">
        <v>55</v>
      </c>
      <c r="C107">
        <v>138.67411899999999</v>
      </c>
      <c r="D107">
        <v>99.888493999999994</v>
      </c>
      <c r="E107">
        <v>55.500399999999999</v>
      </c>
      <c r="F107">
        <v>55.49</v>
      </c>
      <c r="G107">
        <v>0.23799999999999999</v>
      </c>
      <c r="H107">
        <v>0.24199999999999999</v>
      </c>
      <c r="I107" t="s">
        <v>0</v>
      </c>
      <c r="J107" t="s">
        <v>49</v>
      </c>
      <c r="K107" t="s">
        <v>50</v>
      </c>
      <c r="L107">
        <v>0</v>
      </c>
      <c r="M107" t="s">
        <v>51</v>
      </c>
      <c r="N107">
        <v>1</v>
      </c>
      <c r="O107" t="s">
        <v>52</v>
      </c>
      <c r="P107" s="2">
        <v>0.4291666666666667</v>
      </c>
      <c r="Q107">
        <f>-0.000247257*3600</f>
        <v>-0.89012520000000006</v>
      </c>
      <c r="R107">
        <f>-0.0000917901*3600</f>
        <v>-0.33044435999999999</v>
      </c>
    </row>
    <row r="108" spans="1:18" x14ac:dyDescent="0.3">
      <c r="A108" t="s">
        <v>56</v>
      </c>
      <c r="B108" t="s">
        <v>55</v>
      </c>
      <c r="C108">
        <v>338.672912</v>
      </c>
      <c r="D108">
        <v>300.11062399999997</v>
      </c>
      <c r="E108">
        <v>55.5002</v>
      </c>
      <c r="F108">
        <v>55.489800000000002</v>
      </c>
      <c r="G108">
        <v>0.23799999999999999</v>
      </c>
      <c r="H108">
        <v>0.24199999999999999</v>
      </c>
      <c r="I108" t="s">
        <v>0</v>
      </c>
      <c r="J108" t="s">
        <v>49</v>
      </c>
      <c r="K108" t="s">
        <v>50</v>
      </c>
      <c r="L108">
        <v>0</v>
      </c>
      <c r="M108" t="s">
        <v>51</v>
      </c>
      <c r="N108">
        <v>1</v>
      </c>
      <c r="O108" t="s">
        <v>52</v>
      </c>
      <c r="P108" s="2">
        <v>0.42986111111111108</v>
      </c>
      <c r="Q108">
        <f>-0.0011142371*3600</f>
        <v>-4.0112535600000001</v>
      </c>
      <c r="R108">
        <f>0.0007821862*3600</f>
        <v>2.8158703200000001</v>
      </c>
    </row>
    <row r="109" spans="1:18" x14ac:dyDescent="0.3">
      <c r="A109" t="s">
        <v>56</v>
      </c>
      <c r="B109" t="s">
        <v>55</v>
      </c>
      <c r="C109">
        <v>138.673745</v>
      </c>
      <c r="D109">
        <v>99.888326000000006</v>
      </c>
      <c r="E109">
        <v>55.500500000000002</v>
      </c>
      <c r="F109">
        <v>55.490099999999998</v>
      </c>
      <c r="G109">
        <v>0.23799999999999999</v>
      </c>
      <c r="H109">
        <v>0.24199999999999999</v>
      </c>
      <c r="I109" t="s">
        <v>0</v>
      </c>
      <c r="J109" t="s">
        <v>49</v>
      </c>
      <c r="K109" t="s">
        <v>50</v>
      </c>
      <c r="L109">
        <v>0</v>
      </c>
      <c r="M109" t="s">
        <v>51</v>
      </c>
      <c r="N109">
        <v>1</v>
      </c>
      <c r="O109" t="s">
        <v>52</v>
      </c>
      <c r="P109" s="2">
        <v>0.42986111111111108</v>
      </c>
      <c r="Q109">
        <f>-0.0002235201*3600</f>
        <v>-0.80467235999999998</v>
      </c>
      <c r="R109">
        <f>-0.0001596161*3600</f>
        <v>-0.57461795999999998</v>
      </c>
    </row>
    <row r="110" spans="1:18" x14ac:dyDescent="0.3">
      <c r="A110" t="s">
        <v>56</v>
      </c>
      <c r="B110" t="s">
        <v>55</v>
      </c>
      <c r="C110">
        <v>338.67307299999999</v>
      </c>
      <c r="D110">
        <v>300.11074200000002</v>
      </c>
      <c r="E110">
        <v>55.500399999999999</v>
      </c>
      <c r="F110">
        <v>55.49</v>
      </c>
      <c r="G110">
        <v>0.23799999999999999</v>
      </c>
      <c r="H110">
        <v>0.24199999999999999</v>
      </c>
      <c r="I110" t="s">
        <v>0</v>
      </c>
      <c r="J110" t="s">
        <v>49</v>
      </c>
      <c r="K110" t="s">
        <v>50</v>
      </c>
      <c r="L110">
        <v>0</v>
      </c>
      <c r="M110" t="s">
        <v>51</v>
      </c>
      <c r="N110">
        <v>1</v>
      </c>
      <c r="O110" t="s">
        <v>52</v>
      </c>
      <c r="P110" s="2">
        <v>0.43055555555555558</v>
      </c>
      <c r="Q110">
        <f>-0.0011748388*3600</f>
        <v>-4.2294196799999995</v>
      </c>
      <c r="R110">
        <f>0.0008589154*3600</f>
        <v>3.09209544</v>
      </c>
    </row>
    <row r="111" spans="1:18" x14ac:dyDescent="0.3">
      <c r="A111" t="s">
        <v>56</v>
      </c>
      <c r="B111" t="s">
        <v>55</v>
      </c>
      <c r="C111">
        <v>138.67375000000001</v>
      </c>
      <c r="D111">
        <v>99.888582</v>
      </c>
      <c r="E111">
        <v>55.500399999999999</v>
      </c>
      <c r="F111">
        <v>55.49</v>
      </c>
      <c r="G111">
        <v>0.23799999999999999</v>
      </c>
      <c r="H111">
        <v>0.24199999999999999</v>
      </c>
      <c r="I111" t="s">
        <v>0</v>
      </c>
      <c r="J111" t="s">
        <v>49</v>
      </c>
      <c r="K111" t="s">
        <v>50</v>
      </c>
      <c r="L111">
        <v>0</v>
      </c>
      <c r="M111" t="s">
        <v>51</v>
      </c>
      <c r="N111">
        <v>1</v>
      </c>
      <c r="O111" t="s">
        <v>52</v>
      </c>
      <c r="P111" s="2">
        <v>0.43124999999999997</v>
      </c>
      <c r="Q111">
        <f>-0.0002864189*3600</f>
        <v>-1.0311080400000001</v>
      </c>
      <c r="R111">
        <f>-0.0006995665*3600</f>
        <v>-2.5184394000000001</v>
      </c>
    </row>
    <row r="112" spans="1:18" x14ac:dyDescent="0.3">
      <c r="A112" t="s">
        <v>56</v>
      </c>
      <c r="B112" t="s">
        <v>55</v>
      </c>
      <c r="C112">
        <v>338.67296800000003</v>
      </c>
      <c r="D112">
        <v>300.11076200000002</v>
      </c>
      <c r="E112">
        <v>55.500500000000002</v>
      </c>
      <c r="F112">
        <v>55.490099999999998</v>
      </c>
      <c r="G112">
        <v>0.23799999999999999</v>
      </c>
      <c r="H112">
        <v>0.24199999999999999</v>
      </c>
      <c r="I112" t="s">
        <v>0</v>
      </c>
      <c r="J112" t="s">
        <v>49</v>
      </c>
      <c r="K112" t="s">
        <v>50</v>
      </c>
      <c r="L112">
        <v>0</v>
      </c>
      <c r="M112" t="s">
        <v>51</v>
      </c>
      <c r="N112">
        <v>1</v>
      </c>
      <c r="O112" t="s">
        <v>52</v>
      </c>
      <c r="P112" s="2">
        <v>0.43124999999999997</v>
      </c>
      <c r="Q112">
        <f>-0.0005734595*3600</f>
        <v>-2.0644541999999997</v>
      </c>
      <c r="R112">
        <f>0.001157591*3600</f>
        <v>4.1673276000000001</v>
      </c>
    </row>
    <row r="113" spans="1:18" x14ac:dyDescent="0.3">
      <c r="A113" t="s">
        <v>56</v>
      </c>
      <c r="B113" t="s">
        <v>46</v>
      </c>
      <c r="C113">
        <v>144.010785</v>
      </c>
      <c r="D113">
        <v>99.748486</v>
      </c>
      <c r="E113">
        <v>12.140499999999999</v>
      </c>
      <c r="F113">
        <v>12.138199999999999</v>
      </c>
      <c r="G113">
        <v>0.23799999999999999</v>
      </c>
      <c r="H113">
        <v>0.24099999999999999</v>
      </c>
      <c r="I113" t="s">
        <v>0</v>
      </c>
      <c r="J113" t="s">
        <v>49</v>
      </c>
      <c r="K113" t="s">
        <v>50</v>
      </c>
      <c r="L113">
        <v>0</v>
      </c>
      <c r="M113" t="s">
        <v>51</v>
      </c>
      <c r="N113">
        <v>1</v>
      </c>
      <c r="O113" t="s">
        <v>52</v>
      </c>
      <c r="P113" s="2">
        <v>0.42708333333333331</v>
      </c>
      <c r="Q113">
        <f>-0.0001578203*3600</f>
        <v>-0.56815307999999998</v>
      </c>
      <c r="R113">
        <f>-0.000488033*3600</f>
        <v>-1.7569188</v>
      </c>
    </row>
    <row r="114" spans="1:18" x14ac:dyDescent="0.3">
      <c r="A114" t="s">
        <v>56</v>
      </c>
      <c r="B114" t="s">
        <v>46</v>
      </c>
      <c r="C114">
        <v>344.00964599999998</v>
      </c>
      <c r="D114">
        <v>300.24884500000002</v>
      </c>
      <c r="E114">
        <v>12.1403</v>
      </c>
      <c r="F114">
        <v>12.138</v>
      </c>
      <c r="G114">
        <v>0.23799999999999999</v>
      </c>
      <c r="H114">
        <v>0.24099999999999999</v>
      </c>
      <c r="I114" t="s">
        <v>0</v>
      </c>
      <c r="J114" t="s">
        <v>49</v>
      </c>
      <c r="K114" t="s">
        <v>50</v>
      </c>
      <c r="L114">
        <v>0</v>
      </c>
      <c r="M114" t="s">
        <v>51</v>
      </c>
      <c r="N114">
        <v>1</v>
      </c>
      <c r="O114" t="s">
        <v>52</v>
      </c>
      <c r="P114" s="2">
        <v>0.4284722222222222</v>
      </c>
      <c r="Q114">
        <f>-0.0010562862*3600</f>
        <v>-3.8026303200000005</v>
      </c>
      <c r="R114">
        <f>0.0008963329*3600</f>
        <v>3.22679844</v>
      </c>
    </row>
    <row r="115" spans="1:18" x14ac:dyDescent="0.3">
      <c r="A115" t="s">
        <v>56</v>
      </c>
      <c r="B115" t="s">
        <v>46</v>
      </c>
      <c r="C115">
        <v>144.01082600000001</v>
      </c>
      <c r="D115">
        <v>99.748200999999995</v>
      </c>
      <c r="E115">
        <v>12.140499999999999</v>
      </c>
      <c r="F115">
        <v>12.138199999999999</v>
      </c>
      <c r="G115">
        <v>0.23799999999999999</v>
      </c>
      <c r="H115">
        <v>0.24099999999999999</v>
      </c>
      <c r="I115" t="s">
        <v>0</v>
      </c>
      <c r="J115" t="s">
        <v>49</v>
      </c>
      <c r="K115" t="s">
        <v>50</v>
      </c>
      <c r="L115">
        <v>0</v>
      </c>
      <c r="M115" t="s">
        <v>51</v>
      </c>
      <c r="N115">
        <v>1</v>
      </c>
      <c r="O115" t="s">
        <v>52</v>
      </c>
      <c r="P115" s="2">
        <v>0.4284722222222222</v>
      </c>
      <c r="Q115">
        <f>-0.0003135007*3600</f>
        <v>-1.1286025200000001</v>
      </c>
      <c r="R115">
        <f>-0.0005280844*3600</f>
        <v>-1.90110384</v>
      </c>
    </row>
    <row r="116" spans="1:18" x14ac:dyDescent="0.3">
      <c r="A116" t="s">
        <v>56</v>
      </c>
      <c r="B116" t="s">
        <v>46</v>
      </c>
      <c r="C116">
        <v>344.00968999999998</v>
      </c>
      <c r="D116">
        <v>300.249033</v>
      </c>
      <c r="E116">
        <v>12.1403</v>
      </c>
      <c r="F116">
        <v>12.138</v>
      </c>
      <c r="G116">
        <v>0.23799999999999999</v>
      </c>
      <c r="H116">
        <v>0.24099999999999999</v>
      </c>
      <c r="I116" t="s">
        <v>0</v>
      </c>
      <c r="J116" t="s">
        <v>49</v>
      </c>
      <c r="K116" t="s">
        <v>50</v>
      </c>
      <c r="L116">
        <v>0</v>
      </c>
      <c r="M116" t="s">
        <v>51</v>
      </c>
      <c r="N116">
        <v>1</v>
      </c>
      <c r="O116" t="s">
        <v>52</v>
      </c>
      <c r="P116" s="2">
        <v>0.4291666666666667</v>
      </c>
      <c r="Q116">
        <f>-0.0007132776*3600</f>
        <v>-2.56779936</v>
      </c>
      <c r="R116">
        <f>0.0011541661*3600</f>
        <v>4.1549979599999993</v>
      </c>
    </row>
    <row r="117" spans="1:18" x14ac:dyDescent="0.3">
      <c r="A117" t="s">
        <v>56</v>
      </c>
      <c r="B117" t="s">
        <v>46</v>
      </c>
      <c r="C117">
        <v>144.01073</v>
      </c>
      <c r="D117">
        <v>99.748183999999995</v>
      </c>
      <c r="E117">
        <v>12.1404</v>
      </c>
      <c r="F117">
        <v>12.1381</v>
      </c>
      <c r="G117">
        <v>0.23799999999999999</v>
      </c>
      <c r="H117">
        <v>0.24099999999999999</v>
      </c>
      <c r="I117" t="s">
        <v>0</v>
      </c>
      <c r="J117" t="s">
        <v>49</v>
      </c>
      <c r="K117" t="s">
        <v>50</v>
      </c>
      <c r="L117">
        <v>0</v>
      </c>
      <c r="M117" t="s">
        <v>51</v>
      </c>
      <c r="N117">
        <v>1</v>
      </c>
      <c r="O117" t="s">
        <v>52</v>
      </c>
      <c r="P117" s="2">
        <v>0.4291666666666667</v>
      </c>
      <c r="Q117">
        <f>-0.0002050383*3600</f>
        <v>-0.73813788000000002</v>
      </c>
      <c r="R117">
        <f>0.000056892*3600</f>
        <v>0.2048112</v>
      </c>
    </row>
    <row r="118" spans="1:18" x14ac:dyDescent="0.3">
      <c r="A118" t="s">
        <v>56</v>
      </c>
      <c r="B118" t="s">
        <v>46</v>
      </c>
      <c r="C118">
        <v>344.00974500000001</v>
      </c>
      <c r="D118">
        <v>300.24896799999999</v>
      </c>
      <c r="E118">
        <v>12.1403</v>
      </c>
      <c r="F118">
        <v>12.138</v>
      </c>
      <c r="G118">
        <v>0.23799999999999999</v>
      </c>
      <c r="H118">
        <v>0.24099999999999999</v>
      </c>
      <c r="I118" t="s">
        <v>0</v>
      </c>
      <c r="J118" t="s">
        <v>49</v>
      </c>
      <c r="K118" t="s">
        <v>50</v>
      </c>
      <c r="L118">
        <v>0</v>
      </c>
      <c r="M118" t="s">
        <v>51</v>
      </c>
      <c r="N118">
        <v>1</v>
      </c>
      <c r="O118" t="s">
        <v>52</v>
      </c>
      <c r="P118" s="2">
        <v>0.42986111111111108</v>
      </c>
      <c r="Q118">
        <f>-0.0010980389*3600</f>
        <v>-3.9529400400000001</v>
      </c>
      <c r="R118">
        <f>0.0008648444*3600</f>
        <v>3.1134398399999998</v>
      </c>
    </row>
    <row r="119" spans="1:18" x14ac:dyDescent="0.3">
      <c r="A119" t="s">
        <v>56</v>
      </c>
      <c r="B119" t="s">
        <v>46</v>
      </c>
      <c r="C119">
        <v>144.010728</v>
      </c>
      <c r="D119">
        <v>99.748188999999996</v>
      </c>
      <c r="E119">
        <v>12.140499999999999</v>
      </c>
      <c r="F119">
        <v>12.138199999999999</v>
      </c>
      <c r="G119">
        <v>0.23799999999999999</v>
      </c>
      <c r="H119">
        <v>0.24099999999999999</v>
      </c>
      <c r="I119" t="s">
        <v>0</v>
      </c>
      <c r="J119" t="s">
        <v>49</v>
      </c>
      <c r="K119" t="s">
        <v>50</v>
      </c>
      <c r="L119">
        <v>0</v>
      </c>
      <c r="M119" t="s">
        <v>51</v>
      </c>
      <c r="N119">
        <v>1</v>
      </c>
      <c r="O119" t="s">
        <v>52</v>
      </c>
      <c r="P119" s="2">
        <v>0.42986111111111108</v>
      </c>
      <c r="Q119">
        <f>-0.0001845892*3600</f>
        <v>-0.66452111999999997</v>
      </c>
      <c r="R119">
        <f>0.0001169365*3600</f>
        <v>0.4209714</v>
      </c>
    </row>
    <row r="120" spans="1:18" x14ac:dyDescent="0.3">
      <c r="A120" t="s">
        <v>56</v>
      </c>
      <c r="B120" t="s">
        <v>46</v>
      </c>
      <c r="C120">
        <v>344.01001500000001</v>
      </c>
      <c r="D120">
        <v>300.24900500000001</v>
      </c>
      <c r="E120">
        <v>12.1404</v>
      </c>
      <c r="F120">
        <v>12.1381</v>
      </c>
      <c r="G120">
        <v>0.23799999999999999</v>
      </c>
      <c r="H120">
        <v>0.24099999999999999</v>
      </c>
      <c r="I120" t="s">
        <v>0</v>
      </c>
      <c r="J120" t="s">
        <v>49</v>
      </c>
      <c r="K120" t="s">
        <v>50</v>
      </c>
      <c r="L120">
        <v>0</v>
      </c>
      <c r="M120" t="s">
        <v>51</v>
      </c>
      <c r="N120">
        <v>1</v>
      </c>
      <c r="O120" t="s">
        <v>52</v>
      </c>
      <c r="P120" s="2">
        <v>0.43055555555555558</v>
      </c>
      <c r="Q120">
        <f>-0.0010621458*3600</f>
        <v>-3.8237248800000003</v>
      </c>
      <c r="R120">
        <f>0.0008830259*3600</f>
        <v>3.1788932400000003</v>
      </c>
    </row>
    <row r="121" spans="1:18" x14ac:dyDescent="0.3">
      <c r="A121" t="s">
        <v>56</v>
      </c>
      <c r="B121" t="s">
        <v>46</v>
      </c>
      <c r="C121">
        <v>144.011031</v>
      </c>
      <c r="D121">
        <v>99.748052000000001</v>
      </c>
      <c r="E121">
        <v>12.1402</v>
      </c>
      <c r="F121">
        <v>12.1379</v>
      </c>
      <c r="G121">
        <v>0.23799999999999999</v>
      </c>
      <c r="H121">
        <v>0.24099999999999999</v>
      </c>
      <c r="I121" t="s">
        <v>0</v>
      </c>
      <c r="J121" t="s">
        <v>49</v>
      </c>
      <c r="K121" t="s">
        <v>50</v>
      </c>
      <c r="L121">
        <v>0</v>
      </c>
      <c r="M121" t="s">
        <v>51</v>
      </c>
      <c r="N121">
        <v>1</v>
      </c>
      <c r="O121" t="s">
        <v>52</v>
      </c>
      <c r="P121" s="2">
        <v>0.43124999999999997</v>
      </c>
      <c r="Q121">
        <f>-0.0000971155*3600</f>
        <v>-0.34961580000000003</v>
      </c>
      <c r="R121">
        <f>-0.0004537311*3600</f>
        <v>-1.63343196</v>
      </c>
    </row>
    <row r="122" spans="1:18" x14ac:dyDescent="0.3">
      <c r="A122" t="s">
        <v>56</v>
      </c>
      <c r="B122" t="s">
        <v>46</v>
      </c>
      <c r="C122">
        <v>344.00981200000001</v>
      </c>
      <c r="D122">
        <v>300.24885399999999</v>
      </c>
      <c r="E122">
        <v>12.1404</v>
      </c>
      <c r="F122">
        <v>12.1381</v>
      </c>
      <c r="G122">
        <v>0.23799999999999999</v>
      </c>
      <c r="H122">
        <v>0.24099999999999999</v>
      </c>
      <c r="I122" t="s">
        <v>0</v>
      </c>
      <c r="J122" t="s">
        <v>49</v>
      </c>
      <c r="K122" t="s">
        <v>50</v>
      </c>
      <c r="L122">
        <v>0</v>
      </c>
      <c r="M122" t="s">
        <v>51</v>
      </c>
      <c r="N122">
        <v>1</v>
      </c>
      <c r="O122" t="s">
        <v>52</v>
      </c>
      <c r="P122" s="2">
        <v>0.43124999999999997</v>
      </c>
      <c r="Q122">
        <f>-0.0005874728*3600</f>
        <v>-2.1149020799999998</v>
      </c>
      <c r="R122">
        <f>0.0011476358*3600</f>
        <v>4.13148888</v>
      </c>
    </row>
    <row r="123" spans="1:18" x14ac:dyDescent="0.3">
      <c r="A123" t="s">
        <v>56</v>
      </c>
      <c r="B123" t="s">
        <v>57</v>
      </c>
      <c r="C123">
        <v>346.628942</v>
      </c>
      <c r="D123">
        <v>100.16372800000001</v>
      </c>
      <c r="E123">
        <v>96.238500000000002</v>
      </c>
      <c r="F123">
        <v>96.220299999999995</v>
      </c>
      <c r="G123">
        <v>0.23799999999999999</v>
      </c>
      <c r="H123">
        <v>0.24199999999999999</v>
      </c>
      <c r="I123" t="s">
        <v>0</v>
      </c>
      <c r="J123" t="s">
        <v>49</v>
      </c>
      <c r="K123" t="s">
        <v>50</v>
      </c>
      <c r="L123">
        <v>0</v>
      </c>
      <c r="M123" t="s">
        <v>51</v>
      </c>
      <c r="N123">
        <v>1</v>
      </c>
      <c r="O123" t="s">
        <v>52</v>
      </c>
      <c r="P123" s="2">
        <v>0.42777777777777781</v>
      </c>
      <c r="Q123">
        <f>-0.0006151988*3600</f>
        <v>-2.2147156799999999</v>
      </c>
      <c r="R123">
        <f>0.0010629367*3600</f>
        <v>3.8265721200000002</v>
      </c>
    </row>
    <row r="124" spans="1:18" x14ac:dyDescent="0.3">
      <c r="A124" t="s">
        <v>56</v>
      </c>
      <c r="B124" t="s">
        <v>57</v>
      </c>
      <c r="C124">
        <v>146.62860699999999</v>
      </c>
      <c r="D124">
        <v>299.836815</v>
      </c>
      <c r="E124">
        <v>96.238399999999999</v>
      </c>
      <c r="F124">
        <v>96.220200000000006</v>
      </c>
      <c r="G124">
        <v>0.23799999999999999</v>
      </c>
      <c r="H124">
        <v>0.24199999999999999</v>
      </c>
      <c r="I124" t="s">
        <v>0</v>
      </c>
      <c r="J124" t="s">
        <v>49</v>
      </c>
      <c r="K124" t="s">
        <v>50</v>
      </c>
      <c r="L124">
        <v>0</v>
      </c>
      <c r="M124" t="s">
        <v>51</v>
      </c>
      <c r="N124">
        <v>1</v>
      </c>
      <c r="O124" t="s">
        <v>52</v>
      </c>
      <c r="P124" s="2">
        <v>0.4284722222222222</v>
      </c>
      <c r="Q124">
        <f>0.0000405668*3600</f>
        <v>0.14604048</v>
      </c>
      <c r="R124">
        <f>-0.0001070794*3600</f>
        <v>-0.38548583999999997</v>
      </c>
    </row>
    <row r="125" spans="1:18" x14ac:dyDescent="0.3">
      <c r="A125" t="s">
        <v>56</v>
      </c>
      <c r="B125" t="s">
        <v>57</v>
      </c>
      <c r="C125">
        <v>346.62919399999998</v>
      </c>
      <c r="D125">
        <v>100.163571</v>
      </c>
      <c r="E125">
        <v>96.238399999999999</v>
      </c>
      <c r="F125">
        <v>96.220200000000006</v>
      </c>
      <c r="G125">
        <v>0.23799999999999999</v>
      </c>
      <c r="H125">
        <v>0.24199999999999999</v>
      </c>
      <c r="I125" t="s">
        <v>0</v>
      </c>
      <c r="J125" t="s">
        <v>49</v>
      </c>
      <c r="K125" t="s">
        <v>50</v>
      </c>
      <c r="L125">
        <v>0</v>
      </c>
      <c r="M125" t="s">
        <v>51</v>
      </c>
      <c r="N125">
        <v>1</v>
      </c>
      <c r="O125" t="s">
        <v>52</v>
      </c>
      <c r="P125" s="2">
        <v>0.4284722222222222</v>
      </c>
      <c r="Q125">
        <f>-0.001124882*3600</f>
        <v>-4.0495751999999996</v>
      </c>
      <c r="R125">
        <f>0.0009176441*3600</f>
        <v>3.3035187600000002</v>
      </c>
    </row>
    <row r="126" spans="1:18" x14ac:dyDescent="0.3">
      <c r="A126" t="s">
        <v>56</v>
      </c>
      <c r="B126" t="s">
        <v>57</v>
      </c>
      <c r="C126">
        <v>146.62883099999999</v>
      </c>
      <c r="D126">
        <v>299.83711099999999</v>
      </c>
      <c r="E126">
        <v>96.238699999999994</v>
      </c>
      <c r="F126">
        <v>96.220500000000001</v>
      </c>
      <c r="G126">
        <v>0.23799999999999999</v>
      </c>
      <c r="H126">
        <v>0.24199999999999999</v>
      </c>
      <c r="I126" t="s">
        <v>0</v>
      </c>
      <c r="J126" t="s">
        <v>49</v>
      </c>
      <c r="K126" t="s">
        <v>50</v>
      </c>
      <c r="L126">
        <v>0</v>
      </c>
      <c r="M126" t="s">
        <v>51</v>
      </c>
      <c r="N126">
        <v>1</v>
      </c>
      <c r="O126" t="s">
        <v>52</v>
      </c>
      <c r="P126" s="2">
        <v>0.4291666666666667</v>
      </c>
      <c r="Q126">
        <f>-0.0001770392*3600</f>
        <v>-0.63734111999999998</v>
      </c>
      <c r="R126">
        <f>-0.0005430069*3600</f>
        <v>-1.9548248400000001</v>
      </c>
    </row>
    <row r="127" spans="1:18" x14ac:dyDescent="0.3">
      <c r="A127" t="s">
        <v>56</v>
      </c>
      <c r="B127" t="s">
        <v>57</v>
      </c>
      <c r="C127">
        <v>346.629187</v>
      </c>
      <c r="D127">
        <v>100.163589</v>
      </c>
      <c r="E127">
        <v>96.238600000000005</v>
      </c>
      <c r="F127">
        <v>96.220399999999998</v>
      </c>
      <c r="G127">
        <v>0.23799999999999999</v>
      </c>
      <c r="H127">
        <v>0.24199999999999999</v>
      </c>
      <c r="I127" t="s">
        <v>0</v>
      </c>
      <c r="J127" t="s">
        <v>49</v>
      </c>
      <c r="K127" t="s">
        <v>50</v>
      </c>
      <c r="L127">
        <v>0</v>
      </c>
      <c r="M127" t="s">
        <v>51</v>
      </c>
      <c r="N127">
        <v>1</v>
      </c>
      <c r="O127" t="s">
        <v>52</v>
      </c>
      <c r="P127" s="2">
        <v>0.42986111111111108</v>
      </c>
      <c r="Q127">
        <f>-0.0006901565*3600</f>
        <v>-2.4845633999999999</v>
      </c>
      <c r="R127">
        <f>0.0011964857*3600</f>
        <v>4.3073485199999997</v>
      </c>
    </row>
    <row r="128" spans="1:18" x14ac:dyDescent="0.3">
      <c r="A128" t="s">
        <v>56</v>
      </c>
      <c r="B128" t="s">
        <v>57</v>
      </c>
      <c r="C128">
        <v>146.62872899999999</v>
      </c>
      <c r="D128">
        <v>299.83712600000001</v>
      </c>
      <c r="E128">
        <v>96.238399999999999</v>
      </c>
      <c r="F128">
        <v>96.220200000000006</v>
      </c>
      <c r="G128">
        <v>0.23799999999999999</v>
      </c>
      <c r="H128">
        <v>0.24199999999999999</v>
      </c>
      <c r="I128" t="s">
        <v>0</v>
      </c>
      <c r="J128" t="s">
        <v>49</v>
      </c>
      <c r="K128" t="s">
        <v>50</v>
      </c>
      <c r="L128">
        <v>0</v>
      </c>
      <c r="M128" t="s">
        <v>51</v>
      </c>
      <c r="N128">
        <v>1</v>
      </c>
      <c r="O128" t="s">
        <v>52</v>
      </c>
      <c r="P128" s="2">
        <v>0.42986111111111108</v>
      </c>
      <c r="Q128">
        <f>-0.0001640661*3600</f>
        <v>-0.59063796000000002</v>
      </c>
      <c r="R128">
        <f>-0.00010722*3600</f>
        <v>-0.385992</v>
      </c>
    </row>
    <row r="129" spans="1:18" x14ac:dyDescent="0.3">
      <c r="A129" t="s">
        <v>56</v>
      </c>
      <c r="B129" t="s">
        <v>57</v>
      </c>
      <c r="C129">
        <v>346.62935099999999</v>
      </c>
      <c r="D129">
        <v>100.163335</v>
      </c>
      <c r="E129">
        <v>96.238500000000002</v>
      </c>
      <c r="F129">
        <v>96.220299999999995</v>
      </c>
      <c r="G129">
        <v>0.23799999999999999</v>
      </c>
      <c r="H129">
        <v>0.24199999999999999</v>
      </c>
      <c r="I129" t="s">
        <v>0</v>
      </c>
      <c r="J129" t="s">
        <v>49</v>
      </c>
      <c r="K129" t="s">
        <v>50</v>
      </c>
      <c r="L129">
        <v>0</v>
      </c>
      <c r="M129" t="s">
        <v>51</v>
      </c>
      <c r="N129">
        <v>1</v>
      </c>
      <c r="O129" t="s">
        <v>52</v>
      </c>
      <c r="P129" s="2">
        <v>0.43055555555555558</v>
      </c>
      <c r="Q129">
        <f>-0.0006433129*3600</f>
        <v>-2.3159264400000001</v>
      </c>
      <c r="R129">
        <f>0.0012412603*3600</f>
        <v>4.4685370799999999</v>
      </c>
    </row>
    <row r="130" spans="1:18" x14ac:dyDescent="0.3">
      <c r="A130" t="s">
        <v>56</v>
      </c>
      <c r="B130" t="s">
        <v>57</v>
      </c>
      <c r="C130">
        <v>146.628862</v>
      </c>
      <c r="D130">
        <v>299.83728600000001</v>
      </c>
      <c r="E130">
        <v>96.238600000000005</v>
      </c>
      <c r="F130">
        <v>96.220399999999998</v>
      </c>
      <c r="G130">
        <v>0.23799999999999999</v>
      </c>
      <c r="H130">
        <v>0.24199999999999999</v>
      </c>
      <c r="I130" t="s">
        <v>0</v>
      </c>
      <c r="J130" t="s">
        <v>49</v>
      </c>
      <c r="K130" t="s">
        <v>50</v>
      </c>
      <c r="L130">
        <v>0</v>
      </c>
      <c r="M130" t="s">
        <v>51</v>
      </c>
      <c r="N130">
        <v>1</v>
      </c>
      <c r="O130" t="s">
        <v>52</v>
      </c>
      <c r="P130" s="2">
        <v>0.43055555555555558</v>
      </c>
      <c r="Q130">
        <f>-0.0000874041*3600</f>
        <v>-0.31465475999999998</v>
      </c>
      <c r="R130">
        <f>-0.0000963116*3600</f>
        <v>-0.34672175999999999</v>
      </c>
    </row>
    <row r="131" spans="1:18" x14ac:dyDescent="0.3">
      <c r="A131" t="s">
        <v>56</v>
      </c>
      <c r="B131" t="s">
        <v>57</v>
      </c>
      <c r="C131">
        <v>346.62914899999998</v>
      </c>
      <c r="D131">
        <v>100.16313</v>
      </c>
      <c r="E131">
        <v>96.238399999999999</v>
      </c>
      <c r="F131">
        <v>96.220200000000006</v>
      </c>
      <c r="G131">
        <v>0.23799999999999999</v>
      </c>
      <c r="H131">
        <v>0.24199999999999999</v>
      </c>
      <c r="I131" t="s">
        <v>0</v>
      </c>
      <c r="J131" t="s">
        <v>49</v>
      </c>
      <c r="K131" t="s">
        <v>50</v>
      </c>
      <c r="L131">
        <v>0</v>
      </c>
      <c r="M131" t="s">
        <v>51</v>
      </c>
      <c r="N131">
        <v>1</v>
      </c>
      <c r="O131" t="s">
        <v>52</v>
      </c>
      <c r="P131" s="2">
        <v>0.43124999999999997</v>
      </c>
      <c r="Q131">
        <f>-0.0010246582*3600</f>
        <v>-3.6887695199999997</v>
      </c>
      <c r="R131">
        <f>0.0007865976*3600</f>
        <v>2.8317513599999997</v>
      </c>
    </row>
    <row r="132" spans="1:18" x14ac:dyDescent="0.3">
      <c r="A132" t="s">
        <v>56</v>
      </c>
      <c r="B132" t="s">
        <v>57</v>
      </c>
      <c r="C132">
        <v>146.62873200000001</v>
      </c>
      <c r="D132">
        <v>299.83759800000001</v>
      </c>
      <c r="E132">
        <v>96.238699999999994</v>
      </c>
      <c r="F132">
        <v>96.220500000000001</v>
      </c>
      <c r="G132">
        <v>0.23799999999999999</v>
      </c>
      <c r="H132">
        <v>0.24199999999999999</v>
      </c>
      <c r="I132" t="s">
        <v>0</v>
      </c>
      <c r="J132" t="s">
        <v>49</v>
      </c>
      <c r="K132" t="s">
        <v>50</v>
      </c>
      <c r="L132">
        <v>0</v>
      </c>
      <c r="M132" t="s">
        <v>51</v>
      </c>
      <c r="N132">
        <v>1</v>
      </c>
      <c r="O132" t="s">
        <v>52</v>
      </c>
      <c r="P132" s="2">
        <v>0.43124999999999997</v>
      </c>
      <c r="Q132">
        <f>0.0000205464*3600</f>
        <v>7.3967039999999998E-2</v>
      </c>
      <c r="R132">
        <f>-0.0005294881*3600</f>
        <v>-1.90615716</v>
      </c>
    </row>
    <row r="133" spans="1:18" x14ac:dyDescent="0.3">
      <c r="A133" t="s">
        <v>56</v>
      </c>
      <c r="B133" t="s">
        <v>58</v>
      </c>
      <c r="C133">
        <v>345.83001400000001</v>
      </c>
      <c r="D133">
        <v>100.123417</v>
      </c>
      <c r="E133">
        <v>108.3874</v>
      </c>
      <c r="F133">
        <v>108.367</v>
      </c>
      <c r="G133">
        <v>0.23799999999999999</v>
      </c>
      <c r="H133">
        <v>0.24299999999999999</v>
      </c>
      <c r="I133" t="s">
        <v>0</v>
      </c>
      <c r="J133" t="s">
        <v>49</v>
      </c>
      <c r="K133" t="s">
        <v>50</v>
      </c>
      <c r="L133">
        <v>0</v>
      </c>
      <c r="M133" t="s">
        <v>51</v>
      </c>
      <c r="N133">
        <v>1</v>
      </c>
      <c r="O133" t="s">
        <v>52</v>
      </c>
      <c r="P133" s="2">
        <v>0.42777777777777781</v>
      </c>
      <c r="Q133">
        <f>-0.0006432415*3600</f>
        <v>-2.3156694</v>
      </c>
      <c r="R133">
        <f>0.0011244334*3600</f>
        <v>4.0479602400000001</v>
      </c>
    </row>
    <row r="134" spans="1:18" x14ac:dyDescent="0.3">
      <c r="A134" t="s">
        <v>56</v>
      </c>
      <c r="B134" t="s">
        <v>58</v>
      </c>
      <c r="C134">
        <v>145.829148</v>
      </c>
      <c r="D134">
        <v>299.876913</v>
      </c>
      <c r="E134">
        <v>108.38760000000001</v>
      </c>
      <c r="F134">
        <v>108.3672</v>
      </c>
      <c r="G134">
        <v>0.23799999999999999</v>
      </c>
      <c r="H134">
        <v>0.24299999999999999</v>
      </c>
      <c r="I134" t="s">
        <v>0</v>
      </c>
      <c r="J134" t="s">
        <v>49</v>
      </c>
      <c r="K134" t="s">
        <v>50</v>
      </c>
      <c r="L134">
        <v>0</v>
      </c>
      <c r="M134" t="s">
        <v>51</v>
      </c>
      <c r="N134">
        <v>1</v>
      </c>
      <c r="O134" t="s">
        <v>52</v>
      </c>
      <c r="P134" s="2">
        <v>0.4284722222222222</v>
      </c>
      <c r="Q134">
        <f>-0.0001415364*3600</f>
        <v>-0.50953103999999994</v>
      </c>
      <c r="R134">
        <f>-0.0000608673*3600</f>
        <v>-0.21912228</v>
      </c>
    </row>
    <row r="135" spans="1:18" x14ac:dyDescent="0.3">
      <c r="A135" t="s">
        <v>56</v>
      </c>
      <c r="B135" t="s">
        <v>58</v>
      </c>
      <c r="C135">
        <v>345.83009299999998</v>
      </c>
      <c r="D135">
        <v>100.12375299999999</v>
      </c>
      <c r="E135">
        <v>108.3877</v>
      </c>
      <c r="F135">
        <v>108.3673</v>
      </c>
      <c r="G135">
        <v>0.23799999999999999</v>
      </c>
      <c r="H135">
        <v>0.24299999999999999</v>
      </c>
      <c r="I135" t="s">
        <v>0</v>
      </c>
      <c r="J135" t="s">
        <v>49</v>
      </c>
      <c r="K135" t="s">
        <v>50</v>
      </c>
      <c r="L135">
        <v>0</v>
      </c>
      <c r="M135" t="s">
        <v>51</v>
      </c>
      <c r="N135">
        <v>1</v>
      </c>
      <c r="O135" t="s">
        <v>52</v>
      </c>
      <c r="P135" s="2">
        <v>0.4291666666666667</v>
      </c>
      <c r="Q135">
        <f>-0.001015276*3600</f>
        <v>-3.6549936000000001</v>
      </c>
      <c r="R135">
        <f>0.0009573465*3600</f>
        <v>3.4464474000000003</v>
      </c>
    </row>
    <row r="136" spans="1:18" x14ac:dyDescent="0.3">
      <c r="A136" t="s">
        <v>56</v>
      </c>
      <c r="B136" t="s">
        <v>58</v>
      </c>
      <c r="C136">
        <v>145.82942199999999</v>
      </c>
      <c r="D136">
        <v>299.87675000000002</v>
      </c>
      <c r="E136">
        <v>108.3875</v>
      </c>
      <c r="F136">
        <v>108.36709999999999</v>
      </c>
      <c r="G136">
        <v>0.23799999999999999</v>
      </c>
      <c r="H136">
        <v>0.24299999999999999</v>
      </c>
      <c r="I136" t="s">
        <v>0</v>
      </c>
      <c r="J136" t="s">
        <v>49</v>
      </c>
      <c r="K136" t="s">
        <v>50</v>
      </c>
      <c r="L136">
        <v>0</v>
      </c>
      <c r="M136" t="s">
        <v>51</v>
      </c>
      <c r="N136">
        <v>1</v>
      </c>
      <c r="O136" t="s">
        <v>52</v>
      </c>
      <c r="P136" s="2">
        <v>0.4291666666666667</v>
      </c>
      <c r="Q136">
        <f>-0.0001606545*3600</f>
        <v>-0.57835619999999999</v>
      </c>
      <c r="R136">
        <f>-0.0004714965*3600</f>
        <v>-1.6973874</v>
      </c>
    </row>
    <row r="137" spans="1:18" x14ac:dyDescent="0.3">
      <c r="A137" t="s">
        <v>56</v>
      </c>
      <c r="B137" t="s">
        <v>58</v>
      </c>
      <c r="C137">
        <v>345.82972699999999</v>
      </c>
      <c r="D137">
        <v>100.123459</v>
      </c>
      <c r="E137">
        <v>108.3877</v>
      </c>
      <c r="F137">
        <v>108.3673</v>
      </c>
      <c r="G137">
        <v>0.23799999999999999</v>
      </c>
      <c r="H137">
        <v>0.24299999999999999</v>
      </c>
      <c r="I137" t="s">
        <v>0</v>
      </c>
      <c r="J137" t="s">
        <v>49</v>
      </c>
      <c r="K137" t="s">
        <v>50</v>
      </c>
      <c r="L137">
        <v>0</v>
      </c>
      <c r="M137" t="s">
        <v>51</v>
      </c>
      <c r="N137">
        <v>1</v>
      </c>
      <c r="O137" t="s">
        <v>52</v>
      </c>
      <c r="P137" s="2">
        <v>0.42986111111111108</v>
      </c>
      <c r="Q137">
        <f>-0.0007789559*3600</f>
        <v>-2.8042412400000001</v>
      </c>
      <c r="R137">
        <f>0.001340748*3600</f>
        <v>4.8266928</v>
      </c>
    </row>
    <row r="138" spans="1:18" x14ac:dyDescent="0.3">
      <c r="A138" t="s">
        <v>56</v>
      </c>
      <c r="B138" t="s">
        <v>58</v>
      </c>
      <c r="C138">
        <v>145.829577</v>
      </c>
      <c r="D138">
        <v>299.87708600000002</v>
      </c>
      <c r="E138">
        <v>108.38760000000001</v>
      </c>
      <c r="F138">
        <v>108.3672</v>
      </c>
      <c r="G138">
        <v>0.23799999999999999</v>
      </c>
      <c r="H138">
        <v>0.24299999999999999</v>
      </c>
      <c r="I138" t="s">
        <v>0</v>
      </c>
      <c r="J138" t="s">
        <v>49</v>
      </c>
      <c r="K138" t="s">
        <v>50</v>
      </c>
      <c r="L138">
        <v>0</v>
      </c>
      <c r="M138" t="s">
        <v>51</v>
      </c>
      <c r="N138">
        <v>1</v>
      </c>
      <c r="O138" t="s">
        <v>52</v>
      </c>
      <c r="P138" s="2">
        <v>0.42986111111111108</v>
      </c>
      <c r="Q138">
        <f>-0.0001052142*3600</f>
        <v>-0.37877112000000002</v>
      </c>
      <c r="R138">
        <f>-0.0000219671*3600</f>
        <v>-7.9081559999999995E-2</v>
      </c>
    </row>
    <row r="139" spans="1:18" x14ac:dyDescent="0.3">
      <c r="A139" t="s">
        <v>56</v>
      </c>
      <c r="B139" t="s">
        <v>58</v>
      </c>
      <c r="C139">
        <v>345.829635</v>
      </c>
      <c r="D139">
        <v>100.12331</v>
      </c>
      <c r="E139">
        <v>108.3877</v>
      </c>
      <c r="F139">
        <v>108.3673</v>
      </c>
      <c r="G139">
        <v>0.23799999999999999</v>
      </c>
      <c r="H139">
        <v>0.24299999999999999</v>
      </c>
      <c r="I139" t="s">
        <v>0</v>
      </c>
      <c r="J139" t="s">
        <v>49</v>
      </c>
      <c r="K139" t="s">
        <v>50</v>
      </c>
      <c r="L139">
        <v>0</v>
      </c>
      <c r="M139" t="s">
        <v>51</v>
      </c>
      <c r="N139">
        <v>1</v>
      </c>
      <c r="O139" t="s">
        <v>52</v>
      </c>
      <c r="P139" s="2">
        <v>0.43055555555555558</v>
      </c>
      <c r="Q139">
        <f>-0.0007340001*3600</f>
        <v>-2.6424003599999999</v>
      </c>
      <c r="R139">
        <f>0.0013332659*3600</f>
        <v>4.7997572399999999</v>
      </c>
    </row>
    <row r="140" spans="1:18" x14ac:dyDescent="0.3">
      <c r="A140" t="s">
        <v>56</v>
      </c>
      <c r="B140" t="s">
        <v>58</v>
      </c>
      <c r="C140">
        <v>145.82931600000001</v>
      </c>
      <c r="D140">
        <v>299.877183</v>
      </c>
      <c r="E140">
        <v>108.38760000000001</v>
      </c>
      <c r="F140">
        <v>108.3672</v>
      </c>
      <c r="G140">
        <v>0.23799999999999999</v>
      </c>
      <c r="H140">
        <v>0.24299999999999999</v>
      </c>
      <c r="I140" t="s">
        <v>0</v>
      </c>
      <c r="J140" t="s">
        <v>49</v>
      </c>
      <c r="K140" t="s">
        <v>50</v>
      </c>
      <c r="L140">
        <v>0</v>
      </c>
      <c r="M140" t="s">
        <v>51</v>
      </c>
      <c r="N140">
        <v>1</v>
      </c>
      <c r="O140" t="s">
        <v>52</v>
      </c>
      <c r="P140" s="2">
        <v>0.43055555555555558</v>
      </c>
      <c r="Q140">
        <f>-0.0001052721*3600</f>
        <v>-0.37897955999999999</v>
      </c>
      <c r="R140">
        <f>-0.0001103707*3600</f>
        <v>-0.39733451999999997</v>
      </c>
    </row>
    <row r="141" spans="1:18" x14ac:dyDescent="0.3">
      <c r="A141" t="s">
        <v>56</v>
      </c>
      <c r="B141" t="s">
        <v>58</v>
      </c>
      <c r="C141">
        <v>345.82997699999999</v>
      </c>
      <c r="D141">
        <v>100.123312</v>
      </c>
      <c r="E141">
        <v>108.38760000000001</v>
      </c>
      <c r="F141">
        <v>108.3672</v>
      </c>
      <c r="G141">
        <v>0.23799999999999999</v>
      </c>
      <c r="H141">
        <v>0.24299999999999999</v>
      </c>
      <c r="I141" t="s">
        <v>0</v>
      </c>
      <c r="J141" t="s">
        <v>49</v>
      </c>
      <c r="K141" t="s">
        <v>50</v>
      </c>
      <c r="L141">
        <v>0</v>
      </c>
      <c r="M141" t="s">
        <v>51</v>
      </c>
      <c r="N141">
        <v>1</v>
      </c>
      <c r="O141" t="s">
        <v>52</v>
      </c>
      <c r="P141" s="2">
        <v>0.43124999999999997</v>
      </c>
      <c r="Q141">
        <f>-0.0010194219*3600</f>
        <v>-3.6699188400000002</v>
      </c>
      <c r="R141">
        <f>0.0008776703*3600</f>
        <v>3.1596130799999997</v>
      </c>
    </row>
    <row r="142" spans="1:18" x14ac:dyDescent="0.3">
      <c r="A142" t="s">
        <v>56</v>
      </c>
      <c r="B142" t="s">
        <v>58</v>
      </c>
      <c r="C142">
        <v>145.829475</v>
      </c>
      <c r="D142">
        <v>299.87718100000001</v>
      </c>
      <c r="E142">
        <v>108.3878</v>
      </c>
      <c r="F142">
        <v>108.3674</v>
      </c>
      <c r="G142">
        <v>0.23799999999999999</v>
      </c>
      <c r="H142">
        <v>0.24299999999999999</v>
      </c>
      <c r="I142" t="s">
        <v>0</v>
      </c>
      <c r="J142" t="s">
        <v>49</v>
      </c>
      <c r="K142" t="s">
        <v>50</v>
      </c>
      <c r="L142">
        <v>0</v>
      </c>
      <c r="M142" t="s">
        <v>51</v>
      </c>
      <c r="N142">
        <v>1</v>
      </c>
      <c r="O142" t="s">
        <v>52</v>
      </c>
      <c r="P142" s="2">
        <v>0.43124999999999997</v>
      </c>
      <c r="Q142">
        <f>-0.0000180719*3600</f>
        <v>-6.5058839999999993E-2</v>
      </c>
      <c r="R142">
        <f>-0.0004964361*3600</f>
        <v>-1.7871699599999999</v>
      </c>
    </row>
    <row r="143" spans="1:18" x14ac:dyDescent="0.3">
      <c r="P143" s="2"/>
    </row>
    <row r="144" spans="1:18" x14ac:dyDescent="0.3">
      <c r="A144" t="s">
        <v>0</v>
      </c>
      <c r="B144" t="s">
        <v>39</v>
      </c>
      <c r="C144" t="s">
        <v>40</v>
      </c>
      <c r="D144" t="s">
        <v>41</v>
      </c>
      <c r="E144">
        <v>3</v>
      </c>
    </row>
    <row r="145" spans="1:18" x14ac:dyDescent="0.3">
      <c r="A145" t="s">
        <v>0</v>
      </c>
      <c r="B145" t="s">
        <v>42</v>
      </c>
      <c r="C145" t="s">
        <v>43</v>
      </c>
      <c r="D145">
        <v>-187</v>
      </c>
    </row>
    <row r="146" spans="1:18" x14ac:dyDescent="0.3">
      <c r="A146" t="s">
        <v>0</v>
      </c>
      <c r="B146" t="s">
        <v>42</v>
      </c>
      <c r="C146" t="s">
        <v>44</v>
      </c>
      <c r="D146" t="s">
        <v>43</v>
      </c>
      <c r="E146">
        <v>0.99981332710000004</v>
      </c>
    </row>
    <row r="150" spans="1:18" x14ac:dyDescent="0.3">
      <c r="A150" t="s">
        <v>45</v>
      </c>
      <c r="B150" t="s">
        <v>57</v>
      </c>
    </row>
    <row r="151" spans="1:18" x14ac:dyDescent="0.3">
      <c r="A151" t="s">
        <v>47</v>
      </c>
      <c r="B151" t="s">
        <v>46</v>
      </c>
      <c r="C151">
        <v>146.33699300000001</v>
      </c>
      <c r="D151">
        <v>99.826555999999997</v>
      </c>
      <c r="E151">
        <v>108.37</v>
      </c>
      <c r="F151">
        <v>108.3493</v>
      </c>
      <c r="G151">
        <v>0.24199999999999999</v>
      </c>
      <c r="H151">
        <v>0.24099999999999999</v>
      </c>
      <c r="I151" t="s">
        <v>0</v>
      </c>
      <c r="J151" t="s">
        <v>49</v>
      </c>
      <c r="K151" t="s">
        <v>50</v>
      </c>
      <c r="L151">
        <v>0</v>
      </c>
      <c r="M151" t="s">
        <v>60</v>
      </c>
      <c r="N151">
        <v>1</v>
      </c>
      <c r="O151" t="s">
        <v>52</v>
      </c>
      <c r="P151" s="2">
        <v>0.43402777777777773</v>
      </c>
      <c r="Q151">
        <f>-0.0003689166*3600</f>
        <v>-1.32809976</v>
      </c>
      <c r="R151">
        <f>-0.0007108833*3600</f>
        <v>-2.5591798800000003</v>
      </c>
    </row>
    <row r="152" spans="1:18" x14ac:dyDescent="0.3">
      <c r="A152" t="s">
        <v>28</v>
      </c>
      <c r="B152">
        <v>18</v>
      </c>
      <c r="C152" t="s">
        <v>29</v>
      </c>
      <c r="D152" s="3">
        <v>0.6</v>
      </c>
      <c r="E152" t="s">
        <v>30</v>
      </c>
      <c r="F152" t="s">
        <v>31</v>
      </c>
      <c r="G152" t="s">
        <v>32</v>
      </c>
      <c r="H152" t="s">
        <v>33</v>
      </c>
    </row>
    <row r="153" spans="1:18" x14ac:dyDescent="0.3">
      <c r="A153" t="s">
        <v>34</v>
      </c>
      <c r="B153" t="s">
        <v>35</v>
      </c>
      <c r="C153" t="s">
        <v>34</v>
      </c>
      <c r="D153" t="s">
        <v>61</v>
      </c>
    </row>
    <row r="154" spans="1:18" x14ac:dyDescent="0.3">
      <c r="A154" t="s">
        <v>37</v>
      </c>
      <c r="B154" t="s">
        <v>38</v>
      </c>
      <c r="C154">
        <v>0.13</v>
      </c>
    </row>
    <row r="156" spans="1:18" x14ac:dyDescent="0.3">
      <c r="A156" t="s">
        <v>57</v>
      </c>
      <c r="B156" t="s">
        <v>46</v>
      </c>
      <c r="C156">
        <v>146.33588499999999</v>
      </c>
      <c r="D156">
        <v>99.827146999999997</v>
      </c>
      <c r="E156">
        <v>108.3698</v>
      </c>
      <c r="F156">
        <v>108.34910000000001</v>
      </c>
      <c r="G156">
        <v>0.24199999999999999</v>
      </c>
      <c r="H156">
        <v>0.24099999999999999</v>
      </c>
      <c r="I156" t="s">
        <v>0</v>
      </c>
      <c r="J156" t="s">
        <v>49</v>
      </c>
      <c r="K156" t="s">
        <v>50</v>
      </c>
      <c r="L156">
        <v>0</v>
      </c>
      <c r="M156" t="s">
        <v>51</v>
      </c>
      <c r="N156">
        <v>1</v>
      </c>
      <c r="O156" t="s">
        <v>52</v>
      </c>
      <c r="P156" s="2">
        <v>0.43611111111111112</v>
      </c>
      <c r="Q156">
        <f>-0.0004991569*3600</f>
        <v>-1.7969648400000002</v>
      </c>
      <c r="R156">
        <f>-0.0007286198*3600</f>
        <v>-2.6230312799999997</v>
      </c>
    </row>
    <row r="157" spans="1:18" x14ac:dyDescent="0.3">
      <c r="A157" t="s">
        <v>57</v>
      </c>
      <c r="B157" t="s">
        <v>46</v>
      </c>
      <c r="C157">
        <v>346.33597400000002</v>
      </c>
      <c r="D157">
        <v>300.17440399999998</v>
      </c>
      <c r="E157">
        <v>108.3698</v>
      </c>
      <c r="F157">
        <v>108.34910000000001</v>
      </c>
      <c r="G157">
        <v>0.24199999999999999</v>
      </c>
      <c r="H157">
        <v>0.24099999999999999</v>
      </c>
      <c r="I157" t="s">
        <v>0</v>
      </c>
      <c r="J157" t="s">
        <v>49</v>
      </c>
      <c r="K157" t="s">
        <v>50</v>
      </c>
      <c r="L157">
        <v>0</v>
      </c>
      <c r="M157" t="s">
        <v>51</v>
      </c>
      <c r="N157">
        <v>1</v>
      </c>
      <c r="O157" t="s">
        <v>52</v>
      </c>
      <c r="P157" s="2">
        <v>0.4381944444444445</v>
      </c>
      <c r="Q157">
        <f>-0.0001907225*3600</f>
        <v>-0.68660100000000002</v>
      </c>
      <c r="R157">
        <f>0.0004620596*3600</f>
        <v>1.6634145600000001</v>
      </c>
    </row>
    <row r="158" spans="1:18" x14ac:dyDescent="0.3">
      <c r="A158" t="s">
        <v>57</v>
      </c>
      <c r="B158" t="s">
        <v>46</v>
      </c>
      <c r="C158">
        <v>146.33600999999999</v>
      </c>
      <c r="D158">
        <v>99.826352</v>
      </c>
      <c r="E158">
        <v>108.3699</v>
      </c>
      <c r="F158">
        <v>108.3492</v>
      </c>
      <c r="G158">
        <v>0.24199999999999999</v>
      </c>
      <c r="H158">
        <v>0.24099999999999999</v>
      </c>
      <c r="I158" t="s">
        <v>0</v>
      </c>
      <c r="J158" t="s">
        <v>49</v>
      </c>
      <c r="K158" t="s">
        <v>50</v>
      </c>
      <c r="L158">
        <v>0</v>
      </c>
      <c r="M158" t="s">
        <v>51</v>
      </c>
      <c r="N158">
        <v>1</v>
      </c>
      <c r="O158" t="s">
        <v>52</v>
      </c>
      <c r="P158" s="2">
        <v>0.4381944444444445</v>
      </c>
      <c r="Q158">
        <f>-0.0008921398*3600</f>
        <v>-3.21170328</v>
      </c>
      <c r="R158">
        <f>-0.0012395436*3600</f>
        <v>-4.4623569600000002</v>
      </c>
    </row>
    <row r="159" spans="1:18" x14ac:dyDescent="0.3">
      <c r="A159" t="s">
        <v>57</v>
      </c>
      <c r="B159" t="s">
        <v>46</v>
      </c>
      <c r="C159">
        <v>346.33552800000001</v>
      </c>
      <c r="D159">
        <v>300.17343699999998</v>
      </c>
      <c r="E159">
        <v>108.3698</v>
      </c>
      <c r="F159">
        <v>108.34910000000001</v>
      </c>
      <c r="G159">
        <v>0.24199999999999999</v>
      </c>
      <c r="H159">
        <v>0.24099999999999999</v>
      </c>
      <c r="I159" t="s">
        <v>0</v>
      </c>
      <c r="J159" t="s">
        <v>49</v>
      </c>
      <c r="K159" t="s">
        <v>50</v>
      </c>
      <c r="L159">
        <v>0</v>
      </c>
      <c r="M159" t="s">
        <v>51</v>
      </c>
      <c r="N159">
        <v>1</v>
      </c>
      <c r="O159" t="s">
        <v>52</v>
      </c>
      <c r="P159" s="2">
        <v>0.44791666666666669</v>
      </c>
      <c r="Q159">
        <f>-0.0001764613*3600</f>
        <v>-0.63526068000000002</v>
      </c>
      <c r="R159">
        <f>0.0003322607*3600</f>
        <v>1.1961385199999999</v>
      </c>
    </row>
    <row r="160" spans="1:18" x14ac:dyDescent="0.3">
      <c r="A160" t="s">
        <v>57</v>
      </c>
      <c r="B160" t="s">
        <v>46</v>
      </c>
      <c r="C160">
        <v>146.33639400000001</v>
      </c>
      <c r="D160">
        <v>99.826893999999996</v>
      </c>
      <c r="E160">
        <v>108.3699</v>
      </c>
      <c r="F160">
        <v>108.3492</v>
      </c>
      <c r="G160">
        <v>0.24199999999999999</v>
      </c>
      <c r="H160">
        <v>0.24099999999999999</v>
      </c>
      <c r="I160" t="s">
        <v>0</v>
      </c>
      <c r="J160" t="s">
        <v>49</v>
      </c>
      <c r="K160" t="s">
        <v>50</v>
      </c>
      <c r="L160">
        <v>0</v>
      </c>
      <c r="M160" t="s">
        <v>51</v>
      </c>
      <c r="N160">
        <v>1</v>
      </c>
      <c r="O160" t="s">
        <v>52</v>
      </c>
      <c r="P160" s="2">
        <v>0.44791666666666669</v>
      </c>
      <c r="Q160">
        <f>-0.000401503*3600</f>
        <v>-1.4454107999999999</v>
      </c>
      <c r="R160">
        <f>-0.0008747628*3600</f>
        <v>-3.14914608</v>
      </c>
    </row>
    <row r="161" spans="1:18" x14ac:dyDescent="0.3">
      <c r="A161" t="s">
        <v>57</v>
      </c>
      <c r="B161" t="s">
        <v>46</v>
      </c>
      <c r="C161">
        <v>346.33560599999998</v>
      </c>
      <c r="D161">
        <v>300.17330099999998</v>
      </c>
      <c r="E161">
        <v>108.36969999999999</v>
      </c>
      <c r="F161">
        <v>108.349</v>
      </c>
      <c r="G161">
        <v>0.24199999999999999</v>
      </c>
      <c r="H161">
        <v>0.24099999999999999</v>
      </c>
      <c r="I161" t="s">
        <v>0</v>
      </c>
      <c r="J161" t="s">
        <v>49</v>
      </c>
      <c r="K161" t="s">
        <v>50</v>
      </c>
      <c r="L161">
        <v>0</v>
      </c>
      <c r="M161" t="s">
        <v>51</v>
      </c>
      <c r="N161">
        <v>1</v>
      </c>
      <c r="O161" t="s">
        <v>52</v>
      </c>
      <c r="P161" s="2">
        <v>0.44861111111111113</v>
      </c>
      <c r="Q161">
        <f>-0.0003201115*3600</f>
        <v>-1.1524014</v>
      </c>
      <c r="R161">
        <f>0.0009140609*3600</f>
        <v>3.2906192400000003</v>
      </c>
    </row>
    <row r="162" spans="1:18" x14ac:dyDescent="0.3">
      <c r="A162" t="s">
        <v>57</v>
      </c>
      <c r="B162" t="s">
        <v>46</v>
      </c>
      <c r="C162">
        <v>146.33650700000001</v>
      </c>
      <c r="D162">
        <v>99.827098000000007</v>
      </c>
      <c r="E162">
        <v>108.36969999999999</v>
      </c>
      <c r="F162">
        <v>108.349</v>
      </c>
      <c r="G162">
        <v>0.24199999999999999</v>
      </c>
      <c r="H162">
        <v>0.24099999999999999</v>
      </c>
      <c r="I162" t="s">
        <v>0</v>
      </c>
      <c r="J162" t="s">
        <v>49</v>
      </c>
      <c r="K162" t="s">
        <v>50</v>
      </c>
      <c r="L162">
        <v>0</v>
      </c>
      <c r="M162" t="s">
        <v>51</v>
      </c>
      <c r="N162">
        <v>1</v>
      </c>
      <c r="O162" t="s">
        <v>52</v>
      </c>
      <c r="P162" s="2">
        <v>0.44861111111111113</v>
      </c>
      <c r="Q162">
        <f>-0.0004252338*3600</f>
        <v>-1.53084168</v>
      </c>
      <c r="R162">
        <f>-0.0008216959*3600</f>
        <v>-2.9581052400000001</v>
      </c>
    </row>
    <row r="163" spans="1:18" x14ac:dyDescent="0.3">
      <c r="A163" t="s">
        <v>57</v>
      </c>
      <c r="B163" t="s">
        <v>46</v>
      </c>
      <c r="C163">
        <v>346.33557200000001</v>
      </c>
      <c r="D163">
        <v>300.17365100000001</v>
      </c>
      <c r="E163">
        <v>108.3698</v>
      </c>
      <c r="F163">
        <v>108.34910000000001</v>
      </c>
      <c r="G163">
        <v>0.24199999999999999</v>
      </c>
      <c r="H163">
        <v>0.24099999999999999</v>
      </c>
      <c r="I163" t="s">
        <v>0</v>
      </c>
      <c r="J163" t="s">
        <v>49</v>
      </c>
      <c r="K163" t="s">
        <v>50</v>
      </c>
      <c r="L163">
        <v>0</v>
      </c>
      <c r="M163" t="s">
        <v>51</v>
      </c>
      <c r="N163">
        <v>1</v>
      </c>
      <c r="O163" t="s">
        <v>52</v>
      </c>
      <c r="P163" s="2">
        <v>0.44930555555555557</v>
      </c>
      <c r="Q163">
        <f>-0.0002815632*3600</f>
        <v>-1.01362752</v>
      </c>
      <c r="R163">
        <f>0.0009107269*3600</f>
        <v>3.2786168400000002</v>
      </c>
    </row>
    <row r="164" spans="1:18" x14ac:dyDescent="0.3">
      <c r="A164" t="s">
        <v>57</v>
      </c>
      <c r="B164" t="s">
        <v>46</v>
      </c>
      <c r="C164">
        <v>146.33646100000001</v>
      </c>
      <c r="D164">
        <v>99.826644000000002</v>
      </c>
      <c r="E164">
        <v>108.37</v>
      </c>
      <c r="F164">
        <v>108.3493</v>
      </c>
      <c r="G164">
        <v>0.24199999999999999</v>
      </c>
      <c r="H164">
        <v>0.24099999999999999</v>
      </c>
      <c r="I164" t="s">
        <v>0</v>
      </c>
      <c r="J164" t="s">
        <v>49</v>
      </c>
      <c r="K164" t="s">
        <v>50</v>
      </c>
      <c r="L164">
        <v>0</v>
      </c>
      <c r="M164" t="s">
        <v>51</v>
      </c>
      <c r="N164">
        <v>1</v>
      </c>
      <c r="O164" t="s">
        <v>52</v>
      </c>
      <c r="P164" s="2">
        <v>0.44930555555555557</v>
      </c>
      <c r="Q164">
        <f>-0.0004670495*3600</f>
        <v>-1.6813781999999999</v>
      </c>
      <c r="R164">
        <f>-0.0008387047*3600</f>
        <v>-3.0193369200000002</v>
      </c>
    </row>
    <row r="165" spans="1:18" x14ac:dyDescent="0.3">
      <c r="A165" t="s">
        <v>57</v>
      </c>
      <c r="B165" t="s">
        <v>46</v>
      </c>
      <c r="C165">
        <v>346.33536700000002</v>
      </c>
      <c r="D165">
        <v>300.17361499999998</v>
      </c>
      <c r="E165">
        <v>108.3699</v>
      </c>
      <c r="F165">
        <v>108.3492</v>
      </c>
      <c r="G165">
        <v>0.24199999999999999</v>
      </c>
      <c r="H165">
        <v>0.24099999999999999</v>
      </c>
      <c r="I165" t="s">
        <v>0</v>
      </c>
      <c r="J165" t="s">
        <v>49</v>
      </c>
      <c r="K165" t="s">
        <v>50</v>
      </c>
      <c r="L165">
        <v>0</v>
      </c>
      <c r="M165" t="s">
        <v>51</v>
      </c>
      <c r="N165">
        <v>1</v>
      </c>
      <c r="O165" t="s">
        <v>52</v>
      </c>
      <c r="P165" s="2">
        <v>0.45</v>
      </c>
      <c r="Q165">
        <f>-0.0003908218*3600</f>
        <v>-1.4069584800000001</v>
      </c>
      <c r="R165">
        <f>0.000927188*3600</f>
        <v>3.3378768000000001</v>
      </c>
    </row>
    <row r="166" spans="1:18" x14ac:dyDescent="0.3">
      <c r="A166" t="s">
        <v>57</v>
      </c>
      <c r="B166" t="s">
        <v>56</v>
      </c>
      <c r="C166">
        <v>146.62943000000001</v>
      </c>
      <c r="D166">
        <v>99.836894000000001</v>
      </c>
      <c r="E166">
        <v>96.237899999999996</v>
      </c>
      <c r="F166">
        <v>96.219700000000003</v>
      </c>
      <c r="G166">
        <v>0.24199999999999999</v>
      </c>
      <c r="H166">
        <v>0.23799999999999999</v>
      </c>
      <c r="I166" t="s">
        <v>0</v>
      </c>
      <c r="J166" t="s">
        <v>49</v>
      </c>
      <c r="K166" t="s">
        <v>50</v>
      </c>
      <c r="L166">
        <v>0</v>
      </c>
      <c r="M166" t="s">
        <v>51</v>
      </c>
      <c r="N166">
        <v>1</v>
      </c>
      <c r="O166" t="s">
        <v>52</v>
      </c>
      <c r="P166" s="2">
        <v>0.4368055555555555</v>
      </c>
      <c r="Q166">
        <f>-0.0005415534*3600</f>
        <v>-1.9495922399999999</v>
      </c>
      <c r="R166">
        <f>-0.000801132*3600</f>
        <v>-2.8840751999999998</v>
      </c>
    </row>
    <row r="167" spans="1:18" x14ac:dyDescent="0.3">
      <c r="A167" t="s">
        <v>57</v>
      </c>
      <c r="B167" t="s">
        <v>56</v>
      </c>
      <c r="C167">
        <v>346.628941</v>
      </c>
      <c r="D167">
        <v>300.16376100000002</v>
      </c>
      <c r="E167">
        <v>96.237799999999993</v>
      </c>
      <c r="F167">
        <v>96.2196</v>
      </c>
      <c r="G167">
        <v>0.24199999999999999</v>
      </c>
      <c r="H167">
        <v>0.23799999999999999</v>
      </c>
      <c r="I167" t="s">
        <v>0</v>
      </c>
      <c r="J167" t="s">
        <v>49</v>
      </c>
      <c r="K167" t="s">
        <v>50</v>
      </c>
      <c r="L167">
        <v>0</v>
      </c>
      <c r="M167" t="s">
        <v>51</v>
      </c>
      <c r="N167">
        <v>1</v>
      </c>
      <c r="O167" t="s">
        <v>52</v>
      </c>
      <c r="P167" s="2">
        <v>0.4381944444444445</v>
      </c>
      <c r="Q167">
        <f>-0.0002772778*3600</f>
        <v>-0.99820007999999993</v>
      </c>
      <c r="R167">
        <f>0.0004530664*3600</f>
        <v>1.6310390399999999</v>
      </c>
    </row>
    <row r="168" spans="1:18" x14ac:dyDescent="0.3">
      <c r="A168" t="s">
        <v>57</v>
      </c>
      <c r="B168" t="s">
        <v>56</v>
      </c>
      <c r="C168">
        <v>146.62955199999999</v>
      </c>
      <c r="D168">
        <v>99.836449999999999</v>
      </c>
      <c r="E168">
        <v>96.237899999999996</v>
      </c>
      <c r="F168">
        <v>96.219700000000003</v>
      </c>
      <c r="G168">
        <v>0.24199999999999999</v>
      </c>
      <c r="H168">
        <v>0.23799999999999999</v>
      </c>
      <c r="I168" t="s">
        <v>0</v>
      </c>
      <c r="J168" t="s">
        <v>49</v>
      </c>
      <c r="K168" t="s">
        <v>50</v>
      </c>
      <c r="L168">
        <v>0</v>
      </c>
      <c r="M168" t="s">
        <v>51</v>
      </c>
      <c r="N168">
        <v>1</v>
      </c>
      <c r="O168" t="s">
        <v>52</v>
      </c>
      <c r="P168" s="2">
        <v>0.4381944444444445</v>
      </c>
      <c r="Q168">
        <f>-0.000827601*3600</f>
        <v>-2.9793635999999997</v>
      </c>
      <c r="R168">
        <f>-0.0012176195*3600</f>
        <v>-4.3834302000000003</v>
      </c>
    </row>
    <row r="169" spans="1:18" x14ac:dyDescent="0.3">
      <c r="A169" t="s">
        <v>57</v>
      </c>
      <c r="B169" t="s">
        <v>56</v>
      </c>
      <c r="C169">
        <v>346.629008</v>
      </c>
      <c r="D169">
        <v>300.16338300000001</v>
      </c>
      <c r="E169">
        <v>96.237899999999996</v>
      </c>
      <c r="F169">
        <v>96.219700000000003</v>
      </c>
      <c r="G169">
        <v>0.24199999999999999</v>
      </c>
      <c r="H169">
        <v>0.23799999999999999</v>
      </c>
      <c r="I169" t="s">
        <v>0</v>
      </c>
      <c r="J169" t="s">
        <v>49</v>
      </c>
      <c r="K169" t="s">
        <v>50</v>
      </c>
      <c r="L169">
        <v>0</v>
      </c>
      <c r="M169" t="s">
        <v>51</v>
      </c>
      <c r="N169">
        <v>1</v>
      </c>
      <c r="O169" t="s">
        <v>52</v>
      </c>
      <c r="P169" s="2">
        <v>0.44791666666666669</v>
      </c>
      <c r="Q169">
        <f>-0.0001619853*3600</f>
        <v>-0.58314708000000004</v>
      </c>
      <c r="R169">
        <f>0.0003900408*3600</f>
        <v>1.4041468799999999</v>
      </c>
    </row>
    <row r="170" spans="1:18" x14ac:dyDescent="0.3">
      <c r="A170" t="s">
        <v>57</v>
      </c>
      <c r="B170" t="s">
        <v>56</v>
      </c>
      <c r="C170">
        <v>146.62991199999999</v>
      </c>
      <c r="D170">
        <v>99.836957999999996</v>
      </c>
      <c r="E170">
        <v>96.237899999999996</v>
      </c>
      <c r="F170">
        <v>96.219700000000003</v>
      </c>
      <c r="G170">
        <v>0.24199999999999999</v>
      </c>
      <c r="H170">
        <v>0.23799999999999999</v>
      </c>
      <c r="I170" t="s">
        <v>0</v>
      </c>
      <c r="J170" t="s">
        <v>49</v>
      </c>
      <c r="K170" t="s">
        <v>50</v>
      </c>
      <c r="L170">
        <v>0</v>
      </c>
      <c r="M170" t="s">
        <v>51</v>
      </c>
      <c r="N170">
        <v>1</v>
      </c>
      <c r="O170" t="s">
        <v>52</v>
      </c>
      <c r="P170" s="2">
        <v>0.44791666666666669</v>
      </c>
      <c r="Q170">
        <f>-0.000362198*3600</f>
        <v>-1.3039128</v>
      </c>
      <c r="R170">
        <f>-0.0008374944*3600</f>
        <v>-3.0149798400000001</v>
      </c>
    </row>
    <row r="171" spans="1:18" x14ac:dyDescent="0.3">
      <c r="A171" t="s">
        <v>57</v>
      </c>
      <c r="B171" t="s">
        <v>56</v>
      </c>
      <c r="C171">
        <v>346.628962</v>
      </c>
      <c r="D171">
        <v>300.16334899999998</v>
      </c>
      <c r="E171">
        <v>96.237899999999996</v>
      </c>
      <c r="F171">
        <v>96.219700000000003</v>
      </c>
      <c r="G171">
        <v>0.24199999999999999</v>
      </c>
      <c r="H171">
        <v>0.23799999999999999</v>
      </c>
      <c r="I171" t="s">
        <v>0</v>
      </c>
      <c r="J171" t="s">
        <v>49</v>
      </c>
      <c r="K171" t="s">
        <v>50</v>
      </c>
      <c r="L171">
        <v>0</v>
      </c>
      <c r="M171" t="s">
        <v>51</v>
      </c>
      <c r="N171">
        <v>1</v>
      </c>
      <c r="O171" t="s">
        <v>52</v>
      </c>
      <c r="P171" s="2">
        <v>0.44861111111111113</v>
      </c>
      <c r="Q171">
        <f>-0.0003248064*3600</f>
        <v>-1.16930304</v>
      </c>
      <c r="R171">
        <f>0.0008467355*3600</f>
        <v>3.0482478</v>
      </c>
    </row>
    <row r="172" spans="1:18" x14ac:dyDescent="0.3">
      <c r="A172" t="s">
        <v>57</v>
      </c>
      <c r="B172" t="s">
        <v>56</v>
      </c>
      <c r="C172">
        <v>146.629863</v>
      </c>
      <c r="D172">
        <v>99.837001000000001</v>
      </c>
      <c r="E172">
        <v>96.238100000000003</v>
      </c>
      <c r="F172">
        <v>96.219899999999996</v>
      </c>
      <c r="G172">
        <v>0.24199999999999999</v>
      </c>
      <c r="H172">
        <v>0.23799999999999999</v>
      </c>
      <c r="I172" t="s">
        <v>0</v>
      </c>
      <c r="J172" t="s">
        <v>49</v>
      </c>
      <c r="K172" t="s">
        <v>50</v>
      </c>
      <c r="L172">
        <v>0</v>
      </c>
      <c r="M172" t="s">
        <v>51</v>
      </c>
      <c r="N172">
        <v>1</v>
      </c>
      <c r="O172" t="s">
        <v>52</v>
      </c>
      <c r="P172" s="2">
        <v>0.44861111111111113</v>
      </c>
      <c r="Q172">
        <f>-0.0003795935*3600</f>
        <v>-1.3665366000000001</v>
      </c>
      <c r="R172">
        <f>-0.0008609021*3600</f>
        <v>-3.0992475600000002</v>
      </c>
    </row>
    <row r="173" spans="1:18" x14ac:dyDescent="0.3">
      <c r="A173" t="s">
        <v>57</v>
      </c>
      <c r="B173" t="s">
        <v>56</v>
      </c>
      <c r="C173">
        <v>346.62910299999999</v>
      </c>
      <c r="D173">
        <v>300.163275</v>
      </c>
      <c r="E173">
        <v>96.237899999999996</v>
      </c>
      <c r="F173">
        <v>96.219700000000003</v>
      </c>
      <c r="G173">
        <v>0.24199999999999999</v>
      </c>
      <c r="H173">
        <v>0.23799999999999999</v>
      </c>
      <c r="I173" t="s">
        <v>0</v>
      </c>
      <c r="J173" t="s">
        <v>49</v>
      </c>
      <c r="K173" t="s">
        <v>50</v>
      </c>
      <c r="L173">
        <v>0</v>
      </c>
      <c r="M173" t="s">
        <v>51</v>
      </c>
      <c r="N173">
        <v>1</v>
      </c>
      <c r="O173" t="s">
        <v>52</v>
      </c>
      <c r="P173" s="2">
        <v>0.44930555555555557</v>
      </c>
      <c r="Q173">
        <f>-0.0003257592*3600</f>
        <v>-1.1727331200000002</v>
      </c>
      <c r="R173">
        <f>0.0009015554*3600</f>
        <v>3.2455994399999999</v>
      </c>
    </row>
    <row r="174" spans="1:18" x14ac:dyDescent="0.3">
      <c r="A174" t="s">
        <v>57</v>
      </c>
      <c r="B174" t="s">
        <v>56</v>
      </c>
      <c r="C174">
        <v>146.63001</v>
      </c>
      <c r="D174">
        <v>99.836652999999998</v>
      </c>
      <c r="E174">
        <v>96.238</v>
      </c>
      <c r="F174">
        <v>96.219800000000006</v>
      </c>
      <c r="G174">
        <v>0.24199999999999999</v>
      </c>
      <c r="H174">
        <v>0.23799999999999999</v>
      </c>
      <c r="I174" t="s">
        <v>0</v>
      </c>
      <c r="J174" t="s">
        <v>49</v>
      </c>
      <c r="K174" t="s">
        <v>50</v>
      </c>
      <c r="L174">
        <v>0</v>
      </c>
      <c r="M174" t="s">
        <v>51</v>
      </c>
      <c r="N174">
        <v>1</v>
      </c>
      <c r="O174" t="s">
        <v>52</v>
      </c>
      <c r="P174" s="2">
        <v>0.44930555555555557</v>
      </c>
      <c r="Q174">
        <f>-0.0004450692*3600</f>
        <v>-1.60224912</v>
      </c>
      <c r="R174">
        <f>-0.0008292777*3600</f>
        <v>-2.9853997200000002</v>
      </c>
    </row>
    <row r="175" spans="1:18" x14ac:dyDescent="0.3">
      <c r="A175" t="s">
        <v>57</v>
      </c>
      <c r="B175" t="s">
        <v>56</v>
      </c>
      <c r="C175">
        <v>346.62895099999997</v>
      </c>
      <c r="D175">
        <v>300.16366099999999</v>
      </c>
      <c r="E175">
        <v>96.237799999999993</v>
      </c>
      <c r="F175">
        <v>96.2196</v>
      </c>
      <c r="G175">
        <v>0.24199999999999999</v>
      </c>
      <c r="H175">
        <v>0.23799999999999999</v>
      </c>
      <c r="I175" t="s">
        <v>0</v>
      </c>
      <c r="J175" t="s">
        <v>49</v>
      </c>
      <c r="K175" t="s">
        <v>50</v>
      </c>
      <c r="L175">
        <v>0</v>
      </c>
      <c r="M175" t="s">
        <v>51</v>
      </c>
      <c r="N175">
        <v>1</v>
      </c>
      <c r="O175" t="s">
        <v>52</v>
      </c>
      <c r="P175" s="2">
        <v>0.45</v>
      </c>
      <c r="Q175">
        <f>-0.00032173*3600</f>
        <v>-1.158228</v>
      </c>
      <c r="R175">
        <f>0.0008823152*3600</f>
        <v>3.1763347199999998</v>
      </c>
    </row>
    <row r="176" spans="1:18" x14ac:dyDescent="0.3">
      <c r="A176" t="s">
        <v>57</v>
      </c>
      <c r="B176" t="s">
        <v>58</v>
      </c>
      <c r="C176">
        <v>339.52075200000002</v>
      </c>
      <c r="D176">
        <v>99.801924999999997</v>
      </c>
      <c r="E176">
        <v>12.216799999999999</v>
      </c>
      <c r="F176">
        <v>12.214499999999999</v>
      </c>
      <c r="G176">
        <v>0.24199999999999999</v>
      </c>
      <c r="H176">
        <v>0.24299999999999999</v>
      </c>
      <c r="I176" t="s">
        <v>0</v>
      </c>
      <c r="J176" t="s">
        <v>49</v>
      </c>
      <c r="K176" t="s">
        <v>50</v>
      </c>
      <c r="L176">
        <v>0</v>
      </c>
      <c r="M176" t="s">
        <v>51</v>
      </c>
      <c r="N176">
        <v>1</v>
      </c>
      <c r="O176" t="s">
        <v>52</v>
      </c>
      <c r="P176" s="2">
        <v>0.4368055555555555</v>
      </c>
      <c r="Q176">
        <f>0.0000723571*3600</f>
        <v>0.26048556</v>
      </c>
      <c r="R176">
        <f>0.000569698*3600</f>
        <v>2.0509127999999999</v>
      </c>
    </row>
    <row r="177" spans="1:18" x14ac:dyDescent="0.3">
      <c r="A177" t="s">
        <v>57</v>
      </c>
      <c r="B177" t="s">
        <v>58</v>
      </c>
      <c r="C177">
        <v>139.51990499999999</v>
      </c>
      <c r="D177">
        <v>300.19529799999998</v>
      </c>
      <c r="E177">
        <v>12.216799999999999</v>
      </c>
      <c r="F177">
        <v>12.214499999999999</v>
      </c>
      <c r="G177">
        <v>0.24199999999999999</v>
      </c>
      <c r="H177">
        <v>0.24299999999999999</v>
      </c>
      <c r="I177" t="s">
        <v>0</v>
      </c>
      <c r="J177" t="s">
        <v>49</v>
      </c>
      <c r="K177" t="s">
        <v>50</v>
      </c>
      <c r="L177">
        <v>0</v>
      </c>
      <c r="M177" t="s">
        <v>51</v>
      </c>
      <c r="N177">
        <v>1</v>
      </c>
      <c r="O177" t="s">
        <v>52</v>
      </c>
      <c r="P177" s="2">
        <v>0.4375</v>
      </c>
      <c r="Q177">
        <f>-0.0004422489*3600</f>
        <v>-1.5920960399999999</v>
      </c>
      <c r="R177">
        <f>-0.00078547*3600</f>
        <v>-2.8276920000000003</v>
      </c>
    </row>
    <row r="178" spans="1:18" x14ac:dyDescent="0.3">
      <c r="A178" t="s">
        <v>57</v>
      </c>
      <c r="B178" t="s">
        <v>58</v>
      </c>
      <c r="C178">
        <v>339.52002599999997</v>
      </c>
      <c r="D178">
        <v>99.801828</v>
      </c>
      <c r="E178">
        <v>12.217000000000001</v>
      </c>
      <c r="F178">
        <v>12.214700000000001</v>
      </c>
      <c r="G178">
        <v>0.24199999999999999</v>
      </c>
      <c r="H178">
        <v>0.24299999999999999</v>
      </c>
      <c r="I178" t="s">
        <v>0</v>
      </c>
      <c r="J178" t="s">
        <v>49</v>
      </c>
      <c r="K178" t="s">
        <v>50</v>
      </c>
      <c r="L178">
        <v>0</v>
      </c>
      <c r="M178" t="s">
        <v>51</v>
      </c>
      <c r="N178">
        <v>1</v>
      </c>
      <c r="O178" t="s">
        <v>52</v>
      </c>
      <c r="P178" s="2">
        <v>0.4381944444444445</v>
      </c>
      <c r="Q178">
        <f>0.0000610055*3600</f>
        <v>0.21961979999999998</v>
      </c>
      <c r="R178">
        <f>0.000540162*3600</f>
        <v>1.9445831999999998</v>
      </c>
    </row>
    <row r="179" spans="1:18" x14ac:dyDescent="0.3">
      <c r="A179" t="s">
        <v>57</v>
      </c>
      <c r="B179" t="s">
        <v>58</v>
      </c>
      <c r="C179">
        <v>139.519971</v>
      </c>
      <c r="D179">
        <v>300.19535999999999</v>
      </c>
      <c r="E179">
        <v>12.216699999999999</v>
      </c>
      <c r="F179">
        <v>12.214399999999999</v>
      </c>
      <c r="G179">
        <v>0.24199999999999999</v>
      </c>
      <c r="H179">
        <v>0.24299999999999999</v>
      </c>
      <c r="I179" t="s">
        <v>0</v>
      </c>
      <c r="J179" t="s">
        <v>49</v>
      </c>
      <c r="K179" t="s">
        <v>50</v>
      </c>
      <c r="L179">
        <v>0</v>
      </c>
      <c r="M179" t="s">
        <v>51</v>
      </c>
      <c r="N179">
        <v>1</v>
      </c>
      <c r="O179" t="s">
        <v>52</v>
      </c>
      <c r="P179" s="2">
        <v>0.44791666666666669</v>
      </c>
      <c r="Q179">
        <f>-0.000387746*3600</f>
        <v>-1.3958855999999999</v>
      </c>
      <c r="R179">
        <f>-0.0010543498*3600</f>
        <v>-3.7956592800000002</v>
      </c>
    </row>
    <row r="180" spans="1:18" x14ac:dyDescent="0.3">
      <c r="A180" t="s">
        <v>57</v>
      </c>
      <c r="B180" t="s">
        <v>58</v>
      </c>
      <c r="C180">
        <v>339.52011399999998</v>
      </c>
      <c r="D180">
        <v>99.801591000000002</v>
      </c>
      <c r="E180">
        <v>12.216799999999999</v>
      </c>
      <c r="F180">
        <v>12.214499999999999</v>
      </c>
      <c r="G180">
        <v>0.24199999999999999</v>
      </c>
      <c r="H180">
        <v>0.24299999999999999</v>
      </c>
      <c r="I180" t="s">
        <v>0</v>
      </c>
      <c r="J180" t="s">
        <v>49</v>
      </c>
      <c r="K180" t="s">
        <v>50</v>
      </c>
      <c r="L180">
        <v>0</v>
      </c>
      <c r="M180" t="s">
        <v>51</v>
      </c>
      <c r="N180">
        <v>1</v>
      </c>
      <c r="O180" t="s">
        <v>52</v>
      </c>
      <c r="P180" s="2">
        <v>0.44791666666666669</v>
      </c>
      <c r="Q180">
        <f>-0.0000739931*3600</f>
        <v>-0.26637516</v>
      </c>
      <c r="R180">
        <f>0.0009204673*3600</f>
        <v>3.3136822800000001</v>
      </c>
    </row>
    <row r="181" spans="1:18" x14ac:dyDescent="0.3">
      <c r="A181" t="s">
        <v>57</v>
      </c>
      <c r="B181" t="s">
        <v>58</v>
      </c>
      <c r="C181">
        <v>139.51984300000001</v>
      </c>
      <c r="D181">
        <v>300.19532099999998</v>
      </c>
      <c r="E181">
        <v>12.216900000000001</v>
      </c>
      <c r="F181">
        <v>12.214600000000001</v>
      </c>
      <c r="G181">
        <v>0.24199999999999999</v>
      </c>
      <c r="H181">
        <v>0.24299999999999999</v>
      </c>
      <c r="I181" t="s">
        <v>0</v>
      </c>
      <c r="J181" t="s">
        <v>49</v>
      </c>
      <c r="K181" t="s">
        <v>50</v>
      </c>
      <c r="L181">
        <v>0</v>
      </c>
      <c r="M181" t="s">
        <v>51</v>
      </c>
      <c r="N181">
        <v>1</v>
      </c>
      <c r="O181" t="s">
        <v>52</v>
      </c>
      <c r="P181" s="2">
        <v>0.44861111111111113</v>
      </c>
      <c r="Q181">
        <f>-0.0009362128*3600</f>
        <v>-3.3703660800000002</v>
      </c>
      <c r="R181">
        <f>-0.0014943332*3600</f>
        <v>-5.3795995200000002</v>
      </c>
    </row>
    <row r="182" spans="1:18" x14ac:dyDescent="0.3">
      <c r="A182" t="s">
        <v>57</v>
      </c>
      <c r="B182" t="s">
        <v>58</v>
      </c>
      <c r="C182">
        <v>339.52046300000001</v>
      </c>
      <c r="D182">
        <v>99.801670000000001</v>
      </c>
      <c r="E182">
        <v>12.217000000000001</v>
      </c>
      <c r="F182">
        <v>12.214700000000001</v>
      </c>
      <c r="G182">
        <v>0.24199999999999999</v>
      </c>
      <c r="H182">
        <v>0.24299999999999999</v>
      </c>
      <c r="I182" t="s">
        <v>0</v>
      </c>
      <c r="J182" t="s">
        <v>49</v>
      </c>
      <c r="K182" t="s">
        <v>50</v>
      </c>
      <c r="L182">
        <v>0</v>
      </c>
      <c r="M182" t="s">
        <v>51</v>
      </c>
      <c r="N182">
        <v>1</v>
      </c>
      <c r="O182" t="s">
        <v>52</v>
      </c>
      <c r="P182" s="2">
        <v>0.44861111111111113</v>
      </c>
      <c r="Q182">
        <f>-0.000135428*3600</f>
        <v>-0.4875408</v>
      </c>
      <c r="R182">
        <f>0.0009535039*3600</f>
        <v>3.4326140399999998</v>
      </c>
    </row>
    <row r="183" spans="1:18" x14ac:dyDescent="0.3">
      <c r="A183" t="s">
        <v>57</v>
      </c>
      <c r="B183" t="s">
        <v>58</v>
      </c>
      <c r="C183">
        <v>139.52019000000001</v>
      </c>
      <c r="D183">
        <v>300.19538699999998</v>
      </c>
      <c r="E183">
        <v>12.2166</v>
      </c>
      <c r="F183">
        <v>12.2143</v>
      </c>
      <c r="G183">
        <v>0.24199999999999999</v>
      </c>
      <c r="H183">
        <v>0.24299999999999999</v>
      </c>
      <c r="I183" t="s">
        <v>0</v>
      </c>
      <c r="J183" t="s">
        <v>49</v>
      </c>
      <c r="K183" t="s">
        <v>50</v>
      </c>
      <c r="L183">
        <v>0</v>
      </c>
      <c r="M183" t="s">
        <v>51</v>
      </c>
      <c r="N183">
        <v>1</v>
      </c>
      <c r="O183" t="s">
        <v>52</v>
      </c>
      <c r="P183" s="2">
        <v>0.44930555555555557</v>
      </c>
      <c r="Q183">
        <f>-0.0009253852*3600</f>
        <v>-3.3313867199999998</v>
      </c>
      <c r="R183">
        <f>-0.0014481387*3600</f>
        <v>-5.21329932</v>
      </c>
    </row>
    <row r="184" spans="1:18" x14ac:dyDescent="0.3">
      <c r="A184" t="s">
        <v>57</v>
      </c>
      <c r="B184" t="s">
        <v>58</v>
      </c>
      <c r="C184">
        <v>339.52005700000001</v>
      </c>
      <c r="D184">
        <v>99.801855000000003</v>
      </c>
      <c r="E184">
        <v>12.216900000000001</v>
      </c>
      <c r="F184">
        <v>12.214600000000001</v>
      </c>
      <c r="G184">
        <v>0.24199999999999999</v>
      </c>
      <c r="H184">
        <v>0.24299999999999999</v>
      </c>
      <c r="I184" t="s">
        <v>0</v>
      </c>
      <c r="J184" t="s">
        <v>49</v>
      </c>
      <c r="K184" t="s">
        <v>50</v>
      </c>
      <c r="L184">
        <v>0</v>
      </c>
      <c r="M184" t="s">
        <v>51</v>
      </c>
      <c r="N184">
        <v>1</v>
      </c>
      <c r="O184" t="s">
        <v>52</v>
      </c>
      <c r="P184" s="2">
        <v>0.44930555555555557</v>
      </c>
      <c r="Q184">
        <f>-0.0001192536*3600</f>
        <v>-0.42931296000000002</v>
      </c>
      <c r="R184">
        <f>0.000963196*3600</f>
        <v>3.4675056</v>
      </c>
    </row>
    <row r="185" spans="1:18" x14ac:dyDescent="0.3">
      <c r="A185" t="s">
        <v>57</v>
      </c>
      <c r="B185" t="s">
        <v>58</v>
      </c>
      <c r="C185">
        <v>139.520151</v>
      </c>
      <c r="D185">
        <v>300.195223</v>
      </c>
      <c r="E185">
        <v>12.216699999999999</v>
      </c>
      <c r="F185">
        <v>12.214399999999999</v>
      </c>
      <c r="G185">
        <v>0.24199999999999999</v>
      </c>
      <c r="H185">
        <v>0.24299999999999999</v>
      </c>
      <c r="I185" t="s">
        <v>0</v>
      </c>
      <c r="J185" t="s">
        <v>49</v>
      </c>
      <c r="K185" t="s">
        <v>50</v>
      </c>
      <c r="L185">
        <v>0</v>
      </c>
      <c r="M185" t="s">
        <v>51</v>
      </c>
      <c r="N185">
        <v>1</v>
      </c>
      <c r="O185" t="s">
        <v>52</v>
      </c>
      <c r="P185" s="2">
        <v>0.45</v>
      </c>
      <c r="Q185">
        <f>-0.0009276607*3600</f>
        <v>-3.3395785199999999</v>
      </c>
      <c r="R185">
        <f>-0.0015140133*3600</f>
        <v>-5.4504478799999996</v>
      </c>
    </row>
    <row r="186" spans="1:18" x14ac:dyDescent="0.3">
      <c r="A186" t="s">
        <v>57</v>
      </c>
      <c r="B186" t="s">
        <v>62</v>
      </c>
      <c r="C186">
        <v>333.76192300000002</v>
      </c>
      <c r="D186">
        <v>100.36350899999999</v>
      </c>
      <c r="E186">
        <v>56.842700000000001</v>
      </c>
      <c r="F186">
        <v>56.831200000000003</v>
      </c>
      <c r="G186">
        <v>0.24199999999999999</v>
      </c>
      <c r="H186">
        <v>0.24399999999999999</v>
      </c>
      <c r="I186" t="s">
        <v>0</v>
      </c>
      <c r="J186" t="s">
        <v>49</v>
      </c>
      <c r="K186" t="s">
        <v>50</v>
      </c>
      <c r="L186">
        <v>0</v>
      </c>
      <c r="M186" t="s">
        <v>51</v>
      </c>
      <c r="N186">
        <v>1</v>
      </c>
      <c r="O186" t="s">
        <v>52</v>
      </c>
      <c r="P186" s="2">
        <v>0.4375</v>
      </c>
      <c r="Q186">
        <f>-0.0000799389*3600</f>
        <v>-0.28778004000000001</v>
      </c>
      <c r="R186">
        <f>0.0003327673*3600</f>
        <v>1.1979622799999998</v>
      </c>
    </row>
    <row r="187" spans="1:18" x14ac:dyDescent="0.3">
      <c r="A187" t="s">
        <v>57</v>
      </c>
      <c r="B187" t="s">
        <v>62</v>
      </c>
      <c r="C187">
        <v>133.76188200000001</v>
      </c>
      <c r="D187">
        <v>299.63591100000002</v>
      </c>
      <c r="E187">
        <v>56.842500000000001</v>
      </c>
      <c r="F187">
        <v>56.831000000000003</v>
      </c>
      <c r="G187">
        <v>0.24199999999999999</v>
      </c>
      <c r="H187">
        <v>0.24399999999999999</v>
      </c>
      <c r="I187" t="s">
        <v>0</v>
      </c>
      <c r="J187" t="s">
        <v>49</v>
      </c>
      <c r="K187" t="s">
        <v>50</v>
      </c>
      <c r="L187">
        <v>0</v>
      </c>
      <c r="M187" t="s">
        <v>51</v>
      </c>
      <c r="N187">
        <v>1</v>
      </c>
      <c r="O187" t="s">
        <v>52</v>
      </c>
      <c r="P187" s="2">
        <v>0.4375</v>
      </c>
      <c r="Q187">
        <f>-0.0006773216*3600</f>
        <v>-2.4383577600000002</v>
      </c>
      <c r="R187">
        <f>-0.0008147502*3600</f>
        <v>-2.9331007200000001</v>
      </c>
    </row>
    <row r="188" spans="1:18" x14ac:dyDescent="0.3">
      <c r="A188" t="s">
        <v>57</v>
      </c>
      <c r="B188" t="s">
        <v>62</v>
      </c>
      <c r="C188">
        <v>333.76238599999999</v>
      </c>
      <c r="D188">
        <v>100.36341400000001</v>
      </c>
      <c r="E188">
        <v>56.842799999999997</v>
      </c>
      <c r="F188">
        <v>56.831299999999999</v>
      </c>
      <c r="G188">
        <v>0.24199999999999999</v>
      </c>
      <c r="H188">
        <v>0.24399999999999999</v>
      </c>
      <c r="I188" t="s">
        <v>0</v>
      </c>
      <c r="J188" t="s">
        <v>49</v>
      </c>
      <c r="K188" t="s">
        <v>50</v>
      </c>
      <c r="L188">
        <v>0</v>
      </c>
      <c r="M188" t="s">
        <v>51</v>
      </c>
      <c r="N188">
        <v>1</v>
      </c>
      <c r="O188" t="s">
        <v>52</v>
      </c>
      <c r="P188" s="2">
        <v>0.4381944444444445</v>
      </c>
      <c r="Q188">
        <f>0.0000842713*3600</f>
        <v>0.30337668000000001</v>
      </c>
      <c r="R188">
        <f>0.0003145679*3600</f>
        <v>1.13244444</v>
      </c>
    </row>
    <row r="189" spans="1:18" x14ac:dyDescent="0.3">
      <c r="A189" t="s">
        <v>57</v>
      </c>
      <c r="B189" t="s">
        <v>62</v>
      </c>
      <c r="C189">
        <v>133.761515</v>
      </c>
      <c r="D189">
        <v>299.63644799999997</v>
      </c>
      <c r="E189">
        <v>56.842599999999997</v>
      </c>
      <c r="F189">
        <v>56.831099999999999</v>
      </c>
      <c r="G189">
        <v>0.24199999999999999</v>
      </c>
      <c r="H189">
        <v>0.24399999999999999</v>
      </c>
      <c r="I189" t="s">
        <v>0</v>
      </c>
      <c r="J189" t="s">
        <v>49</v>
      </c>
      <c r="K189" t="s">
        <v>50</v>
      </c>
      <c r="L189">
        <v>0</v>
      </c>
      <c r="M189" t="s">
        <v>51</v>
      </c>
      <c r="N189">
        <v>1</v>
      </c>
      <c r="O189" t="s">
        <v>52</v>
      </c>
      <c r="P189" s="2">
        <v>0.44722222222222219</v>
      </c>
      <c r="Q189">
        <f>-0.000548544*3600</f>
        <v>-1.9747584</v>
      </c>
      <c r="R189">
        <f>-0.0010795968*3600</f>
        <v>-3.8865484800000001</v>
      </c>
    </row>
    <row r="190" spans="1:18" x14ac:dyDescent="0.3">
      <c r="A190" t="s">
        <v>57</v>
      </c>
      <c r="B190" t="s">
        <v>62</v>
      </c>
      <c r="C190">
        <v>333.76241299999998</v>
      </c>
      <c r="D190">
        <v>100.363624</v>
      </c>
      <c r="E190">
        <v>56.842399999999998</v>
      </c>
      <c r="F190">
        <v>56.8309</v>
      </c>
      <c r="G190">
        <v>0.24199999999999999</v>
      </c>
      <c r="H190">
        <v>0.24399999999999999</v>
      </c>
      <c r="I190" t="s">
        <v>0</v>
      </c>
      <c r="J190" t="s">
        <v>49</v>
      </c>
      <c r="K190" t="s">
        <v>50</v>
      </c>
      <c r="L190">
        <v>0</v>
      </c>
      <c r="M190" t="s">
        <v>51</v>
      </c>
      <c r="N190">
        <v>1</v>
      </c>
      <c r="O190" t="s">
        <v>52</v>
      </c>
      <c r="P190" s="2">
        <v>0.44791666666666669</v>
      </c>
      <c r="Q190">
        <f>0.0000023435*3600</f>
        <v>8.4366000000000007E-3</v>
      </c>
      <c r="R190">
        <f>0.0008179799*3600</f>
        <v>2.94472764</v>
      </c>
    </row>
    <row r="191" spans="1:18" x14ac:dyDescent="0.3">
      <c r="A191" t="s">
        <v>57</v>
      </c>
      <c r="B191" t="s">
        <v>62</v>
      </c>
      <c r="C191">
        <v>133.76190700000001</v>
      </c>
      <c r="D191">
        <v>299.63633299999998</v>
      </c>
      <c r="E191">
        <v>56.842599999999997</v>
      </c>
      <c r="F191">
        <v>56.831099999999999</v>
      </c>
      <c r="G191">
        <v>0.24199999999999999</v>
      </c>
      <c r="H191">
        <v>0.24399999999999999</v>
      </c>
      <c r="I191" t="s">
        <v>0</v>
      </c>
      <c r="J191" t="s">
        <v>49</v>
      </c>
      <c r="K191" t="s">
        <v>50</v>
      </c>
      <c r="L191">
        <v>0</v>
      </c>
      <c r="M191" t="s">
        <v>51</v>
      </c>
      <c r="N191">
        <v>1</v>
      </c>
      <c r="O191" t="s">
        <v>52</v>
      </c>
      <c r="P191" s="2">
        <v>0.44861111111111113</v>
      </c>
      <c r="Q191">
        <f>-0.0009601326*3600</f>
        <v>-3.4564773600000001</v>
      </c>
      <c r="R191">
        <f>-0.0013833725*3600</f>
        <v>-4.9801410000000006</v>
      </c>
    </row>
    <row r="192" spans="1:18" x14ac:dyDescent="0.3">
      <c r="A192" t="s">
        <v>57</v>
      </c>
      <c r="B192" t="s">
        <v>62</v>
      </c>
      <c r="C192">
        <v>333.76197000000002</v>
      </c>
      <c r="D192">
        <v>100.363339</v>
      </c>
      <c r="E192">
        <v>56.843000000000004</v>
      </c>
      <c r="F192">
        <v>56.831499999999998</v>
      </c>
      <c r="G192">
        <v>0.24199999999999999</v>
      </c>
      <c r="H192">
        <v>0.24399999999999999</v>
      </c>
      <c r="I192" t="s">
        <v>0</v>
      </c>
      <c r="J192" t="s">
        <v>49</v>
      </c>
      <c r="K192" t="s">
        <v>50</v>
      </c>
      <c r="L192">
        <v>0</v>
      </c>
      <c r="M192" t="s">
        <v>51</v>
      </c>
      <c r="N192">
        <v>1</v>
      </c>
      <c r="O192" t="s">
        <v>52</v>
      </c>
      <c r="P192" s="2">
        <v>0.44861111111111113</v>
      </c>
      <c r="Q192">
        <f>-0.0000932618*3600</f>
        <v>-0.33574248000000001</v>
      </c>
      <c r="R192">
        <f>0.0008807293*3600</f>
        <v>3.17062548</v>
      </c>
    </row>
    <row r="193" spans="1:18" x14ac:dyDescent="0.3">
      <c r="A193" t="s">
        <v>57</v>
      </c>
      <c r="B193" t="s">
        <v>62</v>
      </c>
      <c r="C193">
        <v>133.76152300000001</v>
      </c>
      <c r="D193">
        <v>299.63622800000002</v>
      </c>
      <c r="E193">
        <v>56.842599999999997</v>
      </c>
      <c r="F193">
        <v>56.831099999999999</v>
      </c>
      <c r="G193">
        <v>0.24199999999999999</v>
      </c>
      <c r="H193">
        <v>0.24399999999999999</v>
      </c>
      <c r="I193" t="s">
        <v>0</v>
      </c>
      <c r="J193" t="s">
        <v>49</v>
      </c>
      <c r="K193" t="s">
        <v>50</v>
      </c>
      <c r="L193">
        <v>0</v>
      </c>
      <c r="M193" t="s">
        <v>51</v>
      </c>
      <c r="N193">
        <v>1</v>
      </c>
      <c r="O193" t="s">
        <v>52</v>
      </c>
      <c r="P193" s="2">
        <v>0.44930555555555557</v>
      </c>
      <c r="Q193">
        <f>-0.0010507779*3600</f>
        <v>-3.7828004399999999</v>
      </c>
      <c r="R193">
        <f>-0.0014794395*3600</f>
        <v>-5.3259822000000003</v>
      </c>
    </row>
    <row r="194" spans="1:18" x14ac:dyDescent="0.3">
      <c r="A194" t="s">
        <v>57</v>
      </c>
      <c r="B194" t="s">
        <v>62</v>
      </c>
      <c r="C194">
        <v>333.76241399999998</v>
      </c>
      <c r="D194">
        <v>100.363679</v>
      </c>
      <c r="E194">
        <v>56.8429</v>
      </c>
      <c r="F194">
        <v>56.831400000000002</v>
      </c>
      <c r="G194">
        <v>0.24199999999999999</v>
      </c>
      <c r="H194">
        <v>0.24399999999999999</v>
      </c>
      <c r="I194" t="s">
        <v>0</v>
      </c>
      <c r="J194" t="s">
        <v>49</v>
      </c>
      <c r="K194" t="s">
        <v>50</v>
      </c>
      <c r="L194">
        <v>0</v>
      </c>
      <c r="M194" t="s">
        <v>51</v>
      </c>
      <c r="N194">
        <v>1</v>
      </c>
      <c r="O194" t="s">
        <v>52</v>
      </c>
      <c r="P194" s="2">
        <v>0.45</v>
      </c>
      <c r="Q194">
        <f>-0.0001155368*3600</f>
        <v>-0.41593247999999999</v>
      </c>
      <c r="R194">
        <f>0.000920843*3600</f>
        <v>3.3150347999999998</v>
      </c>
    </row>
    <row r="195" spans="1:18" x14ac:dyDescent="0.3">
      <c r="A195" t="s">
        <v>57</v>
      </c>
      <c r="B195" t="s">
        <v>62</v>
      </c>
      <c r="C195">
        <v>133.761638</v>
      </c>
      <c r="D195">
        <v>299.63635299999999</v>
      </c>
      <c r="E195">
        <v>56.842399999999998</v>
      </c>
      <c r="F195">
        <v>56.8309</v>
      </c>
      <c r="G195">
        <v>0.24199999999999999</v>
      </c>
      <c r="H195">
        <v>0.24399999999999999</v>
      </c>
      <c r="I195" t="s">
        <v>0</v>
      </c>
      <c r="J195" t="s">
        <v>49</v>
      </c>
      <c r="K195" t="s">
        <v>50</v>
      </c>
      <c r="L195">
        <v>0</v>
      </c>
      <c r="M195" t="s">
        <v>51</v>
      </c>
      <c r="N195">
        <v>1</v>
      </c>
      <c r="O195" t="s">
        <v>52</v>
      </c>
      <c r="P195" s="2">
        <v>0.45</v>
      </c>
      <c r="Q195">
        <f>-0.0010701962*3600</f>
        <v>-3.8527063200000002</v>
      </c>
      <c r="R195">
        <f>-0.0014168841*3600</f>
        <v>-5.1007827600000004</v>
      </c>
    </row>
    <row r="196" spans="1:18" x14ac:dyDescent="0.3">
      <c r="A196" t="s">
        <v>57</v>
      </c>
      <c r="B196" t="s">
        <v>63</v>
      </c>
      <c r="C196">
        <v>332.25327800000002</v>
      </c>
      <c r="D196">
        <v>100.328475</v>
      </c>
      <c r="E196">
        <v>68.751499999999993</v>
      </c>
      <c r="F196">
        <v>68.737700000000004</v>
      </c>
      <c r="G196">
        <v>0.24199999999999999</v>
      </c>
      <c r="H196">
        <v>0.23699999999999999</v>
      </c>
      <c r="I196" t="s">
        <v>0</v>
      </c>
      <c r="J196" t="s">
        <v>49</v>
      </c>
      <c r="K196" t="s">
        <v>50</v>
      </c>
      <c r="L196">
        <v>0</v>
      </c>
      <c r="M196" t="s">
        <v>51</v>
      </c>
      <c r="N196">
        <v>1</v>
      </c>
      <c r="O196" t="s">
        <v>52</v>
      </c>
      <c r="P196" s="2">
        <v>0.4375</v>
      </c>
      <c r="Q196">
        <f>0.0000111742*3600</f>
        <v>4.0227120000000005E-2</v>
      </c>
      <c r="R196">
        <f>0.0002716645*3600</f>
        <v>0.97799219999999987</v>
      </c>
    </row>
    <row r="197" spans="1:18" x14ac:dyDescent="0.3">
      <c r="A197" t="s">
        <v>57</v>
      </c>
      <c r="B197" t="s">
        <v>63</v>
      </c>
      <c r="C197">
        <v>132.253175</v>
      </c>
      <c r="D197">
        <v>299.67140000000001</v>
      </c>
      <c r="E197">
        <v>68.751400000000004</v>
      </c>
      <c r="F197">
        <v>68.7376</v>
      </c>
      <c r="G197">
        <v>0.24199999999999999</v>
      </c>
      <c r="H197">
        <v>0.23699999999999999</v>
      </c>
      <c r="I197" t="s">
        <v>0</v>
      </c>
      <c r="J197" t="s">
        <v>49</v>
      </c>
      <c r="K197" t="s">
        <v>50</v>
      </c>
      <c r="L197">
        <v>0</v>
      </c>
      <c r="M197" t="s">
        <v>51</v>
      </c>
      <c r="N197">
        <v>1</v>
      </c>
      <c r="O197" t="s">
        <v>52</v>
      </c>
      <c r="P197" s="2">
        <v>0.4375</v>
      </c>
      <c r="Q197">
        <f>-0.0006985384*3600</f>
        <v>-2.5147382399999998</v>
      </c>
      <c r="R197">
        <f>-0.0008517985*3600</f>
        <v>-3.0664746000000003</v>
      </c>
    </row>
    <row r="198" spans="1:18" x14ac:dyDescent="0.3">
      <c r="A198" t="s">
        <v>57</v>
      </c>
      <c r="B198" t="s">
        <v>63</v>
      </c>
      <c r="C198">
        <v>332.25357100000002</v>
      </c>
      <c r="D198">
        <v>100.328247</v>
      </c>
      <c r="E198">
        <v>68.751499999999993</v>
      </c>
      <c r="F198">
        <v>68.737700000000004</v>
      </c>
      <c r="G198">
        <v>0.24199999999999999</v>
      </c>
      <c r="H198">
        <v>0.23699999999999999</v>
      </c>
      <c r="I198" t="s">
        <v>0</v>
      </c>
      <c r="J198" t="s">
        <v>49</v>
      </c>
      <c r="K198" t="s">
        <v>50</v>
      </c>
      <c r="L198">
        <v>0</v>
      </c>
      <c r="M198" t="s">
        <v>51</v>
      </c>
      <c r="N198">
        <v>1</v>
      </c>
      <c r="O198" t="s">
        <v>52</v>
      </c>
      <c r="P198" s="2">
        <v>0.4381944444444445</v>
      </c>
      <c r="Q198">
        <f>-0.000020623*3600</f>
        <v>-7.4242799999999998E-2</v>
      </c>
      <c r="R198">
        <f>0.0003201729*3600</f>
        <v>1.15262244</v>
      </c>
    </row>
    <row r="199" spans="1:18" x14ac:dyDescent="0.3">
      <c r="A199" t="s">
        <v>57</v>
      </c>
      <c r="B199" t="s">
        <v>63</v>
      </c>
      <c r="C199">
        <v>132.25323599999999</v>
      </c>
      <c r="D199">
        <v>299.671356</v>
      </c>
      <c r="E199">
        <v>68.751400000000004</v>
      </c>
      <c r="F199">
        <v>68.7376</v>
      </c>
      <c r="G199">
        <v>0.24199999999999999</v>
      </c>
      <c r="H199">
        <v>0.23699999999999999</v>
      </c>
      <c r="I199" t="s">
        <v>0</v>
      </c>
      <c r="J199" t="s">
        <v>49</v>
      </c>
      <c r="K199" t="s">
        <v>50</v>
      </c>
      <c r="L199">
        <v>0</v>
      </c>
      <c r="M199" t="s">
        <v>51</v>
      </c>
      <c r="N199">
        <v>1</v>
      </c>
      <c r="O199" t="s">
        <v>52</v>
      </c>
      <c r="P199" s="2">
        <v>0.44722222222222219</v>
      </c>
      <c r="Q199">
        <f>-0.0006254705*3600</f>
        <v>-2.2516938</v>
      </c>
      <c r="R199">
        <f>-0.0010262329*3600</f>
        <v>-3.6944384400000003</v>
      </c>
    </row>
    <row r="200" spans="1:18" x14ac:dyDescent="0.3">
      <c r="A200" t="s">
        <v>57</v>
      </c>
      <c r="B200" t="s">
        <v>63</v>
      </c>
      <c r="C200">
        <v>332.25375700000001</v>
      </c>
      <c r="D200">
        <v>100.328194</v>
      </c>
      <c r="E200">
        <v>68.751599999999996</v>
      </c>
      <c r="F200">
        <v>68.737799999999993</v>
      </c>
      <c r="G200">
        <v>0.24199999999999999</v>
      </c>
      <c r="H200">
        <v>0.23699999999999999</v>
      </c>
      <c r="I200" t="s">
        <v>0</v>
      </c>
      <c r="J200" t="s">
        <v>49</v>
      </c>
      <c r="K200" t="s">
        <v>50</v>
      </c>
      <c r="L200">
        <v>0</v>
      </c>
      <c r="M200" t="s">
        <v>51</v>
      </c>
      <c r="N200">
        <v>1</v>
      </c>
      <c r="O200" t="s">
        <v>52</v>
      </c>
      <c r="P200" s="2">
        <v>0.44791666666666669</v>
      </c>
      <c r="Q200">
        <f>-0.0001910348*3600</f>
        <v>-0.68772527999999999</v>
      </c>
      <c r="R200">
        <f>0.0008813468*3600</f>
        <v>3.1728484800000003</v>
      </c>
    </row>
    <row r="201" spans="1:18" x14ac:dyDescent="0.3">
      <c r="A201" t="s">
        <v>57</v>
      </c>
      <c r="B201" t="s">
        <v>63</v>
      </c>
      <c r="C201">
        <v>132.25333900000001</v>
      </c>
      <c r="D201">
        <v>299.671424</v>
      </c>
      <c r="E201">
        <v>68.751300000000001</v>
      </c>
      <c r="F201">
        <v>68.737499999999997</v>
      </c>
      <c r="G201">
        <v>0.24199999999999999</v>
      </c>
      <c r="H201">
        <v>0.23699999999999999</v>
      </c>
      <c r="I201" t="s">
        <v>0</v>
      </c>
      <c r="J201" t="s">
        <v>49</v>
      </c>
      <c r="K201" t="s">
        <v>50</v>
      </c>
      <c r="L201">
        <v>0</v>
      </c>
      <c r="M201" t="s">
        <v>51</v>
      </c>
      <c r="N201">
        <v>1</v>
      </c>
      <c r="O201" t="s">
        <v>52</v>
      </c>
      <c r="P201" s="2">
        <v>0.44861111111111113</v>
      </c>
      <c r="Q201">
        <f>-0.0012561777*3600</f>
        <v>-4.52223972</v>
      </c>
      <c r="R201">
        <f>-0.0013224356*3600</f>
        <v>-4.7607681600000005</v>
      </c>
    </row>
    <row r="202" spans="1:18" x14ac:dyDescent="0.3">
      <c r="A202" t="s">
        <v>57</v>
      </c>
      <c r="B202" t="s">
        <v>63</v>
      </c>
      <c r="C202">
        <v>332.25327800000002</v>
      </c>
      <c r="D202">
        <v>100.328287</v>
      </c>
      <c r="E202">
        <v>68.751199999999997</v>
      </c>
      <c r="F202">
        <v>68.737399999999994</v>
      </c>
      <c r="G202">
        <v>0.24199999999999999</v>
      </c>
      <c r="H202">
        <v>0.23699999999999999</v>
      </c>
      <c r="I202" t="s">
        <v>0</v>
      </c>
      <c r="J202" t="s">
        <v>49</v>
      </c>
      <c r="K202" t="s">
        <v>50</v>
      </c>
      <c r="L202">
        <v>0</v>
      </c>
      <c r="M202" t="s">
        <v>51</v>
      </c>
      <c r="N202">
        <v>1</v>
      </c>
      <c r="O202" t="s">
        <v>52</v>
      </c>
      <c r="P202" s="2">
        <v>0.44861111111111113</v>
      </c>
      <c r="Q202">
        <f>-0.0001401591*3600</f>
        <v>-0.50457276000000006</v>
      </c>
      <c r="R202">
        <f>0.0009016533*3600</f>
        <v>3.2459518799999998</v>
      </c>
    </row>
    <row r="203" spans="1:18" x14ac:dyDescent="0.3">
      <c r="A203" t="s">
        <v>57</v>
      </c>
      <c r="B203" t="s">
        <v>63</v>
      </c>
      <c r="C203">
        <v>132.25315800000001</v>
      </c>
      <c r="D203">
        <v>299.67154299999999</v>
      </c>
      <c r="E203">
        <v>68.751199999999997</v>
      </c>
      <c r="F203">
        <v>68.737399999999994</v>
      </c>
      <c r="G203">
        <v>0.24199999999999999</v>
      </c>
      <c r="H203">
        <v>0.23699999999999999</v>
      </c>
      <c r="I203" t="s">
        <v>0</v>
      </c>
      <c r="J203" t="s">
        <v>49</v>
      </c>
      <c r="K203" t="s">
        <v>50</v>
      </c>
      <c r="L203">
        <v>0</v>
      </c>
      <c r="M203" t="s">
        <v>51</v>
      </c>
      <c r="N203">
        <v>1</v>
      </c>
      <c r="O203" t="s">
        <v>52</v>
      </c>
      <c r="P203" s="2">
        <v>0.44930555555555557</v>
      </c>
      <c r="Q203">
        <f>-0.0012366591*3600</f>
        <v>-4.4519727600000003</v>
      </c>
      <c r="R203">
        <f>-0.0013083591*3600</f>
        <v>-4.7100927600000002</v>
      </c>
    </row>
    <row r="204" spans="1:18" x14ac:dyDescent="0.3">
      <c r="A204" t="s">
        <v>57</v>
      </c>
      <c r="B204" t="s">
        <v>63</v>
      </c>
      <c r="C204">
        <v>332.25332600000002</v>
      </c>
      <c r="D204">
        <v>100.32821</v>
      </c>
      <c r="E204">
        <v>68.751499999999993</v>
      </c>
      <c r="F204">
        <v>68.737700000000004</v>
      </c>
      <c r="G204">
        <v>0.24199999999999999</v>
      </c>
      <c r="H204">
        <v>0.23699999999999999</v>
      </c>
      <c r="I204" t="s">
        <v>0</v>
      </c>
      <c r="J204" t="s">
        <v>49</v>
      </c>
      <c r="K204" t="s">
        <v>50</v>
      </c>
      <c r="L204">
        <v>0</v>
      </c>
      <c r="M204" t="s">
        <v>51</v>
      </c>
      <c r="N204">
        <v>1</v>
      </c>
      <c r="O204" t="s">
        <v>52</v>
      </c>
      <c r="P204" s="2">
        <v>0.45</v>
      </c>
      <c r="Q204">
        <f>-0.0002440764*3600</f>
        <v>-0.87867503999999996</v>
      </c>
      <c r="R204">
        <f>0.0008882632*3600</f>
        <v>3.1977475200000001</v>
      </c>
    </row>
    <row r="205" spans="1:18" x14ac:dyDescent="0.3">
      <c r="A205" t="s">
        <v>57</v>
      </c>
      <c r="B205" t="s">
        <v>63</v>
      </c>
      <c r="C205">
        <v>132.253173</v>
      </c>
      <c r="D205">
        <v>299.67143700000003</v>
      </c>
      <c r="E205">
        <v>68.751599999999996</v>
      </c>
      <c r="F205">
        <v>68.737799999999993</v>
      </c>
      <c r="G205">
        <v>0.24199999999999999</v>
      </c>
      <c r="H205">
        <v>0.23699999999999999</v>
      </c>
      <c r="I205" t="s">
        <v>0</v>
      </c>
      <c r="J205" t="s">
        <v>49</v>
      </c>
      <c r="K205" t="s">
        <v>50</v>
      </c>
      <c r="L205">
        <v>0</v>
      </c>
      <c r="M205" t="s">
        <v>51</v>
      </c>
      <c r="N205">
        <v>1</v>
      </c>
      <c r="O205" t="s">
        <v>52</v>
      </c>
      <c r="P205" s="2">
        <v>0.45</v>
      </c>
      <c r="Q205">
        <f>-0.0012610642*3600</f>
        <v>-4.5398311199999997</v>
      </c>
      <c r="R205">
        <f>-0.0013083442*3600</f>
        <v>-4.7100391200000002</v>
      </c>
    </row>
    <row r="206" spans="1:18" x14ac:dyDescent="0.3">
      <c r="P206" s="2"/>
    </row>
    <row r="207" spans="1:18" x14ac:dyDescent="0.3">
      <c r="A207" t="s">
        <v>0</v>
      </c>
      <c r="B207" t="s">
        <v>39</v>
      </c>
      <c r="C207" t="s">
        <v>40</v>
      </c>
      <c r="D207" t="s">
        <v>41</v>
      </c>
      <c r="E207">
        <v>3</v>
      </c>
    </row>
    <row r="208" spans="1:18" x14ac:dyDescent="0.3">
      <c r="A208" t="s">
        <v>0</v>
      </c>
      <c r="B208" t="s">
        <v>42</v>
      </c>
      <c r="C208" t="s">
        <v>43</v>
      </c>
      <c r="D208">
        <v>-187</v>
      </c>
    </row>
    <row r="209" spans="1:18" x14ac:dyDescent="0.3">
      <c r="A209" t="s">
        <v>0</v>
      </c>
      <c r="B209" t="s">
        <v>42</v>
      </c>
      <c r="C209" t="s">
        <v>44</v>
      </c>
      <c r="D209" t="s">
        <v>43</v>
      </c>
      <c r="E209">
        <v>0.9998132757</v>
      </c>
    </row>
    <row r="213" spans="1:18" x14ac:dyDescent="0.3">
      <c r="A213" t="s">
        <v>45</v>
      </c>
      <c r="B213" t="s">
        <v>58</v>
      </c>
    </row>
    <row r="214" spans="1:18" x14ac:dyDescent="0.3">
      <c r="A214" t="s">
        <v>47</v>
      </c>
      <c r="B214" t="s">
        <v>46</v>
      </c>
      <c r="C214">
        <v>145.64754199999999</v>
      </c>
      <c r="D214">
        <v>99.863956000000002</v>
      </c>
      <c r="E214">
        <v>120.52290000000001</v>
      </c>
      <c r="F214">
        <v>120.5001</v>
      </c>
      <c r="G214">
        <v>0.24299999999999999</v>
      </c>
      <c r="H214">
        <v>0.24099999999999999</v>
      </c>
      <c r="I214" t="s">
        <v>0</v>
      </c>
      <c r="J214" t="s">
        <v>49</v>
      </c>
      <c r="K214" t="s">
        <v>50</v>
      </c>
      <c r="L214">
        <v>0</v>
      </c>
      <c r="M214" t="s">
        <v>51</v>
      </c>
      <c r="N214">
        <v>1</v>
      </c>
      <c r="O214" t="s">
        <v>52</v>
      </c>
      <c r="P214" s="2">
        <v>0.4513888888888889</v>
      </c>
      <c r="Q214">
        <f>0.0001482188*3600</f>
        <v>0.53358768000000001</v>
      </c>
      <c r="R214">
        <f>-0.0001461792*3600</f>
        <v>-0.52624512000000001</v>
      </c>
    </row>
    <row r="215" spans="1:18" x14ac:dyDescent="0.3">
      <c r="A215" t="s">
        <v>28</v>
      </c>
      <c r="B215">
        <v>18</v>
      </c>
      <c r="C215" t="s">
        <v>29</v>
      </c>
      <c r="D215" s="3">
        <v>0.6</v>
      </c>
      <c r="E215" t="s">
        <v>30</v>
      </c>
      <c r="F215" t="s">
        <v>31</v>
      </c>
      <c r="G215" t="s">
        <v>32</v>
      </c>
      <c r="H215" t="s">
        <v>33</v>
      </c>
    </row>
    <row r="216" spans="1:18" x14ac:dyDescent="0.3">
      <c r="A216" t="s">
        <v>34</v>
      </c>
      <c r="B216" t="s">
        <v>35</v>
      </c>
      <c r="C216" t="s">
        <v>34</v>
      </c>
      <c r="D216" t="s">
        <v>64</v>
      </c>
    </row>
    <row r="217" spans="1:18" x14ac:dyDescent="0.3">
      <c r="A217" t="s">
        <v>37</v>
      </c>
      <c r="B217" t="s">
        <v>38</v>
      </c>
      <c r="C217">
        <v>0.13</v>
      </c>
    </row>
    <row r="219" spans="1:18" x14ac:dyDescent="0.3">
      <c r="A219" t="s">
        <v>58</v>
      </c>
      <c r="B219" t="s">
        <v>46</v>
      </c>
      <c r="C219">
        <v>145.64787799999999</v>
      </c>
      <c r="D219">
        <v>99.864230000000006</v>
      </c>
      <c r="E219">
        <v>120.52290000000001</v>
      </c>
      <c r="F219">
        <v>120.5001</v>
      </c>
      <c r="G219">
        <v>0.24299999999999999</v>
      </c>
      <c r="H219">
        <v>0.24099999999999999</v>
      </c>
      <c r="I219" t="s">
        <v>0</v>
      </c>
      <c r="J219" t="s">
        <v>49</v>
      </c>
      <c r="K219" t="s">
        <v>50</v>
      </c>
      <c r="L219">
        <v>0</v>
      </c>
      <c r="M219" t="s">
        <v>51</v>
      </c>
      <c r="N219">
        <v>1</v>
      </c>
      <c r="O219" t="s">
        <v>52</v>
      </c>
      <c r="P219" s="2">
        <v>0.45208333333333334</v>
      </c>
      <c r="Q219">
        <f>0.0000088347*3600</f>
        <v>3.180492E-2</v>
      </c>
      <c r="R219">
        <f>-0.0002597122*3600</f>
        <v>-0.93496392000000006</v>
      </c>
    </row>
    <row r="220" spans="1:18" x14ac:dyDescent="0.3">
      <c r="A220" t="s">
        <v>58</v>
      </c>
      <c r="B220" t="s">
        <v>46</v>
      </c>
      <c r="C220">
        <v>345.64750700000002</v>
      </c>
      <c r="D220">
        <v>300.13712199999998</v>
      </c>
      <c r="E220">
        <v>120.52290000000001</v>
      </c>
      <c r="F220">
        <v>120.5001</v>
      </c>
      <c r="G220">
        <v>0.24299999999999999</v>
      </c>
      <c r="H220">
        <v>0.24099999999999999</v>
      </c>
      <c r="I220" t="s">
        <v>0</v>
      </c>
      <c r="J220" t="s">
        <v>49</v>
      </c>
      <c r="K220" t="s">
        <v>50</v>
      </c>
      <c r="L220">
        <v>0</v>
      </c>
      <c r="M220" t="s">
        <v>51</v>
      </c>
      <c r="N220">
        <v>1</v>
      </c>
      <c r="O220" t="s">
        <v>52</v>
      </c>
      <c r="P220" s="2">
        <v>0.45416666666666666</v>
      </c>
      <c r="Q220">
        <f>-0.0005854955*3600</f>
        <v>-2.1077838</v>
      </c>
      <c r="R220">
        <f>0.0003685792*3600</f>
        <v>1.32688512</v>
      </c>
    </row>
    <row r="221" spans="1:18" x14ac:dyDescent="0.3">
      <c r="A221" t="s">
        <v>58</v>
      </c>
      <c r="B221" t="s">
        <v>46</v>
      </c>
      <c r="C221">
        <v>145.648281</v>
      </c>
      <c r="D221">
        <v>99.863708000000003</v>
      </c>
      <c r="E221">
        <v>120.5231</v>
      </c>
      <c r="F221">
        <v>120.5003</v>
      </c>
      <c r="G221">
        <v>0.24299999999999999</v>
      </c>
      <c r="H221">
        <v>0.24099999999999999</v>
      </c>
      <c r="I221" t="s">
        <v>0</v>
      </c>
      <c r="J221" t="s">
        <v>49</v>
      </c>
      <c r="K221" t="s">
        <v>50</v>
      </c>
      <c r="L221">
        <v>0</v>
      </c>
      <c r="M221" t="s">
        <v>51</v>
      </c>
      <c r="N221">
        <v>1</v>
      </c>
      <c r="O221" t="s">
        <v>52</v>
      </c>
      <c r="P221" s="2">
        <v>0.4548611111111111</v>
      </c>
      <c r="Q221">
        <f>0.0001447445*3600</f>
        <v>0.52108019999999999</v>
      </c>
      <c r="R221">
        <f>-0.0000857697*3600</f>
        <v>-0.30877092</v>
      </c>
    </row>
    <row r="222" spans="1:18" x14ac:dyDescent="0.3">
      <c r="A222" t="s">
        <v>58</v>
      </c>
      <c r="B222" t="s">
        <v>46</v>
      </c>
      <c r="C222">
        <v>345.64775100000003</v>
      </c>
      <c r="D222">
        <v>300.13640099999998</v>
      </c>
      <c r="E222">
        <v>120.5227</v>
      </c>
      <c r="F222">
        <v>120.4999</v>
      </c>
      <c r="G222">
        <v>0.24299999999999999</v>
      </c>
      <c r="H222">
        <v>0.24099999999999999</v>
      </c>
      <c r="I222" t="s">
        <v>0</v>
      </c>
      <c r="J222" t="s">
        <v>49</v>
      </c>
      <c r="K222" t="s">
        <v>50</v>
      </c>
      <c r="L222">
        <v>0</v>
      </c>
      <c r="M222" t="s">
        <v>51</v>
      </c>
      <c r="N222">
        <v>1</v>
      </c>
      <c r="O222" t="s">
        <v>52</v>
      </c>
      <c r="P222" s="2">
        <v>0.4597222222222222</v>
      </c>
      <c r="Q222">
        <f>-0.0008069802*3600</f>
        <v>-2.90512872</v>
      </c>
      <c r="R222">
        <f>0.0003205013*3600</f>
        <v>1.1538046799999999</v>
      </c>
    </row>
    <row r="223" spans="1:18" x14ac:dyDescent="0.3">
      <c r="A223" t="s">
        <v>58</v>
      </c>
      <c r="B223" t="s">
        <v>46</v>
      </c>
      <c r="C223">
        <v>145.648718</v>
      </c>
      <c r="D223">
        <v>99.863313000000005</v>
      </c>
      <c r="E223">
        <v>120.523</v>
      </c>
      <c r="F223">
        <v>120.50020000000001</v>
      </c>
      <c r="G223">
        <v>0.24299999999999999</v>
      </c>
      <c r="H223">
        <v>0.24099999999999999</v>
      </c>
      <c r="I223" t="s">
        <v>0</v>
      </c>
      <c r="J223" t="s">
        <v>49</v>
      </c>
      <c r="K223" t="s">
        <v>50</v>
      </c>
      <c r="L223">
        <v>0</v>
      </c>
      <c r="M223" t="s">
        <v>51</v>
      </c>
      <c r="N223">
        <v>1</v>
      </c>
      <c r="O223" t="s">
        <v>52</v>
      </c>
      <c r="P223" s="2">
        <v>0.4597222222222222</v>
      </c>
      <c r="Q223">
        <f>-0.0004103595*3600</f>
        <v>-1.4772942</v>
      </c>
      <c r="R223">
        <f>-0.0000462443*3600</f>
        <v>-0.16647948000000001</v>
      </c>
    </row>
    <row r="224" spans="1:18" x14ac:dyDescent="0.3">
      <c r="A224" t="s">
        <v>58</v>
      </c>
      <c r="B224" t="s">
        <v>46</v>
      </c>
      <c r="C224">
        <v>345.64754799999997</v>
      </c>
      <c r="D224">
        <v>300.136796</v>
      </c>
      <c r="E224">
        <v>120.5227</v>
      </c>
      <c r="F224">
        <v>120.4999</v>
      </c>
      <c r="G224">
        <v>0.24299999999999999</v>
      </c>
      <c r="H224">
        <v>0.24099999999999999</v>
      </c>
      <c r="I224" t="s">
        <v>0</v>
      </c>
      <c r="J224" t="s">
        <v>49</v>
      </c>
      <c r="K224" t="s">
        <v>50</v>
      </c>
      <c r="L224">
        <v>0</v>
      </c>
      <c r="M224" t="s">
        <v>51</v>
      </c>
      <c r="N224">
        <v>1</v>
      </c>
      <c r="O224" t="s">
        <v>52</v>
      </c>
      <c r="P224" s="2">
        <v>0.4604166666666667</v>
      </c>
      <c r="Q224">
        <f>-0.0007341364*3600</f>
        <v>-2.6428910399999999</v>
      </c>
      <c r="R224">
        <f>0.0003711001*3600</f>
        <v>1.3359603600000001</v>
      </c>
    </row>
    <row r="225" spans="1:18" x14ac:dyDescent="0.3">
      <c r="A225" t="s">
        <v>58</v>
      </c>
      <c r="B225" t="s">
        <v>46</v>
      </c>
      <c r="C225">
        <v>145.64857699999999</v>
      </c>
      <c r="D225">
        <v>99.863353000000004</v>
      </c>
      <c r="E225">
        <v>120.5234</v>
      </c>
      <c r="F225">
        <v>120.50060000000001</v>
      </c>
      <c r="G225">
        <v>0.24299999999999999</v>
      </c>
      <c r="H225">
        <v>0.24099999999999999</v>
      </c>
      <c r="I225" t="s">
        <v>0</v>
      </c>
      <c r="J225" t="s">
        <v>49</v>
      </c>
      <c r="K225" t="s">
        <v>50</v>
      </c>
      <c r="L225">
        <v>0</v>
      </c>
      <c r="M225" t="s">
        <v>51</v>
      </c>
      <c r="N225">
        <v>1</v>
      </c>
      <c r="O225" t="s">
        <v>52</v>
      </c>
      <c r="P225" s="2">
        <v>0.4604166666666667</v>
      </c>
      <c r="Q225">
        <f>0.0002861389*3600</f>
        <v>1.03010004</v>
      </c>
      <c r="R225">
        <f>-0.0001218414*3600</f>
        <v>-0.43862904000000003</v>
      </c>
    </row>
    <row r="226" spans="1:18" x14ac:dyDescent="0.3">
      <c r="A226" t="s">
        <v>58</v>
      </c>
      <c r="B226" t="s">
        <v>46</v>
      </c>
      <c r="C226">
        <v>345.647921</v>
      </c>
      <c r="D226">
        <v>300.13666599999999</v>
      </c>
      <c r="E226">
        <v>120.523</v>
      </c>
      <c r="F226">
        <v>120.50020000000001</v>
      </c>
      <c r="G226">
        <v>0.24299999999999999</v>
      </c>
      <c r="H226">
        <v>0.24099999999999999</v>
      </c>
      <c r="I226" t="s">
        <v>0</v>
      </c>
      <c r="J226" t="s">
        <v>49</v>
      </c>
      <c r="K226" t="s">
        <v>50</v>
      </c>
      <c r="L226">
        <v>0</v>
      </c>
      <c r="M226" t="s">
        <v>51</v>
      </c>
      <c r="N226">
        <v>1</v>
      </c>
      <c r="O226" t="s">
        <v>52</v>
      </c>
      <c r="P226" s="2">
        <v>0.46111111111111108</v>
      </c>
      <c r="Q226">
        <f>-0.0008054522*3600</f>
        <v>-2.8996279199999999</v>
      </c>
      <c r="R226">
        <f>-0.0002017791*3600</f>
        <v>-0.72640475999999998</v>
      </c>
    </row>
    <row r="227" spans="1:18" x14ac:dyDescent="0.3">
      <c r="A227" t="s">
        <v>58</v>
      </c>
      <c r="B227" t="s">
        <v>46</v>
      </c>
      <c r="C227">
        <v>145.648405</v>
      </c>
      <c r="D227">
        <v>99.863581999999994</v>
      </c>
      <c r="E227">
        <v>120.5232</v>
      </c>
      <c r="F227">
        <v>120.5004</v>
      </c>
      <c r="G227">
        <v>0.24299999999999999</v>
      </c>
      <c r="H227">
        <v>0.24099999999999999</v>
      </c>
      <c r="I227" t="s">
        <v>0</v>
      </c>
      <c r="J227" t="s">
        <v>49</v>
      </c>
      <c r="K227" t="s">
        <v>50</v>
      </c>
      <c r="L227">
        <v>0</v>
      </c>
      <c r="M227" t="s">
        <v>51</v>
      </c>
      <c r="N227">
        <v>1</v>
      </c>
      <c r="O227" t="s">
        <v>52</v>
      </c>
      <c r="P227" s="2">
        <v>0.46111111111111108</v>
      </c>
      <c r="Q227">
        <f>0.0002647776*3600</f>
        <v>0.95319935999999994</v>
      </c>
      <c r="R227">
        <f>-0.0000951279*3600</f>
        <v>-0.34246043999999998</v>
      </c>
    </row>
    <row r="228" spans="1:18" x14ac:dyDescent="0.3">
      <c r="A228" t="s">
        <v>58</v>
      </c>
      <c r="B228" t="s">
        <v>46</v>
      </c>
      <c r="C228">
        <v>345.64735999999999</v>
      </c>
      <c r="D228">
        <v>300.13714399999998</v>
      </c>
      <c r="E228">
        <v>120.5228</v>
      </c>
      <c r="F228">
        <v>120.5</v>
      </c>
      <c r="G228">
        <v>0.24299999999999999</v>
      </c>
      <c r="H228">
        <v>0.24099999999999999</v>
      </c>
      <c r="I228" t="s">
        <v>0</v>
      </c>
      <c r="J228" t="s">
        <v>49</v>
      </c>
      <c r="K228" t="s">
        <v>50</v>
      </c>
      <c r="L228">
        <v>0</v>
      </c>
      <c r="M228" t="s">
        <v>51</v>
      </c>
      <c r="N228">
        <v>1</v>
      </c>
      <c r="O228" t="s">
        <v>52</v>
      </c>
      <c r="P228" s="2">
        <v>0.46180555555555558</v>
      </c>
      <c r="Q228">
        <f>-0.0007146362*3600</f>
        <v>-2.57269032</v>
      </c>
      <c r="R228">
        <f>0.0002698064*3600</f>
        <v>0.97130304000000001</v>
      </c>
    </row>
    <row r="229" spans="1:18" x14ac:dyDescent="0.3">
      <c r="A229" t="s">
        <v>58</v>
      </c>
      <c r="B229" t="s">
        <v>56</v>
      </c>
      <c r="C229">
        <v>145.83094</v>
      </c>
      <c r="D229">
        <v>99.876818</v>
      </c>
      <c r="E229">
        <v>108.3867</v>
      </c>
      <c r="F229">
        <v>108.36620000000001</v>
      </c>
      <c r="G229">
        <v>0.24299999999999999</v>
      </c>
      <c r="H229">
        <v>0.23799999999999999</v>
      </c>
      <c r="I229" t="s">
        <v>0</v>
      </c>
      <c r="J229" t="s">
        <v>49</v>
      </c>
      <c r="K229" t="s">
        <v>50</v>
      </c>
      <c r="L229">
        <v>0</v>
      </c>
      <c r="M229" t="s">
        <v>51</v>
      </c>
      <c r="N229">
        <v>1</v>
      </c>
      <c r="O229" t="s">
        <v>52</v>
      </c>
      <c r="P229" s="2">
        <v>0.45208333333333334</v>
      </c>
      <c r="Q229">
        <f>0.0000298537*3600</f>
        <v>0.10747332</v>
      </c>
      <c r="R229">
        <f>-0.0003731163*3600</f>
        <v>-1.3432186799999999</v>
      </c>
    </row>
    <row r="230" spans="1:18" x14ac:dyDescent="0.3">
      <c r="A230" t="s">
        <v>58</v>
      </c>
      <c r="B230" t="s">
        <v>56</v>
      </c>
      <c r="C230">
        <v>345.83098100000001</v>
      </c>
      <c r="D230">
        <v>300.12402200000002</v>
      </c>
      <c r="E230">
        <v>108.3867</v>
      </c>
      <c r="F230">
        <v>108.36620000000001</v>
      </c>
      <c r="G230">
        <v>0.24299999999999999</v>
      </c>
      <c r="H230">
        <v>0.23799999999999999</v>
      </c>
      <c r="I230" t="s">
        <v>0</v>
      </c>
      <c r="J230" t="s">
        <v>49</v>
      </c>
      <c r="K230" t="s">
        <v>50</v>
      </c>
      <c r="L230">
        <v>0</v>
      </c>
      <c r="M230" t="s">
        <v>51</v>
      </c>
      <c r="N230">
        <v>1</v>
      </c>
      <c r="O230" t="s">
        <v>52</v>
      </c>
      <c r="P230" s="2">
        <v>0.45416666666666666</v>
      </c>
      <c r="Q230">
        <f>-0.0006739723*3600</f>
        <v>-2.42630028</v>
      </c>
      <c r="R230">
        <f>0.0004066516*3600</f>
        <v>1.4639457599999999</v>
      </c>
    </row>
    <row r="231" spans="1:18" x14ac:dyDescent="0.3">
      <c r="A231" t="s">
        <v>58</v>
      </c>
      <c r="B231" t="s">
        <v>56</v>
      </c>
      <c r="C231">
        <v>145.83143100000001</v>
      </c>
      <c r="D231">
        <v>99.876527999999993</v>
      </c>
      <c r="E231">
        <v>108.3866</v>
      </c>
      <c r="F231">
        <v>108.3661</v>
      </c>
      <c r="G231">
        <v>0.24299999999999999</v>
      </c>
      <c r="H231">
        <v>0.23799999999999999</v>
      </c>
      <c r="I231" t="s">
        <v>0</v>
      </c>
      <c r="J231" t="s">
        <v>49</v>
      </c>
      <c r="K231" t="s">
        <v>50</v>
      </c>
      <c r="L231">
        <v>0</v>
      </c>
      <c r="M231" t="s">
        <v>51</v>
      </c>
      <c r="N231">
        <v>1</v>
      </c>
      <c r="O231" t="s">
        <v>52</v>
      </c>
      <c r="P231" s="2">
        <v>0.4548611111111111</v>
      </c>
      <c r="Q231">
        <f>0.0002438151*3600</f>
        <v>0.87773435999999994</v>
      </c>
      <c r="R231">
        <f>0.0001259263*3600</f>
        <v>0.45333467999999999</v>
      </c>
    </row>
    <row r="232" spans="1:18" x14ac:dyDescent="0.3">
      <c r="A232" t="s">
        <v>58</v>
      </c>
      <c r="B232" t="s">
        <v>56</v>
      </c>
      <c r="C232">
        <v>345.83104400000002</v>
      </c>
      <c r="D232">
        <v>300.12394399999999</v>
      </c>
      <c r="E232">
        <v>108.3862</v>
      </c>
      <c r="F232">
        <v>108.3657</v>
      </c>
      <c r="G232">
        <v>0.24299999999999999</v>
      </c>
      <c r="H232">
        <v>0.23799999999999999</v>
      </c>
      <c r="I232" t="s">
        <v>0</v>
      </c>
      <c r="J232" t="s">
        <v>49</v>
      </c>
      <c r="K232" t="s">
        <v>50</v>
      </c>
      <c r="L232">
        <v>0</v>
      </c>
      <c r="M232" t="s">
        <v>51</v>
      </c>
      <c r="N232">
        <v>1</v>
      </c>
      <c r="O232" t="s">
        <v>52</v>
      </c>
      <c r="P232" s="2">
        <v>0.4597222222222222</v>
      </c>
      <c r="Q232">
        <f>-0.0007062694*3600</f>
        <v>-2.5425698399999996</v>
      </c>
      <c r="R232">
        <f>0.000337676*3600</f>
        <v>1.2156336000000001</v>
      </c>
    </row>
    <row r="233" spans="1:18" x14ac:dyDescent="0.3">
      <c r="A233" t="s">
        <v>58</v>
      </c>
      <c r="B233" t="s">
        <v>56</v>
      </c>
      <c r="C233">
        <v>145.83158599999999</v>
      </c>
      <c r="D233">
        <v>99.876068000000004</v>
      </c>
      <c r="E233">
        <v>108.3867</v>
      </c>
      <c r="F233">
        <v>108.36620000000001</v>
      </c>
      <c r="G233">
        <v>0.24299999999999999</v>
      </c>
      <c r="H233">
        <v>0.23799999999999999</v>
      </c>
      <c r="I233" t="s">
        <v>0</v>
      </c>
      <c r="J233" t="s">
        <v>49</v>
      </c>
      <c r="K233" t="s">
        <v>50</v>
      </c>
      <c r="L233">
        <v>0</v>
      </c>
      <c r="M233" t="s">
        <v>51</v>
      </c>
      <c r="N233">
        <v>1</v>
      </c>
      <c r="O233" t="s">
        <v>52</v>
      </c>
      <c r="P233" s="2">
        <v>0.4597222222222222</v>
      </c>
      <c r="Q233">
        <f>-0.0003342068*3600</f>
        <v>-1.20314448</v>
      </c>
      <c r="R233">
        <f>-0.0000261635*3600</f>
        <v>-9.4188599999999997E-2</v>
      </c>
    </row>
    <row r="234" spans="1:18" x14ac:dyDescent="0.3">
      <c r="A234" t="s">
        <v>58</v>
      </c>
      <c r="B234" t="s">
        <v>56</v>
      </c>
      <c r="C234">
        <v>345.83107899999999</v>
      </c>
      <c r="D234">
        <v>300.12380999999999</v>
      </c>
      <c r="E234">
        <v>108.38639999999999</v>
      </c>
      <c r="F234">
        <v>108.3659</v>
      </c>
      <c r="G234">
        <v>0.24299999999999999</v>
      </c>
      <c r="H234">
        <v>0.23799999999999999</v>
      </c>
      <c r="I234" t="s">
        <v>0</v>
      </c>
      <c r="J234" t="s">
        <v>49</v>
      </c>
      <c r="K234" t="s">
        <v>50</v>
      </c>
      <c r="L234">
        <v>0</v>
      </c>
      <c r="M234" t="s">
        <v>51</v>
      </c>
      <c r="N234">
        <v>1</v>
      </c>
      <c r="O234" t="s">
        <v>52</v>
      </c>
      <c r="P234" s="2">
        <v>0.4604166666666667</v>
      </c>
      <c r="Q234">
        <f>-0.0006678794*3600</f>
        <v>-2.4043658400000001</v>
      </c>
      <c r="R234">
        <f>0.0003239305*3600</f>
        <v>1.1661498000000001</v>
      </c>
    </row>
    <row r="235" spans="1:18" x14ac:dyDescent="0.3">
      <c r="A235" t="s">
        <v>58</v>
      </c>
      <c r="B235" t="s">
        <v>56</v>
      </c>
      <c r="C235">
        <v>145.831333</v>
      </c>
      <c r="D235">
        <v>99.876223999999993</v>
      </c>
      <c r="E235">
        <v>108.38679999999999</v>
      </c>
      <c r="F235">
        <v>108.3663</v>
      </c>
      <c r="G235">
        <v>0.24299999999999999</v>
      </c>
      <c r="H235">
        <v>0.23799999999999999</v>
      </c>
      <c r="I235" t="s">
        <v>0</v>
      </c>
      <c r="J235" t="s">
        <v>49</v>
      </c>
      <c r="K235" t="s">
        <v>50</v>
      </c>
      <c r="L235">
        <v>0</v>
      </c>
      <c r="M235" t="s">
        <v>51</v>
      </c>
      <c r="N235">
        <v>1</v>
      </c>
      <c r="O235" t="s">
        <v>52</v>
      </c>
      <c r="P235" s="2">
        <v>0.4604166666666667</v>
      </c>
      <c r="Q235">
        <f>0.0002154067*3600</f>
        <v>0.77546412000000009</v>
      </c>
      <c r="R235">
        <f>-0.0001506907*3600</f>
        <v>-0.54248651999999997</v>
      </c>
    </row>
    <row r="236" spans="1:18" x14ac:dyDescent="0.3">
      <c r="A236" t="s">
        <v>58</v>
      </c>
      <c r="B236" t="s">
        <v>56</v>
      </c>
      <c r="C236">
        <v>345.83089699999999</v>
      </c>
      <c r="D236">
        <v>300.12372699999997</v>
      </c>
      <c r="E236">
        <v>108.3865</v>
      </c>
      <c r="F236">
        <v>108.366</v>
      </c>
      <c r="G236">
        <v>0.24299999999999999</v>
      </c>
      <c r="H236">
        <v>0.23799999999999999</v>
      </c>
      <c r="I236" t="s">
        <v>0</v>
      </c>
      <c r="J236" t="s">
        <v>49</v>
      </c>
      <c r="K236" t="s">
        <v>50</v>
      </c>
      <c r="L236">
        <v>0</v>
      </c>
      <c r="M236" t="s">
        <v>51</v>
      </c>
      <c r="N236">
        <v>1</v>
      </c>
      <c r="O236" t="s">
        <v>52</v>
      </c>
      <c r="P236" s="2">
        <v>0.46111111111111108</v>
      </c>
      <c r="Q236">
        <f>-0.0007445753*3600</f>
        <v>-2.6804710800000002</v>
      </c>
      <c r="R236">
        <f>-0.0002631362*3600</f>
        <v>-0.94729031999999991</v>
      </c>
    </row>
    <row r="237" spans="1:18" x14ac:dyDescent="0.3">
      <c r="A237" t="s">
        <v>58</v>
      </c>
      <c r="B237" t="s">
        <v>56</v>
      </c>
      <c r="C237">
        <v>145.831354</v>
      </c>
      <c r="D237">
        <v>99.876265000000004</v>
      </c>
      <c r="E237">
        <v>108.38679999999999</v>
      </c>
      <c r="F237">
        <v>108.3663</v>
      </c>
      <c r="G237">
        <v>0.24299999999999999</v>
      </c>
      <c r="H237">
        <v>0.23799999999999999</v>
      </c>
      <c r="I237" t="s">
        <v>0</v>
      </c>
      <c r="J237" t="s">
        <v>49</v>
      </c>
      <c r="K237" t="s">
        <v>50</v>
      </c>
      <c r="L237">
        <v>0</v>
      </c>
      <c r="M237" t="s">
        <v>51</v>
      </c>
      <c r="N237">
        <v>1</v>
      </c>
      <c r="O237" t="s">
        <v>52</v>
      </c>
      <c r="P237" s="2">
        <v>0.46180555555555558</v>
      </c>
      <c r="Q237">
        <f>0.0003067817*3600</f>
        <v>1.1044141200000002</v>
      </c>
      <c r="R237">
        <f>-0.000144271*3600</f>
        <v>-0.51937559999999994</v>
      </c>
    </row>
    <row r="238" spans="1:18" x14ac:dyDescent="0.3">
      <c r="A238" t="s">
        <v>58</v>
      </c>
      <c r="B238" t="s">
        <v>56</v>
      </c>
      <c r="C238">
        <v>345.83123999999998</v>
      </c>
      <c r="D238">
        <v>300.12427600000001</v>
      </c>
      <c r="E238">
        <v>108.38639999999999</v>
      </c>
      <c r="F238">
        <v>108.3659</v>
      </c>
      <c r="G238">
        <v>0.24299999999999999</v>
      </c>
      <c r="H238">
        <v>0.23799999999999999</v>
      </c>
      <c r="I238" t="s">
        <v>0</v>
      </c>
      <c r="J238" t="s">
        <v>49</v>
      </c>
      <c r="K238" t="s">
        <v>50</v>
      </c>
      <c r="L238">
        <v>0</v>
      </c>
      <c r="M238" t="s">
        <v>51</v>
      </c>
      <c r="N238">
        <v>1</v>
      </c>
      <c r="O238" t="s">
        <v>52</v>
      </c>
      <c r="P238" s="2">
        <v>0.46180555555555558</v>
      </c>
      <c r="Q238">
        <f>-0.000750345*3600</f>
        <v>-2.7012420000000001</v>
      </c>
      <c r="R238">
        <f>0.0002935024*3600</f>
        <v>1.0566086399999999</v>
      </c>
    </row>
    <row r="239" spans="1:18" x14ac:dyDescent="0.3">
      <c r="A239" t="s">
        <v>58</v>
      </c>
      <c r="B239" t="s">
        <v>57</v>
      </c>
      <c r="C239">
        <v>139.522423</v>
      </c>
      <c r="D239">
        <v>100.183216</v>
      </c>
      <c r="E239">
        <v>12.2164</v>
      </c>
      <c r="F239">
        <v>12.2141</v>
      </c>
      <c r="G239">
        <v>0.24299999999999999</v>
      </c>
      <c r="H239">
        <v>0.24199999999999999</v>
      </c>
      <c r="I239" t="s">
        <v>0</v>
      </c>
      <c r="J239" t="s">
        <v>49</v>
      </c>
      <c r="K239" t="s">
        <v>50</v>
      </c>
      <c r="L239">
        <v>0</v>
      </c>
      <c r="M239" t="s">
        <v>51</v>
      </c>
      <c r="N239">
        <v>1</v>
      </c>
      <c r="O239" t="s">
        <v>52</v>
      </c>
      <c r="P239" s="2">
        <v>0.45208333333333334</v>
      </c>
      <c r="Q239">
        <f>-0.0001394736*3600</f>
        <v>-0.50210496000000004</v>
      </c>
      <c r="R239">
        <f>-0.000228529*3600</f>
        <v>-0.8227044</v>
      </c>
    </row>
    <row r="240" spans="1:18" x14ac:dyDescent="0.3">
      <c r="A240" t="s">
        <v>58</v>
      </c>
      <c r="B240" t="s">
        <v>57</v>
      </c>
      <c r="C240">
        <v>339.52205199999997</v>
      </c>
      <c r="D240">
        <v>299.81433900000002</v>
      </c>
      <c r="E240">
        <v>12.2163</v>
      </c>
      <c r="F240">
        <v>12.214</v>
      </c>
      <c r="G240">
        <v>0.24299999999999999</v>
      </c>
      <c r="H240">
        <v>0.24199999999999999</v>
      </c>
      <c r="I240" t="s">
        <v>0</v>
      </c>
      <c r="J240" t="s">
        <v>49</v>
      </c>
      <c r="K240" t="s">
        <v>50</v>
      </c>
      <c r="L240">
        <v>0</v>
      </c>
      <c r="M240" t="s">
        <v>51</v>
      </c>
      <c r="N240">
        <v>1</v>
      </c>
      <c r="O240" t="s">
        <v>52</v>
      </c>
      <c r="P240" s="2">
        <v>0.45416666666666666</v>
      </c>
      <c r="Q240">
        <f>-0.0005606477*3600</f>
        <v>-2.0183317199999999</v>
      </c>
      <c r="R240">
        <f>0.000560247*3600</f>
        <v>2.0168892</v>
      </c>
    </row>
    <row r="241" spans="1:18" x14ac:dyDescent="0.3">
      <c r="A241" t="s">
        <v>58</v>
      </c>
      <c r="B241" t="s">
        <v>57</v>
      </c>
      <c r="C241">
        <v>139.52301600000001</v>
      </c>
      <c r="D241">
        <v>100.182732</v>
      </c>
      <c r="E241">
        <v>12.2164</v>
      </c>
      <c r="F241">
        <v>12.2141</v>
      </c>
      <c r="G241">
        <v>0.24299999999999999</v>
      </c>
      <c r="H241">
        <v>0.24199999999999999</v>
      </c>
      <c r="I241" t="s">
        <v>0</v>
      </c>
      <c r="J241" t="s">
        <v>49</v>
      </c>
      <c r="K241" t="s">
        <v>50</v>
      </c>
      <c r="L241">
        <v>0</v>
      </c>
      <c r="M241" t="s">
        <v>51</v>
      </c>
      <c r="N241">
        <v>1</v>
      </c>
      <c r="O241" t="s">
        <v>52</v>
      </c>
      <c r="P241" s="2">
        <v>0.45902777777777781</v>
      </c>
      <c r="Q241">
        <f>0.000184714*3600</f>
        <v>0.66497039999999996</v>
      </c>
      <c r="R241">
        <f>-0.0001157898*3600</f>
        <v>-0.41684327999999998</v>
      </c>
    </row>
    <row r="242" spans="1:18" x14ac:dyDescent="0.3">
      <c r="A242" t="s">
        <v>58</v>
      </c>
      <c r="B242" t="s">
        <v>57</v>
      </c>
      <c r="C242">
        <v>339.52222899999998</v>
      </c>
      <c r="D242">
        <v>299.81442099999998</v>
      </c>
      <c r="E242">
        <v>12.216100000000001</v>
      </c>
      <c r="F242">
        <v>12.213800000000001</v>
      </c>
      <c r="G242">
        <v>0.24299999999999999</v>
      </c>
      <c r="H242">
        <v>0.24199999999999999</v>
      </c>
      <c r="I242" t="s">
        <v>0</v>
      </c>
      <c r="J242" t="s">
        <v>49</v>
      </c>
      <c r="K242" t="s">
        <v>50</v>
      </c>
      <c r="L242">
        <v>0</v>
      </c>
      <c r="M242" t="s">
        <v>51</v>
      </c>
      <c r="N242">
        <v>1</v>
      </c>
      <c r="O242" t="s">
        <v>52</v>
      </c>
      <c r="P242" s="2">
        <v>0.4597222222222222</v>
      </c>
      <c r="Q242">
        <f>-0.0006695309*3600</f>
        <v>-2.41031124</v>
      </c>
      <c r="R242">
        <f>0.0004817355*3600</f>
        <v>1.7342478000000001</v>
      </c>
    </row>
    <row r="243" spans="1:18" x14ac:dyDescent="0.3">
      <c r="A243" t="s">
        <v>58</v>
      </c>
      <c r="B243" t="s">
        <v>57</v>
      </c>
      <c r="C243">
        <v>139.522784</v>
      </c>
      <c r="D243">
        <v>100.18269600000001</v>
      </c>
      <c r="E243">
        <v>12.2165</v>
      </c>
      <c r="F243">
        <v>12.2142</v>
      </c>
      <c r="G243">
        <v>0.24299999999999999</v>
      </c>
      <c r="H243">
        <v>0.24199999999999999</v>
      </c>
      <c r="I243" t="s">
        <v>0</v>
      </c>
      <c r="J243" t="s">
        <v>49</v>
      </c>
      <c r="K243" t="s">
        <v>50</v>
      </c>
      <c r="L243">
        <v>0</v>
      </c>
      <c r="M243" t="s">
        <v>51</v>
      </c>
      <c r="N243">
        <v>1</v>
      </c>
      <c r="O243" t="s">
        <v>52</v>
      </c>
      <c r="P243" s="2">
        <v>0.4597222222222222</v>
      </c>
      <c r="Q243">
        <f>-0.0003421709*3600</f>
        <v>-1.23181524</v>
      </c>
      <c r="R243">
        <f>0.000001392*3600</f>
        <v>5.0111999999999995E-3</v>
      </c>
    </row>
    <row r="244" spans="1:18" x14ac:dyDescent="0.3">
      <c r="A244" t="s">
        <v>58</v>
      </c>
      <c r="B244" t="s">
        <v>57</v>
      </c>
      <c r="C244">
        <v>339.52197699999999</v>
      </c>
      <c r="D244">
        <v>299.81432899999999</v>
      </c>
      <c r="E244">
        <v>12.216200000000001</v>
      </c>
      <c r="F244">
        <v>12.213900000000001</v>
      </c>
      <c r="G244">
        <v>0.24299999999999999</v>
      </c>
      <c r="H244">
        <v>0.24199999999999999</v>
      </c>
      <c r="I244" t="s">
        <v>0</v>
      </c>
      <c r="J244" t="s">
        <v>49</v>
      </c>
      <c r="K244" t="s">
        <v>50</v>
      </c>
      <c r="L244">
        <v>0</v>
      </c>
      <c r="M244" t="s">
        <v>51</v>
      </c>
      <c r="N244">
        <v>1</v>
      </c>
      <c r="O244" t="s">
        <v>52</v>
      </c>
      <c r="P244" s="2">
        <v>0.4604166666666667</v>
      </c>
      <c r="Q244">
        <f>-0.00071043*3600</f>
        <v>-2.5575479999999997</v>
      </c>
      <c r="R244">
        <f>0.0004869151*3600</f>
        <v>1.75289436</v>
      </c>
    </row>
    <row r="245" spans="1:18" x14ac:dyDescent="0.3">
      <c r="A245" t="s">
        <v>58</v>
      </c>
      <c r="B245" t="s">
        <v>57</v>
      </c>
      <c r="C245">
        <v>139.522842</v>
      </c>
      <c r="D245">
        <v>100.182772</v>
      </c>
      <c r="E245">
        <v>12.2164</v>
      </c>
      <c r="F245">
        <v>12.2141</v>
      </c>
      <c r="G245">
        <v>0.24299999999999999</v>
      </c>
      <c r="H245">
        <v>0.24199999999999999</v>
      </c>
      <c r="I245" t="s">
        <v>0</v>
      </c>
      <c r="J245" t="s">
        <v>49</v>
      </c>
      <c r="K245" t="s">
        <v>50</v>
      </c>
      <c r="L245">
        <v>0</v>
      </c>
      <c r="M245" t="s">
        <v>51</v>
      </c>
      <c r="N245">
        <v>1</v>
      </c>
      <c r="O245" t="s">
        <v>52</v>
      </c>
      <c r="P245" s="2">
        <v>0.46111111111111108</v>
      </c>
      <c r="Q245">
        <f>0.0002251381*3600</f>
        <v>0.81049716000000005</v>
      </c>
      <c r="R245">
        <f>-0.0000998454*3600</f>
        <v>-0.35944344</v>
      </c>
    </row>
    <row r="246" spans="1:18" x14ac:dyDescent="0.3">
      <c r="A246" t="s">
        <v>58</v>
      </c>
      <c r="B246" t="s">
        <v>57</v>
      </c>
      <c r="C246">
        <v>339.52215999999999</v>
      </c>
      <c r="D246">
        <v>299.814279</v>
      </c>
      <c r="E246">
        <v>12.2164</v>
      </c>
      <c r="F246">
        <v>12.2141</v>
      </c>
      <c r="G246">
        <v>0.24299999999999999</v>
      </c>
      <c r="H246">
        <v>0.24199999999999999</v>
      </c>
      <c r="I246" t="s">
        <v>0</v>
      </c>
      <c r="J246" t="s">
        <v>49</v>
      </c>
      <c r="K246" t="s">
        <v>50</v>
      </c>
      <c r="L246">
        <v>0</v>
      </c>
      <c r="M246" t="s">
        <v>51</v>
      </c>
      <c r="N246">
        <v>1</v>
      </c>
      <c r="O246" t="s">
        <v>52</v>
      </c>
      <c r="P246" s="2">
        <v>0.46111111111111108</v>
      </c>
      <c r="Q246">
        <f>-0.0007641782*3600</f>
        <v>-2.7510415199999998</v>
      </c>
      <c r="R246">
        <f>-0.0001057855*3600</f>
        <v>-0.38082779999999999</v>
      </c>
    </row>
    <row r="247" spans="1:18" x14ac:dyDescent="0.3">
      <c r="A247" t="s">
        <v>58</v>
      </c>
      <c r="B247" t="s">
        <v>57</v>
      </c>
      <c r="C247">
        <v>139.52315400000001</v>
      </c>
      <c r="D247">
        <v>100.182497</v>
      </c>
      <c r="E247">
        <v>12.2165</v>
      </c>
      <c r="F247">
        <v>12.2142</v>
      </c>
      <c r="G247">
        <v>0.24299999999999999</v>
      </c>
      <c r="H247">
        <v>0.24199999999999999</v>
      </c>
      <c r="I247" t="s">
        <v>0</v>
      </c>
      <c r="J247" t="s">
        <v>49</v>
      </c>
      <c r="K247" t="s">
        <v>50</v>
      </c>
      <c r="L247">
        <v>0</v>
      </c>
      <c r="M247" t="s">
        <v>51</v>
      </c>
      <c r="N247">
        <v>1</v>
      </c>
      <c r="O247" t="s">
        <v>52</v>
      </c>
      <c r="P247" s="2">
        <v>0.46180555555555558</v>
      </c>
      <c r="Q247">
        <f>0.0002332002*3600</f>
        <v>0.83952072</v>
      </c>
      <c r="R247">
        <f>-0.0000238821*3600</f>
        <v>-8.5975559999999993E-2</v>
      </c>
    </row>
    <row r="248" spans="1:18" x14ac:dyDescent="0.3">
      <c r="A248" t="s">
        <v>58</v>
      </c>
      <c r="B248" t="s">
        <v>57</v>
      </c>
      <c r="C248">
        <v>339.52217000000002</v>
      </c>
      <c r="D248">
        <v>299.81427600000001</v>
      </c>
      <c r="E248">
        <v>12.2163</v>
      </c>
      <c r="F248">
        <v>12.214</v>
      </c>
      <c r="G248">
        <v>0.24299999999999999</v>
      </c>
      <c r="H248">
        <v>0.24199999999999999</v>
      </c>
      <c r="I248" t="s">
        <v>0</v>
      </c>
      <c r="J248" t="s">
        <v>49</v>
      </c>
      <c r="K248" t="s">
        <v>50</v>
      </c>
      <c r="L248">
        <v>0</v>
      </c>
      <c r="M248" t="s">
        <v>51</v>
      </c>
      <c r="N248">
        <v>1</v>
      </c>
      <c r="O248" t="s">
        <v>52</v>
      </c>
      <c r="P248" s="2">
        <v>0.46180555555555558</v>
      </c>
      <c r="Q248">
        <f>-0.0006855564*3600</f>
        <v>-2.4680030399999997</v>
      </c>
      <c r="R248">
        <f>0.0004888362*3600</f>
        <v>1.7598103200000002</v>
      </c>
    </row>
    <row r="249" spans="1:18" x14ac:dyDescent="0.3">
      <c r="A249" t="s">
        <v>58</v>
      </c>
      <c r="B249" t="s">
        <v>62</v>
      </c>
      <c r="C249">
        <v>332.19144299999999</v>
      </c>
      <c r="D249">
        <v>100.51349999999999</v>
      </c>
      <c r="E249">
        <v>44.6907</v>
      </c>
      <c r="F249">
        <v>44.680900000000001</v>
      </c>
      <c r="G249">
        <v>0.24299999999999999</v>
      </c>
      <c r="H249">
        <v>0.24399999999999999</v>
      </c>
      <c r="I249" t="s">
        <v>0</v>
      </c>
      <c r="J249" t="s">
        <v>49</v>
      </c>
      <c r="K249" t="s">
        <v>50</v>
      </c>
      <c r="L249">
        <v>0</v>
      </c>
      <c r="M249" t="s">
        <v>51</v>
      </c>
      <c r="N249">
        <v>1</v>
      </c>
      <c r="O249" t="s">
        <v>52</v>
      </c>
      <c r="P249" s="2">
        <v>0.45347222222222222</v>
      </c>
      <c r="Q249">
        <f>-0.0005789775*3600</f>
        <v>-2.0843189999999998</v>
      </c>
      <c r="R249">
        <f>0.0006497064*3600</f>
        <v>2.3389430400000002</v>
      </c>
    </row>
    <row r="250" spans="1:18" x14ac:dyDescent="0.3">
      <c r="A250" t="s">
        <v>58</v>
      </c>
      <c r="B250" t="s">
        <v>62</v>
      </c>
      <c r="C250">
        <v>132.19119800000001</v>
      </c>
      <c r="D250">
        <v>299.48582499999998</v>
      </c>
      <c r="E250">
        <v>44.6907</v>
      </c>
      <c r="F250">
        <v>44.680900000000001</v>
      </c>
      <c r="G250">
        <v>0.24299999999999999</v>
      </c>
      <c r="H250">
        <v>0.24399999999999999</v>
      </c>
      <c r="I250" t="s">
        <v>0</v>
      </c>
      <c r="J250" t="s">
        <v>49</v>
      </c>
      <c r="K250" t="s">
        <v>50</v>
      </c>
      <c r="L250">
        <v>0</v>
      </c>
      <c r="M250" t="s">
        <v>51</v>
      </c>
      <c r="N250">
        <v>1</v>
      </c>
      <c r="O250" t="s">
        <v>52</v>
      </c>
      <c r="P250" s="2">
        <v>0.45416666666666666</v>
      </c>
      <c r="Q250">
        <f>-0.0003588669*3600</f>
        <v>-1.29192084</v>
      </c>
      <c r="R250">
        <f>-0.0001720361*3600</f>
        <v>-0.61932996000000007</v>
      </c>
    </row>
    <row r="251" spans="1:18" x14ac:dyDescent="0.3">
      <c r="A251" t="s">
        <v>58</v>
      </c>
      <c r="B251" t="s">
        <v>62</v>
      </c>
      <c r="C251">
        <v>332.19119599999999</v>
      </c>
      <c r="D251">
        <v>100.51310599999999</v>
      </c>
      <c r="E251">
        <v>44.690800000000003</v>
      </c>
      <c r="F251">
        <v>44.680999999999997</v>
      </c>
      <c r="G251">
        <v>0.24299999999999999</v>
      </c>
      <c r="H251">
        <v>0.24399999999999999</v>
      </c>
      <c r="I251" t="s">
        <v>0</v>
      </c>
      <c r="J251" t="s">
        <v>49</v>
      </c>
      <c r="K251" t="s">
        <v>50</v>
      </c>
      <c r="L251">
        <v>0</v>
      </c>
      <c r="M251" t="s">
        <v>51</v>
      </c>
      <c r="N251">
        <v>1</v>
      </c>
      <c r="O251" t="s">
        <v>52</v>
      </c>
      <c r="P251" s="2">
        <v>0.4597222222222222</v>
      </c>
      <c r="Q251">
        <f>-0.0004988634*3600</f>
        <v>-1.7959082400000002</v>
      </c>
      <c r="R251">
        <f>0.0005754316*3600</f>
        <v>2.07155376</v>
      </c>
    </row>
    <row r="252" spans="1:18" x14ac:dyDescent="0.3">
      <c r="A252" t="s">
        <v>58</v>
      </c>
      <c r="B252" t="s">
        <v>62</v>
      </c>
      <c r="C252">
        <v>132.19129699999999</v>
      </c>
      <c r="D252">
        <v>299.48614800000001</v>
      </c>
      <c r="E252">
        <v>44.690399999999997</v>
      </c>
      <c r="F252">
        <v>44.680599999999998</v>
      </c>
      <c r="G252">
        <v>0.24299999999999999</v>
      </c>
      <c r="H252">
        <v>0.24399999999999999</v>
      </c>
      <c r="I252" t="s">
        <v>0</v>
      </c>
      <c r="J252" t="s">
        <v>49</v>
      </c>
      <c r="K252" t="s">
        <v>50</v>
      </c>
      <c r="L252">
        <v>0</v>
      </c>
      <c r="M252" t="s">
        <v>51</v>
      </c>
      <c r="N252">
        <v>1</v>
      </c>
      <c r="O252" t="s">
        <v>52</v>
      </c>
      <c r="P252" s="2">
        <v>0.4597222222222222</v>
      </c>
      <c r="Q252">
        <f>-0.0003156745*3600</f>
        <v>-1.1364282000000001</v>
      </c>
      <c r="R252">
        <f>-0.000261266*3600</f>
        <v>-0.9405576000000001</v>
      </c>
    </row>
    <row r="253" spans="1:18" x14ac:dyDescent="0.3">
      <c r="A253" t="s">
        <v>58</v>
      </c>
      <c r="B253" t="s">
        <v>62</v>
      </c>
      <c r="C253">
        <v>332.19170400000002</v>
      </c>
      <c r="D253">
        <v>100.513858</v>
      </c>
      <c r="E253">
        <v>44.690800000000003</v>
      </c>
      <c r="F253">
        <v>44.680999999999997</v>
      </c>
      <c r="G253">
        <v>0.24299999999999999</v>
      </c>
      <c r="H253">
        <v>0.24399999999999999</v>
      </c>
      <c r="I253" t="s">
        <v>0</v>
      </c>
      <c r="J253" t="s">
        <v>49</v>
      </c>
      <c r="K253" t="s">
        <v>50</v>
      </c>
      <c r="L253">
        <v>0</v>
      </c>
      <c r="M253" t="s">
        <v>51</v>
      </c>
      <c r="N253">
        <v>1</v>
      </c>
      <c r="O253" t="s">
        <v>52</v>
      </c>
      <c r="P253" s="2">
        <v>0.4604166666666667</v>
      </c>
      <c r="Q253">
        <f>-0.000705049*3600</f>
        <v>-2.5381764000000002</v>
      </c>
      <c r="R253">
        <f>-0.0000432173*3600</f>
        <v>-0.15558227999999999</v>
      </c>
    </row>
    <row r="254" spans="1:18" x14ac:dyDescent="0.3">
      <c r="A254" t="s">
        <v>58</v>
      </c>
      <c r="B254" t="s">
        <v>62</v>
      </c>
      <c r="C254">
        <v>132.19094799999999</v>
      </c>
      <c r="D254">
        <v>299.48636599999998</v>
      </c>
      <c r="E254">
        <v>44.690600000000003</v>
      </c>
      <c r="F254">
        <v>44.680799999999998</v>
      </c>
      <c r="G254">
        <v>0.24299999999999999</v>
      </c>
      <c r="H254">
        <v>0.24399999999999999</v>
      </c>
      <c r="I254" t="s">
        <v>0</v>
      </c>
      <c r="J254" t="s">
        <v>49</v>
      </c>
      <c r="K254" t="s">
        <v>50</v>
      </c>
      <c r="L254">
        <v>0</v>
      </c>
      <c r="M254" t="s">
        <v>51</v>
      </c>
      <c r="N254">
        <v>1</v>
      </c>
      <c r="O254" t="s">
        <v>52</v>
      </c>
      <c r="P254" s="2">
        <v>0.4604166666666667</v>
      </c>
      <c r="Q254">
        <f>-0.0003602865*3600</f>
        <v>-1.2970313999999998</v>
      </c>
      <c r="R254">
        <f>-0.0002680833*3600</f>
        <v>-0.96509988000000002</v>
      </c>
    </row>
    <row r="255" spans="1:18" x14ac:dyDescent="0.3">
      <c r="A255" t="s">
        <v>58</v>
      </c>
      <c r="B255" t="s">
        <v>62</v>
      </c>
      <c r="C255">
        <v>332.19133699999998</v>
      </c>
      <c r="D255">
        <v>100.513575</v>
      </c>
      <c r="E255">
        <v>44.690600000000003</v>
      </c>
      <c r="F255">
        <v>44.680799999999998</v>
      </c>
      <c r="G255">
        <v>0.24299999999999999</v>
      </c>
      <c r="H255">
        <v>0.24399999999999999</v>
      </c>
      <c r="I255" t="s">
        <v>0</v>
      </c>
      <c r="J255" t="s">
        <v>49</v>
      </c>
      <c r="K255" t="s">
        <v>50</v>
      </c>
      <c r="L255">
        <v>0</v>
      </c>
      <c r="M255" t="s">
        <v>51</v>
      </c>
      <c r="N255">
        <v>1</v>
      </c>
      <c r="O255" t="s">
        <v>52</v>
      </c>
      <c r="P255" s="2">
        <v>0.46111111111111108</v>
      </c>
      <c r="Q255">
        <f>-0.0005218921*3600</f>
        <v>-1.8788115599999999</v>
      </c>
      <c r="R255">
        <f>0.0006065871*3600</f>
        <v>2.1837135600000002</v>
      </c>
    </row>
    <row r="256" spans="1:18" x14ac:dyDescent="0.3">
      <c r="A256" t="s">
        <v>58</v>
      </c>
      <c r="B256" t="s">
        <v>62</v>
      </c>
      <c r="C256">
        <v>132.19104999999999</v>
      </c>
      <c r="D256">
        <v>299.48640899999998</v>
      </c>
      <c r="E256">
        <v>44.690300000000001</v>
      </c>
      <c r="F256">
        <v>44.680500000000002</v>
      </c>
      <c r="G256">
        <v>0.24299999999999999</v>
      </c>
      <c r="H256">
        <v>0.24399999999999999</v>
      </c>
      <c r="I256" t="s">
        <v>0</v>
      </c>
      <c r="J256" t="s">
        <v>49</v>
      </c>
      <c r="K256" t="s">
        <v>50</v>
      </c>
      <c r="L256">
        <v>0</v>
      </c>
      <c r="M256" t="s">
        <v>51</v>
      </c>
      <c r="N256">
        <v>1</v>
      </c>
      <c r="O256" t="s">
        <v>52</v>
      </c>
      <c r="P256" s="2">
        <v>0.46180555555555558</v>
      </c>
      <c r="Q256">
        <f>-0.0005235983*3600</f>
        <v>-1.8849538800000001</v>
      </c>
      <c r="R256">
        <f>0.0005885077*3600</f>
        <v>2.1186277199999997</v>
      </c>
    </row>
    <row r="257" spans="1:18" x14ac:dyDescent="0.3">
      <c r="A257" t="s">
        <v>58</v>
      </c>
      <c r="B257" t="s">
        <v>62</v>
      </c>
      <c r="C257">
        <v>332.19140800000002</v>
      </c>
      <c r="D257">
        <v>100.513381</v>
      </c>
      <c r="E257">
        <v>44.690600000000003</v>
      </c>
      <c r="F257">
        <v>44.680799999999998</v>
      </c>
      <c r="G257">
        <v>0.24299999999999999</v>
      </c>
      <c r="H257">
        <v>0.24399999999999999</v>
      </c>
      <c r="I257" t="s">
        <v>0</v>
      </c>
      <c r="J257" t="s">
        <v>49</v>
      </c>
      <c r="K257" t="s">
        <v>50</v>
      </c>
      <c r="L257">
        <v>0</v>
      </c>
      <c r="M257" t="s">
        <v>51</v>
      </c>
      <c r="N257">
        <v>1</v>
      </c>
      <c r="O257" t="s">
        <v>52</v>
      </c>
      <c r="P257" s="2">
        <v>0.46180555555555558</v>
      </c>
      <c r="Q257">
        <f>-0.0002718604*3600</f>
        <v>-0.97869743999999992</v>
      </c>
      <c r="R257">
        <f>-0.0001850818*3600</f>
        <v>-0.66629448000000002</v>
      </c>
    </row>
    <row r="258" spans="1:18" x14ac:dyDescent="0.3">
      <c r="A258" t="s">
        <v>58</v>
      </c>
      <c r="B258" t="s">
        <v>62</v>
      </c>
      <c r="C258">
        <v>132.19134700000001</v>
      </c>
      <c r="D258">
        <v>299.48586799999998</v>
      </c>
      <c r="E258">
        <v>44.6905</v>
      </c>
      <c r="F258">
        <v>44.680700000000002</v>
      </c>
      <c r="G258">
        <v>0.24299999999999999</v>
      </c>
      <c r="H258">
        <v>0.24399999999999999</v>
      </c>
      <c r="I258" t="s">
        <v>0</v>
      </c>
      <c r="J258" t="s">
        <v>49</v>
      </c>
      <c r="K258" t="s">
        <v>50</v>
      </c>
      <c r="L258">
        <v>0</v>
      </c>
      <c r="M258" t="s">
        <v>51</v>
      </c>
      <c r="N258">
        <v>1</v>
      </c>
      <c r="O258" t="s">
        <v>52</v>
      </c>
      <c r="P258" s="2">
        <v>0.46249999999999997</v>
      </c>
      <c r="Q258">
        <f>0.0001426677*3600</f>
        <v>0.51360371999999999</v>
      </c>
      <c r="R258">
        <f>-0.0002744227*3600</f>
        <v>-0.98792172</v>
      </c>
    </row>
    <row r="259" spans="1:18" x14ac:dyDescent="0.3">
      <c r="A259" t="s">
        <v>58</v>
      </c>
      <c r="B259" t="s">
        <v>63</v>
      </c>
      <c r="C259">
        <v>330.690586</v>
      </c>
      <c r="D259">
        <v>100.43875199999999</v>
      </c>
      <c r="E259">
        <v>56.632199999999997</v>
      </c>
      <c r="F259">
        <v>56.6203</v>
      </c>
      <c r="G259">
        <v>0.24299999999999999</v>
      </c>
      <c r="H259">
        <v>0.23699999999999999</v>
      </c>
      <c r="I259" t="s">
        <v>0</v>
      </c>
      <c r="J259" t="s">
        <v>49</v>
      </c>
      <c r="K259" t="s">
        <v>50</v>
      </c>
      <c r="L259">
        <v>0</v>
      </c>
      <c r="M259" t="s">
        <v>51</v>
      </c>
      <c r="N259">
        <v>1</v>
      </c>
      <c r="O259" t="s">
        <v>52</v>
      </c>
      <c r="P259" s="2">
        <v>0.45347222222222222</v>
      </c>
      <c r="Q259">
        <f>-0.0005600658*3600</f>
        <v>-2.0162368799999997</v>
      </c>
      <c r="R259">
        <f>0.0006356706*3600</f>
        <v>2.2884141599999999</v>
      </c>
    </row>
    <row r="260" spans="1:18" x14ac:dyDescent="0.3">
      <c r="A260" t="s">
        <v>58</v>
      </c>
      <c r="B260" t="s">
        <v>63</v>
      </c>
      <c r="C260">
        <v>130.69021000000001</v>
      </c>
      <c r="D260">
        <v>299.56127400000003</v>
      </c>
      <c r="E260">
        <v>56.632199999999997</v>
      </c>
      <c r="F260">
        <v>56.6203</v>
      </c>
      <c r="G260">
        <v>0.24299999999999999</v>
      </c>
      <c r="H260">
        <v>0.23699999999999999</v>
      </c>
      <c r="I260" t="s">
        <v>0</v>
      </c>
      <c r="J260" t="s">
        <v>49</v>
      </c>
      <c r="K260" t="s">
        <v>50</v>
      </c>
      <c r="L260">
        <v>0</v>
      </c>
      <c r="M260" t="s">
        <v>51</v>
      </c>
      <c r="N260">
        <v>1</v>
      </c>
      <c r="O260" t="s">
        <v>52</v>
      </c>
      <c r="P260" s="2">
        <v>0.45416666666666666</v>
      </c>
      <c r="Q260">
        <f>-0.0003666367*3600</f>
        <v>-1.31989212</v>
      </c>
      <c r="R260">
        <f>-0.0000625801*3600</f>
        <v>-0.22528835999999997</v>
      </c>
    </row>
    <row r="261" spans="1:18" x14ac:dyDescent="0.3">
      <c r="A261" t="s">
        <v>58</v>
      </c>
      <c r="B261" t="s">
        <v>63</v>
      </c>
      <c r="C261">
        <v>330.69106900000003</v>
      </c>
      <c r="D261">
        <v>100.438804</v>
      </c>
      <c r="E261">
        <v>56.632300000000001</v>
      </c>
      <c r="F261">
        <v>56.620399999999997</v>
      </c>
      <c r="G261">
        <v>0.24299999999999999</v>
      </c>
      <c r="H261">
        <v>0.23699999999999999</v>
      </c>
      <c r="I261" t="s">
        <v>0</v>
      </c>
      <c r="J261" t="s">
        <v>49</v>
      </c>
      <c r="K261" t="s">
        <v>50</v>
      </c>
      <c r="L261">
        <v>0</v>
      </c>
      <c r="M261" t="s">
        <v>51</v>
      </c>
      <c r="N261">
        <v>1</v>
      </c>
      <c r="O261" t="s">
        <v>52</v>
      </c>
      <c r="P261" s="2">
        <v>0.4597222222222222</v>
      </c>
      <c r="Q261">
        <f>-0.0005740089*3600</f>
        <v>-2.06643204</v>
      </c>
      <c r="R261">
        <f>0.0005975468*3600</f>
        <v>2.1511684799999999</v>
      </c>
    </row>
    <row r="262" spans="1:18" x14ac:dyDescent="0.3">
      <c r="A262" t="s">
        <v>58</v>
      </c>
      <c r="B262" t="s">
        <v>63</v>
      </c>
      <c r="C262">
        <v>130.690124</v>
      </c>
      <c r="D262">
        <v>299.56101699999999</v>
      </c>
      <c r="E262">
        <v>56.631900000000002</v>
      </c>
      <c r="F262">
        <v>56.62</v>
      </c>
      <c r="G262">
        <v>0.24299999999999999</v>
      </c>
      <c r="H262">
        <v>0.23699999999999999</v>
      </c>
      <c r="I262" t="s">
        <v>0</v>
      </c>
      <c r="J262" t="s">
        <v>49</v>
      </c>
      <c r="K262" t="s">
        <v>50</v>
      </c>
      <c r="L262">
        <v>0</v>
      </c>
      <c r="M262" t="s">
        <v>51</v>
      </c>
      <c r="N262">
        <v>1</v>
      </c>
      <c r="O262" t="s">
        <v>52</v>
      </c>
      <c r="P262" s="2">
        <v>0.4597222222222222</v>
      </c>
      <c r="Q262">
        <f>-0.000328931*3600</f>
        <v>-1.1841516000000001</v>
      </c>
      <c r="R262">
        <f>-0.0001706013*3600</f>
        <v>-0.61416468000000002</v>
      </c>
    </row>
    <row r="263" spans="1:18" x14ac:dyDescent="0.3">
      <c r="A263" t="s">
        <v>58</v>
      </c>
      <c r="B263" t="s">
        <v>63</v>
      </c>
      <c r="C263">
        <v>330.69082200000003</v>
      </c>
      <c r="D263">
        <v>100.439161</v>
      </c>
      <c r="E263">
        <v>56.632300000000001</v>
      </c>
      <c r="F263">
        <v>56.620399999999997</v>
      </c>
      <c r="G263">
        <v>0.24299999999999999</v>
      </c>
      <c r="H263">
        <v>0.23699999999999999</v>
      </c>
      <c r="I263" t="s">
        <v>0</v>
      </c>
      <c r="J263" t="s">
        <v>49</v>
      </c>
      <c r="K263" t="s">
        <v>50</v>
      </c>
      <c r="L263">
        <v>0</v>
      </c>
      <c r="M263" t="s">
        <v>51</v>
      </c>
      <c r="N263">
        <v>1</v>
      </c>
      <c r="O263" t="s">
        <v>52</v>
      </c>
      <c r="P263" s="2">
        <v>0.4604166666666667</v>
      </c>
      <c r="Q263">
        <f>-0.0008011488*3600</f>
        <v>-2.88413568</v>
      </c>
      <c r="R263">
        <f>-0.0000120113*3600</f>
        <v>-4.3240679999999997E-2</v>
      </c>
    </row>
    <row r="264" spans="1:18" x14ac:dyDescent="0.3">
      <c r="A264" t="s">
        <v>58</v>
      </c>
      <c r="B264" t="s">
        <v>63</v>
      </c>
      <c r="C264">
        <v>130.690166</v>
      </c>
      <c r="D264">
        <v>299.56081599999999</v>
      </c>
      <c r="E264">
        <v>56.631900000000002</v>
      </c>
      <c r="F264">
        <v>56.62</v>
      </c>
      <c r="G264">
        <v>0.24299999999999999</v>
      </c>
      <c r="H264">
        <v>0.23699999999999999</v>
      </c>
      <c r="I264" t="s">
        <v>0</v>
      </c>
      <c r="J264" t="s">
        <v>49</v>
      </c>
      <c r="K264" t="s">
        <v>50</v>
      </c>
      <c r="L264">
        <v>0</v>
      </c>
      <c r="M264" t="s">
        <v>51</v>
      </c>
      <c r="N264">
        <v>1</v>
      </c>
      <c r="O264" t="s">
        <v>52</v>
      </c>
      <c r="P264" s="2">
        <v>0.4604166666666667</v>
      </c>
      <c r="Q264">
        <f>-0.0003007341*3600</f>
        <v>-1.0826427600000001</v>
      </c>
      <c r="R264">
        <f>-0.0002491259*3600</f>
        <v>-0.89685323999999988</v>
      </c>
    </row>
    <row r="265" spans="1:18" x14ac:dyDescent="0.3">
      <c r="A265" t="s">
        <v>58</v>
      </c>
      <c r="B265" t="s">
        <v>63</v>
      </c>
      <c r="C265">
        <v>330.69045899999998</v>
      </c>
      <c r="D265">
        <v>100.438799</v>
      </c>
      <c r="E265">
        <v>56.632300000000001</v>
      </c>
      <c r="F265">
        <v>56.620399999999997</v>
      </c>
      <c r="G265">
        <v>0.24299999999999999</v>
      </c>
      <c r="H265">
        <v>0.23699999999999999</v>
      </c>
      <c r="I265" t="s">
        <v>0</v>
      </c>
      <c r="J265" t="s">
        <v>49</v>
      </c>
      <c r="K265" t="s">
        <v>50</v>
      </c>
      <c r="L265">
        <v>0</v>
      </c>
      <c r="M265" t="s">
        <v>51</v>
      </c>
      <c r="N265">
        <v>1</v>
      </c>
      <c r="O265" t="s">
        <v>52</v>
      </c>
      <c r="P265" s="2">
        <v>0.46111111111111108</v>
      </c>
      <c r="Q265">
        <f>-0.0006237009*3600</f>
        <v>-2.2453232400000003</v>
      </c>
      <c r="R265">
        <f>0.0005872979*3600</f>
        <v>2.1142724399999997</v>
      </c>
    </row>
    <row r="266" spans="1:18" x14ac:dyDescent="0.3">
      <c r="A266" t="s">
        <v>58</v>
      </c>
      <c r="B266" t="s">
        <v>63</v>
      </c>
      <c r="C266">
        <v>130.69000500000001</v>
      </c>
      <c r="D266">
        <v>299.560587</v>
      </c>
      <c r="E266">
        <v>56.631900000000002</v>
      </c>
      <c r="F266">
        <v>56.62</v>
      </c>
      <c r="G266">
        <v>0.24299999999999999</v>
      </c>
      <c r="H266">
        <v>0.23699999999999999</v>
      </c>
      <c r="I266" t="s">
        <v>0</v>
      </c>
      <c r="J266" t="s">
        <v>49</v>
      </c>
      <c r="K266" t="s">
        <v>50</v>
      </c>
      <c r="L266">
        <v>0</v>
      </c>
      <c r="M266" t="s">
        <v>51</v>
      </c>
      <c r="N266">
        <v>1</v>
      </c>
      <c r="O266" t="s">
        <v>52</v>
      </c>
      <c r="P266" s="2">
        <v>0.46111111111111108</v>
      </c>
      <c r="Q266">
        <f>0.0000973101*3600</f>
        <v>0.35031635999999999</v>
      </c>
      <c r="R266">
        <f>-0.0002936963*3600</f>
        <v>-1.0573066800000002</v>
      </c>
    </row>
    <row r="267" spans="1:18" x14ac:dyDescent="0.3">
      <c r="A267" t="s">
        <v>58</v>
      </c>
      <c r="B267" t="s">
        <v>63</v>
      </c>
      <c r="C267">
        <v>330.69036899999998</v>
      </c>
      <c r="D267">
        <v>100.43895999999999</v>
      </c>
      <c r="E267">
        <v>56.632300000000001</v>
      </c>
      <c r="F267">
        <v>56.620399999999997</v>
      </c>
      <c r="G267">
        <v>0.24299999999999999</v>
      </c>
      <c r="H267">
        <v>0.23699999999999999</v>
      </c>
      <c r="I267" t="s">
        <v>0</v>
      </c>
      <c r="J267" t="s">
        <v>49</v>
      </c>
      <c r="K267" t="s">
        <v>50</v>
      </c>
      <c r="L267">
        <v>0</v>
      </c>
      <c r="M267" t="s">
        <v>51</v>
      </c>
      <c r="N267">
        <v>1</v>
      </c>
      <c r="O267" t="s">
        <v>52</v>
      </c>
      <c r="P267" s="2">
        <v>0.46180555555555558</v>
      </c>
      <c r="Q267">
        <f>-0.0006259616*3600</f>
        <v>-2.25346176</v>
      </c>
      <c r="R267">
        <f>0.0005714133*3600</f>
        <v>2.0570878800000001</v>
      </c>
    </row>
    <row r="268" spans="1:18" x14ac:dyDescent="0.3">
      <c r="A268" t="s">
        <v>58</v>
      </c>
      <c r="B268" t="s">
        <v>63</v>
      </c>
      <c r="C268">
        <v>130.69033300000001</v>
      </c>
      <c r="D268">
        <v>299.56032699999997</v>
      </c>
      <c r="E268">
        <v>56.631999999999998</v>
      </c>
      <c r="F268">
        <v>56.620100000000001</v>
      </c>
      <c r="G268">
        <v>0.24299999999999999</v>
      </c>
      <c r="H268">
        <v>0.23699999999999999</v>
      </c>
      <c r="I268" t="s">
        <v>0</v>
      </c>
      <c r="J268" t="s">
        <v>49</v>
      </c>
      <c r="K268" t="s">
        <v>50</v>
      </c>
      <c r="L268">
        <v>0</v>
      </c>
      <c r="M268" t="s">
        <v>51</v>
      </c>
      <c r="N268">
        <v>1</v>
      </c>
      <c r="O268" t="s">
        <v>52</v>
      </c>
      <c r="P268" s="2">
        <v>0.46180555555555558</v>
      </c>
      <c r="Q268">
        <f>-0.0003567827*3600</f>
        <v>-1.28441772</v>
      </c>
      <c r="R268">
        <f>-0.0001482667*3600</f>
        <v>-0.53376011999999995</v>
      </c>
    </row>
    <row r="269" spans="1:18" x14ac:dyDescent="0.3">
      <c r="P269" s="2"/>
    </row>
    <row r="270" spans="1:18" x14ac:dyDescent="0.3">
      <c r="A270" t="s">
        <v>0</v>
      </c>
      <c r="B270" t="s">
        <v>39</v>
      </c>
      <c r="C270" t="s">
        <v>40</v>
      </c>
      <c r="D270" t="s">
        <v>41</v>
      </c>
      <c r="E270">
        <v>3</v>
      </c>
    </row>
    <row r="271" spans="1:18" x14ac:dyDescent="0.3">
      <c r="A271" t="s">
        <v>0</v>
      </c>
      <c r="B271" t="s">
        <v>42</v>
      </c>
      <c r="C271" t="s">
        <v>43</v>
      </c>
      <c r="D271">
        <v>-187</v>
      </c>
    </row>
    <row r="272" spans="1:18" x14ac:dyDescent="0.3">
      <c r="A272" t="s">
        <v>0</v>
      </c>
      <c r="B272" t="s">
        <v>42</v>
      </c>
      <c r="C272" t="s">
        <v>44</v>
      </c>
      <c r="D272" t="s">
        <v>43</v>
      </c>
      <c r="E272">
        <v>0.99981316450000002</v>
      </c>
    </row>
    <row r="276" spans="1:18" x14ac:dyDescent="0.3">
      <c r="A276" t="s">
        <v>45</v>
      </c>
      <c r="B276" t="s">
        <v>62</v>
      </c>
    </row>
    <row r="277" spans="1:18" x14ac:dyDescent="0.3">
      <c r="A277" t="s">
        <v>47</v>
      </c>
      <c r="B277" t="s">
        <v>57</v>
      </c>
      <c r="C277">
        <v>133.76330300000001</v>
      </c>
      <c r="D277">
        <v>99.635581999999999</v>
      </c>
      <c r="E277">
        <v>56.843200000000003</v>
      </c>
      <c r="F277">
        <v>56.831699999999998</v>
      </c>
      <c r="G277">
        <v>0.24399999999999999</v>
      </c>
      <c r="H277">
        <v>0.24199999999999999</v>
      </c>
      <c r="I277" t="s">
        <v>0</v>
      </c>
      <c r="J277" t="s">
        <v>49</v>
      </c>
      <c r="K277" t="s">
        <v>50</v>
      </c>
      <c r="L277">
        <v>0</v>
      </c>
      <c r="M277" t="s">
        <v>51</v>
      </c>
      <c r="N277">
        <v>1</v>
      </c>
      <c r="O277" t="s">
        <v>52</v>
      </c>
      <c r="P277" s="2">
        <v>0.46666666666666662</v>
      </c>
      <c r="Q277">
        <f>-0.0006097797*3600</f>
        <v>-2.19520692</v>
      </c>
      <c r="R277">
        <f>0.0000860431*3600</f>
        <v>0.30975515999999997</v>
      </c>
    </row>
    <row r="278" spans="1:18" x14ac:dyDescent="0.3">
      <c r="A278" t="s">
        <v>28</v>
      </c>
      <c r="B278">
        <v>18</v>
      </c>
      <c r="C278" t="s">
        <v>29</v>
      </c>
      <c r="D278" s="3">
        <v>0.6</v>
      </c>
      <c r="E278" t="s">
        <v>30</v>
      </c>
      <c r="F278" t="s">
        <v>31</v>
      </c>
      <c r="G278" t="s">
        <v>32</v>
      </c>
      <c r="H278" t="s">
        <v>33</v>
      </c>
    </row>
    <row r="279" spans="1:18" x14ac:dyDescent="0.3">
      <c r="A279" t="s">
        <v>34</v>
      </c>
      <c r="B279" t="s">
        <v>35</v>
      </c>
      <c r="C279" t="s">
        <v>34</v>
      </c>
      <c r="D279" t="s">
        <v>65</v>
      </c>
    </row>
    <row r="280" spans="1:18" x14ac:dyDescent="0.3">
      <c r="A280" t="s">
        <v>37</v>
      </c>
      <c r="B280" t="s">
        <v>38</v>
      </c>
      <c r="C280">
        <v>0.13</v>
      </c>
    </row>
    <row r="282" spans="1:18" x14ac:dyDescent="0.3">
      <c r="A282" t="s">
        <v>62</v>
      </c>
      <c r="B282" t="s">
        <v>57</v>
      </c>
      <c r="C282">
        <v>133.76440299999999</v>
      </c>
      <c r="D282">
        <v>99.635777000000004</v>
      </c>
      <c r="E282">
        <v>56.842799999999997</v>
      </c>
      <c r="F282">
        <v>56.831299999999999</v>
      </c>
      <c r="G282">
        <v>0.24399999999999999</v>
      </c>
      <c r="H282">
        <v>0.24199999999999999</v>
      </c>
      <c r="I282" t="s">
        <v>0</v>
      </c>
      <c r="J282" t="s">
        <v>49</v>
      </c>
      <c r="K282" t="s">
        <v>50</v>
      </c>
      <c r="L282">
        <v>0</v>
      </c>
      <c r="M282" t="s">
        <v>51</v>
      </c>
      <c r="N282">
        <v>1</v>
      </c>
      <c r="O282" t="s">
        <v>52</v>
      </c>
      <c r="P282" s="2">
        <v>0.46736111111111112</v>
      </c>
      <c r="Q282">
        <f>-0.0007032769*3600</f>
        <v>-2.5317968399999997</v>
      </c>
      <c r="R282">
        <f>-0.0000295521*3600</f>
        <v>-0.10638756000000001</v>
      </c>
    </row>
    <row r="283" spans="1:18" x14ac:dyDescent="0.3">
      <c r="A283" t="s">
        <v>62</v>
      </c>
      <c r="B283" t="s">
        <v>57</v>
      </c>
      <c r="C283">
        <v>333.76389899999998</v>
      </c>
      <c r="D283">
        <v>300.36360300000001</v>
      </c>
      <c r="E283">
        <v>56.842799999999997</v>
      </c>
      <c r="F283">
        <v>56.831299999999999</v>
      </c>
      <c r="G283">
        <v>0.24399999999999999</v>
      </c>
      <c r="H283">
        <v>0.24199999999999999</v>
      </c>
      <c r="I283" t="s">
        <v>0</v>
      </c>
      <c r="J283" t="s">
        <v>49</v>
      </c>
      <c r="K283" t="s">
        <v>50</v>
      </c>
      <c r="L283">
        <v>0</v>
      </c>
      <c r="M283" t="s">
        <v>51</v>
      </c>
      <c r="N283">
        <v>1</v>
      </c>
      <c r="O283" t="s">
        <v>52</v>
      </c>
      <c r="P283" s="2">
        <v>0.4680555555555555</v>
      </c>
      <c r="Q283">
        <f>0.0007435735*3600</f>
        <v>2.6768646</v>
      </c>
      <c r="R283">
        <f>-0.0000124847*3600</f>
        <v>-4.4944919999999999E-2</v>
      </c>
    </row>
    <row r="284" spans="1:18" x14ac:dyDescent="0.3">
      <c r="A284" t="s">
        <v>62</v>
      </c>
      <c r="B284" t="s">
        <v>57</v>
      </c>
      <c r="C284">
        <v>133.76446799999999</v>
      </c>
      <c r="D284">
        <v>99.635609000000002</v>
      </c>
      <c r="E284">
        <v>56.842799999999997</v>
      </c>
      <c r="F284">
        <v>56.831299999999999</v>
      </c>
      <c r="G284">
        <v>0.24399999999999999</v>
      </c>
      <c r="H284">
        <v>0.24199999999999999</v>
      </c>
      <c r="I284" t="s">
        <v>0</v>
      </c>
      <c r="J284" t="s">
        <v>49</v>
      </c>
      <c r="K284" t="s">
        <v>50</v>
      </c>
      <c r="L284">
        <v>0</v>
      </c>
      <c r="M284" t="s">
        <v>51</v>
      </c>
      <c r="N284">
        <v>1</v>
      </c>
      <c r="O284" t="s">
        <v>52</v>
      </c>
      <c r="P284" s="2">
        <v>0.46875</v>
      </c>
      <c r="Q284">
        <f>-0.0015533249*3600</f>
        <v>-5.5919696399999994</v>
      </c>
      <c r="R284">
        <f>-0.0000710931*3600</f>
        <v>-0.25593515999999999</v>
      </c>
    </row>
    <row r="285" spans="1:18" x14ac:dyDescent="0.3">
      <c r="A285" t="s">
        <v>62</v>
      </c>
      <c r="B285" t="s">
        <v>57</v>
      </c>
      <c r="C285">
        <v>333.76411300000001</v>
      </c>
      <c r="D285">
        <v>300.36345899999998</v>
      </c>
      <c r="E285">
        <v>56.843000000000004</v>
      </c>
      <c r="F285">
        <v>56.831499999999998</v>
      </c>
      <c r="G285">
        <v>0.24399999999999999</v>
      </c>
      <c r="H285">
        <v>0.24199999999999999</v>
      </c>
      <c r="I285" t="s">
        <v>0</v>
      </c>
      <c r="J285" t="s">
        <v>49</v>
      </c>
      <c r="K285" t="s">
        <v>50</v>
      </c>
      <c r="L285">
        <v>0</v>
      </c>
      <c r="M285" t="s">
        <v>51</v>
      </c>
      <c r="N285">
        <v>1</v>
      </c>
      <c r="O285" t="s">
        <v>52</v>
      </c>
      <c r="P285" s="2">
        <v>0.46875</v>
      </c>
      <c r="Q285">
        <f>0.0009852165*3600</f>
        <v>3.5467794000000001</v>
      </c>
      <c r="R285">
        <f>-0.0005577794*3600</f>
        <v>-2.00800584</v>
      </c>
    </row>
    <row r="286" spans="1:18" x14ac:dyDescent="0.3">
      <c r="A286" t="s">
        <v>62</v>
      </c>
      <c r="B286" t="s">
        <v>57</v>
      </c>
      <c r="C286">
        <v>133.76448500000001</v>
      </c>
      <c r="D286">
        <v>99.635722999999999</v>
      </c>
      <c r="E286">
        <v>56.843000000000004</v>
      </c>
      <c r="F286">
        <v>56.831499999999998</v>
      </c>
      <c r="G286">
        <v>0.24399999999999999</v>
      </c>
      <c r="H286">
        <v>0.24199999999999999</v>
      </c>
      <c r="I286" t="s">
        <v>0</v>
      </c>
      <c r="J286" t="s">
        <v>49</v>
      </c>
      <c r="K286" t="s">
        <v>50</v>
      </c>
      <c r="L286">
        <v>0</v>
      </c>
      <c r="M286" t="s">
        <v>51</v>
      </c>
      <c r="N286">
        <v>1</v>
      </c>
      <c r="O286" t="s">
        <v>52</v>
      </c>
      <c r="P286" s="2">
        <v>0.46875</v>
      </c>
      <c r="Q286">
        <f>-0.0015094758*3600</f>
        <v>-5.4341128799999998</v>
      </c>
      <c r="R286">
        <f>0.000030978*3600</f>
        <v>0.1115208</v>
      </c>
    </row>
    <row r="287" spans="1:18" x14ac:dyDescent="0.3">
      <c r="A287" t="s">
        <v>62</v>
      </c>
      <c r="B287" t="s">
        <v>57</v>
      </c>
      <c r="C287">
        <v>333.76436699999999</v>
      </c>
      <c r="D287">
        <v>300.36339800000002</v>
      </c>
      <c r="E287">
        <v>56.8429</v>
      </c>
      <c r="F287">
        <v>56.831400000000002</v>
      </c>
      <c r="G287">
        <v>0.24399999999999999</v>
      </c>
      <c r="H287">
        <v>0.24199999999999999</v>
      </c>
      <c r="I287" t="s">
        <v>0</v>
      </c>
      <c r="J287" t="s">
        <v>49</v>
      </c>
      <c r="K287" t="s">
        <v>50</v>
      </c>
      <c r="L287">
        <v>0</v>
      </c>
      <c r="M287" t="s">
        <v>51</v>
      </c>
      <c r="N287">
        <v>1</v>
      </c>
      <c r="O287" t="s">
        <v>52</v>
      </c>
      <c r="P287" s="2">
        <v>0.4694444444444445</v>
      </c>
      <c r="Q287">
        <f>0.0009287472*3600</f>
        <v>3.3434899200000001</v>
      </c>
      <c r="R287">
        <f>-0.0000847071*3600</f>
        <v>-0.30494556</v>
      </c>
    </row>
    <row r="288" spans="1:18" x14ac:dyDescent="0.3">
      <c r="A288" t="s">
        <v>62</v>
      </c>
      <c r="B288" t="s">
        <v>57</v>
      </c>
      <c r="C288">
        <v>133.76500799999999</v>
      </c>
      <c r="D288">
        <v>99.635548</v>
      </c>
      <c r="E288">
        <v>56.842799999999997</v>
      </c>
      <c r="F288">
        <v>56.831299999999999</v>
      </c>
      <c r="G288">
        <v>0.24399999999999999</v>
      </c>
      <c r="H288">
        <v>0.24199999999999999</v>
      </c>
      <c r="I288" t="s">
        <v>0</v>
      </c>
      <c r="J288" t="s">
        <v>49</v>
      </c>
      <c r="K288" t="s">
        <v>50</v>
      </c>
      <c r="L288">
        <v>0</v>
      </c>
      <c r="M288" t="s">
        <v>51</v>
      </c>
      <c r="N288">
        <v>1</v>
      </c>
      <c r="O288" t="s">
        <v>52</v>
      </c>
      <c r="P288" s="2">
        <v>0.4694444444444445</v>
      </c>
      <c r="Q288">
        <f>-0.0016472802*3600</f>
        <v>-5.9302087199999995</v>
      </c>
      <c r="R288">
        <f>0.0000999383*3600</f>
        <v>0.35977787999999999</v>
      </c>
    </row>
    <row r="289" spans="1:18" x14ac:dyDescent="0.3">
      <c r="A289" t="s">
        <v>62</v>
      </c>
      <c r="B289" t="s">
        <v>57</v>
      </c>
      <c r="C289">
        <v>333.76438000000002</v>
      </c>
      <c r="D289">
        <v>300.363743</v>
      </c>
      <c r="E289">
        <v>56.843000000000004</v>
      </c>
      <c r="F289">
        <v>56.831499999999998</v>
      </c>
      <c r="G289">
        <v>0.24399999999999999</v>
      </c>
      <c r="H289">
        <v>0.24199999999999999</v>
      </c>
      <c r="I289" t="s">
        <v>0</v>
      </c>
      <c r="J289" t="s">
        <v>49</v>
      </c>
      <c r="K289" t="s">
        <v>50</v>
      </c>
      <c r="L289">
        <v>0</v>
      </c>
      <c r="M289" t="s">
        <v>51</v>
      </c>
      <c r="N289">
        <v>1</v>
      </c>
      <c r="O289" t="s">
        <v>52</v>
      </c>
      <c r="P289" s="2">
        <v>0.47013888888888888</v>
      </c>
      <c r="Q289">
        <f>0.000909917*3600</f>
        <v>3.2757011999999999</v>
      </c>
      <c r="R289">
        <f>0.0000061692*3600</f>
        <v>2.2209119999999999E-2</v>
      </c>
    </row>
    <row r="290" spans="1:18" x14ac:dyDescent="0.3">
      <c r="A290" t="s">
        <v>62</v>
      </c>
      <c r="B290" t="s">
        <v>57</v>
      </c>
      <c r="C290">
        <v>133.76491799999999</v>
      </c>
      <c r="D290">
        <v>99.635651999999993</v>
      </c>
      <c r="E290">
        <v>56.842799999999997</v>
      </c>
      <c r="F290">
        <v>56.831299999999999</v>
      </c>
      <c r="G290">
        <v>0.24399999999999999</v>
      </c>
      <c r="H290">
        <v>0.24199999999999999</v>
      </c>
      <c r="I290" t="s">
        <v>0</v>
      </c>
      <c r="J290" t="s">
        <v>49</v>
      </c>
      <c r="K290" t="s">
        <v>50</v>
      </c>
      <c r="L290">
        <v>0</v>
      </c>
      <c r="M290" t="s">
        <v>51</v>
      </c>
      <c r="N290">
        <v>1</v>
      </c>
      <c r="O290" t="s">
        <v>52</v>
      </c>
      <c r="P290" s="2">
        <v>0.47013888888888888</v>
      </c>
      <c r="Q290">
        <f>-0.0016505331*3600</f>
        <v>-5.9419191600000003</v>
      </c>
      <c r="R290">
        <f>0.0001052795*3600</f>
        <v>0.37900620000000002</v>
      </c>
    </row>
    <row r="291" spans="1:18" x14ac:dyDescent="0.3">
      <c r="A291" t="s">
        <v>62</v>
      </c>
      <c r="B291" t="s">
        <v>57</v>
      </c>
      <c r="C291">
        <v>333.76415500000002</v>
      </c>
      <c r="D291">
        <v>300.363676</v>
      </c>
      <c r="E291">
        <v>56.842799999999997</v>
      </c>
      <c r="F291">
        <v>56.831299999999999</v>
      </c>
      <c r="G291">
        <v>0.24399999999999999</v>
      </c>
      <c r="H291">
        <v>0.24199999999999999</v>
      </c>
      <c r="I291" t="s">
        <v>0</v>
      </c>
      <c r="J291" t="s">
        <v>49</v>
      </c>
      <c r="K291" t="s">
        <v>50</v>
      </c>
      <c r="L291">
        <v>0</v>
      </c>
      <c r="M291" t="s">
        <v>51</v>
      </c>
      <c r="N291">
        <v>1</v>
      </c>
      <c r="O291" t="s">
        <v>52</v>
      </c>
      <c r="P291" s="2">
        <v>0.47083333333333338</v>
      </c>
      <c r="Q291">
        <f>0.0010308106*3600</f>
        <v>3.7109181600000003</v>
      </c>
      <c r="R291">
        <f>-0.0006400491*3600</f>
        <v>-2.3041767599999998</v>
      </c>
    </row>
    <row r="292" spans="1:18" x14ac:dyDescent="0.3">
      <c r="A292" t="s">
        <v>62</v>
      </c>
      <c r="B292" t="s">
        <v>58</v>
      </c>
      <c r="C292">
        <v>132.19154399999999</v>
      </c>
      <c r="D292">
        <v>99.483669000000006</v>
      </c>
      <c r="E292">
        <v>44.691400000000002</v>
      </c>
      <c r="F292">
        <v>44.681600000000003</v>
      </c>
      <c r="G292">
        <v>0.24399999999999999</v>
      </c>
      <c r="H292">
        <v>0.24299999999999999</v>
      </c>
      <c r="I292" t="s">
        <v>0</v>
      </c>
      <c r="J292" t="s">
        <v>49</v>
      </c>
      <c r="K292" t="s">
        <v>50</v>
      </c>
      <c r="L292">
        <v>0</v>
      </c>
      <c r="M292" t="s">
        <v>51</v>
      </c>
      <c r="N292">
        <v>1</v>
      </c>
      <c r="O292" t="s">
        <v>52</v>
      </c>
      <c r="P292" s="2">
        <v>0.46736111111111112</v>
      </c>
      <c r="Q292">
        <f>-0.0007658585*3600</f>
        <v>-2.7570905999999997</v>
      </c>
      <c r="R292">
        <f>0.0001153779*3600</f>
        <v>0.41536044</v>
      </c>
    </row>
    <row r="293" spans="1:18" x14ac:dyDescent="0.3">
      <c r="A293" t="s">
        <v>62</v>
      </c>
      <c r="B293" t="s">
        <v>58</v>
      </c>
      <c r="C293">
        <v>332.19179300000002</v>
      </c>
      <c r="D293">
        <v>300.51527700000003</v>
      </c>
      <c r="E293">
        <v>44.691400000000002</v>
      </c>
      <c r="F293">
        <v>44.681600000000003</v>
      </c>
      <c r="G293">
        <v>0.24399999999999999</v>
      </c>
      <c r="H293">
        <v>0.24299999999999999</v>
      </c>
      <c r="I293" t="s">
        <v>0</v>
      </c>
      <c r="J293" t="s">
        <v>49</v>
      </c>
      <c r="K293" t="s">
        <v>50</v>
      </c>
      <c r="L293">
        <v>0</v>
      </c>
      <c r="M293" t="s">
        <v>51</v>
      </c>
      <c r="N293">
        <v>1</v>
      </c>
      <c r="O293" t="s">
        <v>52</v>
      </c>
      <c r="P293" s="2">
        <v>0.4680555555555555</v>
      </c>
      <c r="Q293">
        <f>0.0009977986*3600</f>
        <v>3.5920749600000002</v>
      </c>
      <c r="R293">
        <f>0.0001155378*3600</f>
        <v>0.41593607999999999</v>
      </c>
    </row>
    <row r="294" spans="1:18" x14ac:dyDescent="0.3">
      <c r="A294" t="s">
        <v>62</v>
      </c>
      <c r="B294" t="s">
        <v>58</v>
      </c>
      <c r="C294">
        <v>132.192441</v>
      </c>
      <c r="D294">
        <v>99.483653000000004</v>
      </c>
      <c r="E294">
        <v>44.691400000000002</v>
      </c>
      <c r="F294">
        <v>44.681600000000003</v>
      </c>
      <c r="G294">
        <v>0.24399999999999999</v>
      </c>
      <c r="H294">
        <v>0.24299999999999999</v>
      </c>
      <c r="I294" t="s">
        <v>0</v>
      </c>
      <c r="J294" t="s">
        <v>49</v>
      </c>
      <c r="K294" t="s">
        <v>50</v>
      </c>
      <c r="L294">
        <v>0</v>
      </c>
      <c r="M294" t="s">
        <v>51</v>
      </c>
      <c r="N294">
        <v>1</v>
      </c>
      <c r="O294" t="s">
        <v>52</v>
      </c>
      <c r="P294" s="2">
        <v>0.46875</v>
      </c>
      <c r="Q294">
        <f>-0.0015943454*3600</f>
        <v>-5.73964344</v>
      </c>
      <c r="R294">
        <f>-0.0000771761*3600</f>
        <v>-0.27783395999999999</v>
      </c>
    </row>
    <row r="295" spans="1:18" x14ac:dyDescent="0.3">
      <c r="A295" t="s">
        <v>62</v>
      </c>
      <c r="B295" t="s">
        <v>58</v>
      </c>
      <c r="C295">
        <v>332.19162999999998</v>
      </c>
      <c r="D295">
        <v>300.51581499999998</v>
      </c>
      <c r="E295">
        <v>44.691400000000002</v>
      </c>
      <c r="F295">
        <v>44.681600000000003</v>
      </c>
      <c r="G295">
        <v>0.24399999999999999</v>
      </c>
      <c r="H295">
        <v>0.24299999999999999</v>
      </c>
      <c r="I295" t="s">
        <v>0</v>
      </c>
      <c r="J295" t="s">
        <v>49</v>
      </c>
      <c r="K295" t="s">
        <v>50</v>
      </c>
      <c r="L295">
        <v>0</v>
      </c>
      <c r="M295" t="s">
        <v>51</v>
      </c>
      <c r="N295">
        <v>1</v>
      </c>
      <c r="O295" t="s">
        <v>52</v>
      </c>
      <c r="P295" s="2">
        <v>0.46875</v>
      </c>
      <c r="Q295">
        <f>0.0009179903*3600</f>
        <v>3.3047650800000001</v>
      </c>
      <c r="R295">
        <f>-0.0005683349*3600</f>
        <v>-2.0460056399999997</v>
      </c>
    </row>
    <row r="296" spans="1:18" x14ac:dyDescent="0.3">
      <c r="A296" t="s">
        <v>62</v>
      </c>
      <c r="B296" t="s">
        <v>58</v>
      </c>
      <c r="C296">
        <v>132.19220200000001</v>
      </c>
      <c r="D296">
        <v>99.483694</v>
      </c>
      <c r="E296">
        <v>44.691499999999998</v>
      </c>
      <c r="F296">
        <v>44.681699999999999</v>
      </c>
      <c r="G296">
        <v>0.24399999999999999</v>
      </c>
      <c r="H296">
        <v>0.24299999999999999</v>
      </c>
      <c r="I296" t="s">
        <v>0</v>
      </c>
      <c r="J296" t="s">
        <v>49</v>
      </c>
      <c r="K296" t="s">
        <v>50</v>
      </c>
      <c r="L296">
        <v>0</v>
      </c>
      <c r="M296" t="s">
        <v>51</v>
      </c>
      <c r="N296">
        <v>1</v>
      </c>
      <c r="O296" t="s">
        <v>52</v>
      </c>
      <c r="P296" s="2">
        <v>0.4694444444444445</v>
      </c>
      <c r="Q296">
        <f>-0.0016675467*3600</f>
        <v>-6.0031681199999998</v>
      </c>
      <c r="R296">
        <f>-0.0000918217*3600</f>
        <v>-0.33055812000000001</v>
      </c>
    </row>
    <row r="297" spans="1:18" x14ac:dyDescent="0.3">
      <c r="A297" t="s">
        <v>62</v>
      </c>
      <c r="B297" t="s">
        <v>58</v>
      </c>
      <c r="C297">
        <v>332.19165700000002</v>
      </c>
      <c r="D297">
        <v>300.51590900000002</v>
      </c>
      <c r="E297">
        <v>44.691499999999998</v>
      </c>
      <c r="F297">
        <v>44.681699999999999</v>
      </c>
      <c r="G297">
        <v>0.24399999999999999</v>
      </c>
      <c r="H297">
        <v>0.24299999999999999</v>
      </c>
      <c r="I297" t="s">
        <v>0</v>
      </c>
      <c r="J297" t="s">
        <v>49</v>
      </c>
      <c r="K297" t="s">
        <v>50</v>
      </c>
      <c r="L297">
        <v>0</v>
      </c>
      <c r="M297" t="s">
        <v>51</v>
      </c>
      <c r="N297">
        <v>1</v>
      </c>
      <c r="O297" t="s">
        <v>52</v>
      </c>
      <c r="P297" s="2">
        <v>0.4694444444444445</v>
      </c>
      <c r="Q297">
        <f>0.0010282423*3600</f>
        <v>3.7016722800000004</v>
      </c>
      <c r="R297">
        <f>0.0000448183*3600</f>
        <v>0.16134588</v>
      </c>
    </row>
    <row r="298" spans="1:18" x14ac:dyDescent="0.3">
      <c r="A298" t="s">
        <v>62</v>
      </c>
      <c r="B298" t="s">
        <v>58</v>
      </c>
      <c r="C298">
        <v>132.19251199999999</v>
      </c>
      <c r="D298">
        <v>99.483670000000004</v>
      </c>
      <c r="E298">
        <v>44.691299999999998</v>
      </c>
      <c r="F298">
        <v>44.6815</v>
      </c>
      <c r="G298">
        <v>0.24399999999999999</v>
      </c>
      <c r="H298">
        <v>0.24299999999999999</v>
      </c>
      <c r="I298" t="s">
        <v>0</v>
      </c>
      <c r="J298" t="s">
        <v>49</v>
      </c>
      <c r="K298" t="s">
        <v>50</v>
      </c>
      <c r="L298">
        <v>0</v>
      </c>
      <c r="M298" t="s">
        <v>51</v>
      </c>
      <c r="N298">
        <v>1</v>
      </c>
      <c r="O298" t="s">
        <v>52</v>
      </c>
      <c r="P298" s="2">
        <v>0.4694444444444445</v>
      </c>
      <c r="Q298">
        <f>-0.0016655199*3600</f>
        <v>-5.9958716399999998</v>
      </c>
      <c r="R298">
        <f>-0.0000992303*3600</f>
        <v>-0.35722908000000003</v>
      </c>
    </row>
    <row r="299" spans="1:18" x14ac:dyDescent="0.3">
      <c r="A299" t="s">
        <v>62</v>
      </c>
      <c r="B299" t="s">
        <v>58</v>
      </c>
      <c r="C299">
        <v>332.19200599999999</v>
      </c>
      <c r="D299">
        <v>300.515964</v>
      </c>
      <c r="E299">
        <v>44.691400000000002</v>
      </c>
      <c r="F299">
        <v>44.681600000000003</v>
      </c>
      <c r="G299">
        <v>0.24399999999999999</v>
      </c>
      <c r="H299">
        <v>0.24299999999999999</v>
      </c>
      <c r="I299" t="s">
        <v>0</v>
      </c>
      <c r="J299" t="s">
        <v>49</v>
      </c>
      <c r="K299" t="s">
        <v>50</v>
      </c>
      <c r="L299">
        <v>0</v>
      </c>
      <c r="M299" t="s">
        <v>51</v>
      </c>
      <c r="N299">
        <v>1</v>
      </c>
      <c r="O299" t="s">
        <v>52</v>
      </c>
      <c r="P299" s="2">
        <v>0.47013888888888888</v>
      </c>
      <c r="Q299">
        <f>0.0010559762*3600</f>
        <v>3.8015143199999999</v>
      </c>
      <c r="R299">
        <f>0.0000297332*3600</f>
        <v>0.10703952</v>
      </c>
    </row>
    <row r="300" spans="1:18" x14ac:dyDescent="0.3">
      <c r="A300" t="s">
        <v>62</v>
      </c>
      <c r="B300" t="s">
        <v>58</v>
      </c>
      <c r="C300">
        <v>132.192127</v>
      </c>
      <c r="D300">
        <v>99.483776000000006</v>
      </c>
      <c r="E300">
        <v>44.691299999999998</v>
      </c>
      <c r="F300">
        <v>44.6815</v>
      </c>
      <c r="G300">
        <v>0.24399999999999999</v>
      </c>
      <c r="H300">
        <v>0.24299999999999999</v>
      </c>
      <c r="I300" t="s">
        <v>0</v>
      </c>
      <c r="J300" t="s">
        <v>49</v>
      </c>
      <c r="K300" t="s">
        <v>50</v>
      </c>
      <c r="L300">
        <v>0</v>
      </c>
      <c r="M300" t="s">
        <v>51</v>
      </c>
      <c r="N300">
        <v>1</v>
      </c>
      <c r="O300" t="s">
        <v>52</v>
      </c>
      <c r="P300" s="2">
        <v>0.47013888888888888</v>
      </c>
      <c r="Q300">
        <f>-0.0016719657*3600</f>
        <v>-6.0190765200000005</v>
      </c>
      <c r="R300">
        <f>-0.0000812964*3600</f>
        <v>-0.29266703999999999</v>
      </c>
    </row>
    <row r="301" spans="1:18" x14ac:dyDescent="0.3">
      <c r="A301" t="s">
        <v>62</v>
      </c>
      <c r="B301" t="s">
        <v>58</v>
      </c>
      <c r="C301">
        <v>332.19170500000001</v>
      </c>
      <c r="D301">
        <v>300.51609500000001</v>
      </c>
      <c r="E301">
        <v>44.691299999999998</v>
      </c>
      <c r="F301">
        <v>44.6815</v>
      </c>
      <c r="G301">
        <v>0.24399999999999999</v>
      </c>
      <c r="H301">
        <v>0.24299999999999999</v>
      </c>
      <c r="I301" t="s">
        <v>0</v>
      </c>
      <c r="J301" t="s">
        <v>49</v>
      </c>
      <c r="K301" t="s">
        <v>50</v>
      </c>
      <c r="L301">
        <v>0</v>
      </c>
      <c r="M301" t="s">
        <v>51</v>
      </c>
      <c r="N301">
        <v>1</v>
      </c>
      <c r="O301" t="s">
        <v>52</v>
      </c>
      <c r="P301" s="2">
        <v>0.47083333333333338</v>
      </c>
      <c r="Q301">
        <f>0.0009590491*3600</f>
        <v>3.4525767600000004</v>
      </c>
      <c r="R301">
        <f>-0.0006279586*3600</f>
        <v>-2.26065096</v>
      </c>
    </row>
    <row r="302" spans="1:18" x14ac:dyDescent="0.3">
      <c r="A302" t="s">
        <v>62</v>
      </c>
      <c r="B302" t="s">
        <v>63</v>
      </c>
      <c r="C302">
        <v>325.09454299999999</v>
      </c>
      <c r="D302">
        <v>100.15951699999999</v>
      </c>
      <c r="E302">
        <v>12.000400000000001</v>
      </c>
      <c r="F302">
        <v>11.998200000000001</v>
      </c>
      <c r="G302">
        <v>0.24399999999999999</v>
      </c>
      <c r="H302">
        <v>0.23699999999999999</v>
      </c>
      <c r="I302" t="s">
        <v>0</v>
      </c>
      <c r="J302" t="s">
        <v>49</v>
      </c>
      <c r="K302" t="s">
        <v>50</v>
      </c>
      <c r="L302">
        <v>0</v>
      </c>
      <c r="M302" t="s">
        <v>51</v>
      </c>
      <c r="N302">
        <v>1</v>
      </c>
      <c r="O302" t="s">
        <v>52</v>
      </c>
      <c r="P302" s="2">
        <v>0.4680555555555555</v>
      </c>
      <c r="Q302">
        <f>0.0008577147*3600</f>
        <v>3.0877729199999999</v>
      </c>
      <c r="R302">
        <f>-0.0006026188*3600</f>
        <v>-2.1694276800000001</v>
      </c>
    </row>
    <row r="303" spans="1:18" x14ac:dyDescent="0.3">
      <c r="A303" t="s">
        <v>62</v>
      </c>
      <c r="B303" t="s">
        <v>63</v>
      </c>
      <c r="C303">
        <v>125.09353299999999</v>
      </c>
      <c r="D303">
        <v>299.83704699999998</v>
      </c>
      <c r="E303">
        <v>12.000299999999999</v>
      </c>
      <c r="F303">
        <v>11.997999999999999</v>
      </c>
      <c r="G303">
        <v>0.24399999999999999</v>
      </c>
      <c r="H303">
        <v>0.23699999999999999</v>
      </c>
      <c r="I303" t="s">
        <v>0</v>
      </c>
      <c r="J303" t="s">
        <v>49</v>
      </c>
      <c r="K303" t="s">
        <v>50</v>
      </c>
      <c r="L303">
        <v>0</v>
      </c>
      <c r="M303" t="s">
        <v>51</v>
      </c>
      <c r="N303">
        <v>1</v>
      </c>
      <c r="O303" t="s">
        <v>52</v>
      </c>
      <c r="P303" s="2">
        <v>0.4680555555555555</v>
      </c>
      <c r="Q303">
        <f>-0.0014223513*3600</f>
        <v>-5.1204646799999995</v>
      </c>
      <c r="R303">
        <f>0.0000706582*3600</f>
        <v>0.25436952000000002</v>
      </c>
    </row>
    <row r="304" spans="1:18" x14ac:dyDescent="0.3">
      <c r="A304" t="s">
        <v>62</v>
      </c>
      <c r="B304" t="s">
        <v>63</v>
      </c>
      <c r="C304">
        <v>325.094382</v>
      </c>
      <c r="D304">
        <v>100.159419</v>
      </c>
      <c r="E304">
        <v>12.000500000000001</v>
      </c>
      <c r="F304">
        <v>11.9983</v>
      </c>
      <c r="G304">
        <v>0.24399999999999999</v>
      </c>
      <c r="H304">
        <v>0.23699999999999999</v>
      </c>
      <c r="I304" t="s">
        <v>0</v>
      </c>
      <c r="J304" t="s">
        <v>49</v>
      </c>
      <c r="K304" t="s">
        <v>50</v>
      </c>
      <c r="L304">
        <v>0</v>
      </c>
      <c r="M304" t="s">
        <v>51</v>
      </c>
      <c r="N304">
        <v>1</v>
      </c>
      <c r="O304" t="s">
        <v>52</v>
      </c>
      <c r="P304" s="2">
        <v>0.46875</v>
      </c>
      <c r="Q304">
        <f>0.0008161796*3600</f>
        <v>2.9382465600000001</v>
      </c>
      <c r="R304">
        <f>-0.0006178916*3600</f>
        <v>-2.2244097599999999</v>
      </c>
    </row>
    <row r="305" spans="1:18" x14ac:dyDescent="0.3">
      <c r="A305" t="s">
        <v>62</v>
      </c>
      <c r="B305" t="s">
        <v>63</v>
      </c>
      <c r="C305">
        <v>125.093412</v>
      </c>
      <c r="D305">
        <v>299.837152</v>
      </c>
      <c r="E305">
        <v>12.000500000000001</v>
      </c>
      <c r="F305">
        <v>11.998200000000001</v>
      </c>
      <c r="G305">
        <v>0.24399999999999999</v>
      </c>
      <c r="H305">
        <v>0.23699999999999999</v>
      </c>
      <c r="I305" t="s">
        <v>0</v>
      </c>
      <c r="J305" t="s">
        <v>49</v>
      </c>
      <c r="K305" t="s">
        <v>50</v>
      </c>
      <c r="L305">
        <v>0</v>
      </c>
      <c r="M305" t="s">
        <v>51</v>
      </c>
      <c r="N305">
        <v>1</v>
      </c>
      <c r="O305" t="s">
        <v>52</v>
      </c>
      <c r="P305" s="2">
        <v>0.46875</v>
      </c>
      <c r="Q305">
        <f>-0.0010119773*3600</f>
        <v>-3.6431182799999999</v>
      </c>
      <c r="R305">
        <f>0.0003365662*3600</f>
        <v>1.21163832</v>
      </c>
    </row>
    <row r="306" spans="1:18" x14ac:dyDescent="0.3">
      <c r="A306" t="s">
        <v>62</v>
      </c>
      <c r="B306" t="s">
        <v>63</v>
      </c>
      <c r="C306">
        <v>325.09450800000002</v>
      </c>
      <c r="D306">
        <v>100.159429</v>
      </c>
      <c r="E306">
        <v>12.000500000000001</v>
      </c>
      <c r="F306">
        <v>11.9983</v>
      </c>
      <c r="G306">
        <v>0.24399999999999999</v>
      </c>
      <c r="H306">
        <v>0.23699999999999999</v>
      </c>
      <c r="I306" t="s">
        <v>0</v>
      </c>
      <c r="J306" t="s">
        <v>49</v>
      </c>
      <c r="K306" t="s">
        <v>50</v>
      </c>
      <c r="L306">
        <v>0</v>
      </c>
      <c r="M306" t="s">
        <v>51</v>
      </c>
      <c r="N306">
        <v>1</v>
      </c>
      <c r="O306" t="s">
        <v>52</v>
      </c>
      <c r="P306" s="2">
        <v>0.4694444444444445</v>
      </c>
      <c r="Q306">
        <f>0.0009721716*3600</f>
        <v>3.49981776</v>
      </c>
      <c r="R306">
        <f>-0.0006998102*3600</f>
        <v>-2.51931672</v>
      </c>
    </row>
    <row r="307" spans="1:18" x14ac:dyDescent="0.3">
      <c r="A307" t="s">
        <v>62</v>
      </c>
      <c r="B307" t="s">
        <v>63</v>
      </c>
      <c r="C307">
        <v>125.093594</v>
      </c>
      <c r="D307">
        <v>299.83722999999998</v>
      </c>
      <c r="E307">
        <v>12.000500000000001</v>
      </c>
      <c r="F307">
        <v>11.998200000000001</v>
      </c>
      <c r="G307">
        <v>0.24399999999999999</v>
      </c>
      <c r="H307">
        <v>0.23699999999999999</v>
      </c>
      <c r="I307" t="s">
        <v>0</v>
      </c>
      <c r="J307" t="s">
        <v>49</v>
      </c>
      <c r="K307" t="s">
        <v>50</v>
      </c>
      <c r="L307">
        <v>0</v>
      </c>
      <c r="M307" t="s">
        <v>51</v>
      </c>
      <c r="N307">
        <v>1</v>
      </c>
      <c r="O307" t="s">
        <v>52</v>
      </c>
      <c r="P307" s="2">
        <v>0.4694444444444445</v>
      </c>
      <c r="Q307">
        <f>-0.0015520204*3600</f>
        <v>-5.5872734399999997</v>
      </c>
      <c r="R307">
        <f>0.0001472413*3600</f>
        <v>0.53006867999999996</v>
      </c>
    </row>
    <row r="308" spans="1:18" x14ac:dyDescent="0.3">
      <c r="A308" t="s">
        <v>62</v>
      </c>
      <c r="B308" t="s">
        <v>63</v>
      </c>
      <c r="C308">
        <v>325.09446600000001</v>
      </c>
      <c r="D308">
        <v>100.15955599999999</v>
      </c>
      <c r="E308">
        <v>12.000400000000001</v>
      </c>
      <c r="F308">
        <v>11.998200000000001</v>
      </c>
      <c r="G308">
        <v>0.24399999999999999</v>
      </c>
      <c r="H308">
        <v>0.23699999999999999</v>
      </c>
      <c r="I308" t="s">
        <v>0</v>
      </c>
      <c r="J308" t="s">
        <v>49</v>
      </c>
      <c r="K308" t="s">
        <v>50</v>
      </c>
      <c r="L308">
        <v>0</v>
      </c>
      <c r="M308" t="s">
        <v>51</v>
      </c>
      <c r="N308">
        <v>1</v>
      </c>
      <c r="O308" t="s">
        <v>52</v>
      </c>
      <c r="P308" s="2">
        <v>0.4694444444444445</v>
      </c>
      <c r="Q308">
        <f>0.0009474226*3600</f>
        <v>3.4107213600000001</v>
      </c>
      <c r="R308">
        <f>-0.0007126931*3600</f>
        <v>-2.5656951599999998</v>
      </c>
    </row>
    <row r="309" spans="1:18" x14ac:dyDescent="0.3">
      <c r="A309" t="s">
        <v>62</v>
      </c>
      <c r="B309" t="s">
        <v>63</v>
      </c>
      <c r="C309">
        <v>125.09358400000001</v>
      </c>
      <c r="D309">
        <v>299.837267</v>
      </c>
      <c r="E309">
        <v>12.0006</v>
      </c>
      <c r="F309">
        <v>11.9983</v>
      </c>
      <c r="G309">
        <v>0.24399999999999999</v>
      </c>
      <c r="H309">
        <v>0.23699999999999999</v>
      </c>
      <c r="I309" t="s">
        <v>0</v>
      </c>
      <c r="J309" t="s">
        <v>49</v>
      </c>
      <c r="K309" t="s">
        <v>50</v>
      </c>
      <c r="L309">
        <v>0</v>
      </c>
      <c r="M309" t="s">
        <v>51</v>
      </c>
      <c r="N309">
        <v>1</v>
      </c>
      <c r="O309" t="s">
        <v>52</v>
      </c>
      <c r="P309" s="2">
        <v>0.47013888888888888</v>
      </c>
      <c r="Q309">
        <f>-0.001546224*3600</f>
        <v>-5.5664064</v>
      </c>
      <c r="R309">
        <f>0.0001704684*3600</f>
        <v>0.61368624000000005</v>
      </c>
    </row>
    <row r="310" spans="1:18" x14ac:dyDescent="0.3">
      <c r="A310" t="s">
        <v>62</v>
      </c>
      <c r="B310" t="s">
        <v>63</v>
      </c>
      <c r="C310">
        <v>325.094357</v>
      </c>
      <c r="D310">
        <v>100.159074</v>
      </c>
      <c r="E310">
        <v>12.0006</v>
      </c>
      <c r="F310">
        <v>11.9984</v>
      </c>
      <c r="G310">
        <v>0.24399999999999999</v>
      </c>
      <c r="H310">
        <v>0.23699999999999999</v>
      </c>
      <c r="I310" t="s">
        <v>0</v>
      </c>
      <c r="J310" t="s">
        <v>49</v>
      </c>
      <c r="K310" t="s">
        <v>50</v>
      </c>
      <c r="L310">
        <v>0</v>
      </c>
      <c r="M310" t="s">
        <v>51</v>
      </c>
      <c r="N310">
        <v>1</v>
      </c>
      <c r="O310" t="s">
        <v>52</v>
      </c>
      <c r="P310" s="2">
        <v>0.47013888888888888</v>
      </c>
      <c r="Q310">
        <f>0.0009148147*3600</f>
        <v>3.2933329200000001</v>
      </c>
      <c r="R310">
        <f>-0.0007730908*3600</f>
        <v>-2.7831268799999997</v>
      </c>
    </row>
    <row r="311" spans="1:18" x14ac:dyDescent="0.3">
      <c r="A311" t="s">
        <v>62</v>
      </c>
      <c r="B311" t="s">
        <v>63</v>
      </c>
      <c r="C311">
        <v>125.093388</v>
      </c>
      <c r="D311">
        <v>299.837287</v>
      </c>
      <c r="E311">
        <v>12.0002</v>
      </c>
      <c r="F311">
        <v>11.9979</v>
      </c>
      <c r="G311">
        <v>0.24399999999999999</v>
      </c>
      <c r="H311">
        <v>0.23699999999999999</v>
      </c>
      <c r="I311" t="s">
        <v>0</v>
      </c>
      <c r="J311" t="s">
        <v>49</v>
      </c>
      <c r="K311" t="s">
        <v>50</v>
      </c>
      <c r="L311">
        <v>0</v>
      </c>
      <c r="M311" t="s">
        <v>51</v>
      </c>
      <c r="N311">
        <v>1</v>
      </c>
      <c r="O311" t="s">
        <v>52</v>
      </c>
      <c r="P311" s="2">
        <v>0.47013888888888888</v>
      </c>
      <c r="Q311">
        <f>-0.0010644244*3600</f>
        <v>-3.8319278399999996</v>
      </c>
      <c r="R311">
        <f>0.0004134935*3600</f>
        <v>1.4885765999999998</v>
      </c>
    </row>
    <row r="312" spans="1:18" x14ac:dyDescent="0.3">
      <c r="P312" s="2"/>
    </row>
    <row r="313" spans="1:18" x14ac:dyDescent="0.3">
      <c r="A313" t="s">
        <v>0</v>
      </c>
      <c r="B313" t="s">
        <v>39</v>
      </c>
      <c r="C313" t="s">
        <v>40</v>
      </c>
      <c r="D313" t="s">
        <v>41</v>
      </c>
      <c r="E313">
        <v>3</v>
      </c>
    </row>
    <row r="314" spans="1:18" x14ac:dyDescent="0.3">
      <c r="A314" t="s">
        <v>0</v>
      </c>
      <c r="B314" t="s">
        <v>42</v>
      </c>
      <c r="C314" t="s">
        <v>43</v>
      </c>
      <c r="D314">
        <v>-187</v>
      </c>
    </row>
    <row r="315" spans="1:18" x14ac:dyDescent="0.3">
      <c r="A315" t="s">
        <v>0</v>
      </c>
      <c r="B315" t="s">
        <v>42</v>
      </c>
      <c r="C315" t="s">
        <v>44</v>
      </c>
      <c r="D315" t="s">
        <v>43</v>
      </c>
      <c r="E315">
        <v>0.99981312379999998</v>
      </c>
    </row>
    <row r="319" spans="1:18" x14ac:dyDescent="0.3">
      <c r="A319" t="s">
        <v>45</v>
      </c>
      <c r="B319" t="s">
        <v>63</v>
      </c>
    </row>
    <row r="320" spans="1:18" x14ac:dyDescent="0.3">
      <c r="A320" t="s">
        <v>47</v>
      </c>
      <c r="B320" t="s">
        <v>57</v>
      </c>
      <c r="C320">
        <v>132.254515</v>
      </c>
      <c r="D320">
        <v>99.670693999999997</v>
      </c>
      <c r="E320">
        <v>68.7517</v>
      </c>
      <c r="F320">
        <v>68.737899999999996</v>
      </c>
      <c r="G320">
        <v>0.23699999999999999</v>
      </c>
      <c r="H320">
        <v>0.24199999999999999</v>
      </c>
      <c r="I320" t="s">
        <v>0</v>
      </c>
      <c r="J320" t="s">
        <v>49</v>
      </c>
      <c r="K320" t="s">
        <v>50</v>
      </c>
      <c r="L320">
        <v>0</v>
      </c>
      <c r="M320" t="s">
        <v>51</v>
      </c>
      <c r="N320">
        <v>1</v>
      </c>
      <c r="O320" t="s">
        <v>52</v>
      </c>
      <c r="P320" s="2">
        <v>0.47222222222222227</v>
      </c>
      <c r="Q320">
        <f>-0.0008210335*3600</f>
        <v>-2.9557206000000003</v>
      </c>
      <c r="R320">
        <f>-0.0003122606*3600</f>
        <v>-1.12413816</v>
      </c>
    </row>
    <row r="321" spans="1:18" x14ac:dyDescent="0.3">
      <c r="A321" t="s">
        <v>28</v>
      </c>
      <c r="B321">
        <v>18</v>
      </c>
      <c r="C321" t="s">
        <v>29</v>
      </c>
      <c r="D321" s="3">
        <v>0.6</v>
      </c>
      <c r="E321" t="s">
        <v>30</v>
      </c>
      <c r="F321" t="s">
        <v>31</v>
      </c>
      <c r="G321" t="s">
        <v>32</v>
      </c>
      <c r="H321" t="s">
        <v>33</v>
      </c>
    </row>
    <row r="322" spans="1:18" x14ac:dyDescent="0.3">
      <c r="A322" t="s">
        <v>34</v>
      </c>
      <c r="B322" t="s">
        <v>35</v>
      </c>
      <c r="C322" t="s">
        <v>34</v>
      </c>
      <c r="D322" t="s">
        <v>66</v>
      </c>
    </row>
    <row r="323" spans="1:18" x14ac:dyDescent="0.3">
      <c r="A323" t="s">
        <v>37</v>
      </c>
      <c r="B323" t="s">
        <v>38</v>
      </c>
      <c r="C323">
        <v>0.13</v>
      </c>
    </row>
    <row r="325" spans="1:18" x14ac:dyDescent="0.3">
      <c r="A325" t="s">
        <v>63</v>
      </c>
      <c r="B325" t="s">
        <v>57</v>
      </c>
      <c r="C325">
        <v>132.25415899999999</v>
      </c>
      <c r="D325">
        <v>99.671436</v>
      </c>
      <c r="E325">
        <v>68.751999999999995</v>
      </c>
      <c r="F325">
        <v>68.738200000000006</v>
      </c>
      <c r="G325">
        <v>0.23699999999999999</v>
      </c>
      <c r="H325">
        <v>0.24199999999999999</v>
      </c>
      <c r="I325" t="s">
        <v>0</v>
      </c>
      <c r="J325" t="s">
        <v>49</v>
      </c>
      <c r="K325" t="s">
        <v>50</v>
      </c>
      <c r="L325">
        <v>0</v>
      </c>
      <c r="M325" t="s">
        <v>51</v>
      </c>
      <c r="N325">
        <v>1</v>
      </c>
      <c r="O325" t="s">
        <v>52</v>
      </c>
      <c r="P325" s="2">
        <v>0.47430555555555554</v>
      </c>
      <c r="Q325">
        <f>-0.0010194964*3600</f>
        <v>-3.6701870400000001</v>
      </c>
      <c r="R325">
        <f>-0.0003077201*3600</f>
        <v>-1.1077923600000001</v>
      </c>
    </row>
    <row r="326" spans="1:18" x14ac:dyDescent="0.3">
      <c r="A326" t="s">
        <v>63</v>
      </c>
      <c r="B326" t="s">
        <v>57</v>
      </c>
      <c r="C326">
        <v>332.25430399999999</v>
      </c>
      <c r="D326">
        <v>300.32866300000001</v>
      </c>
      <c r="E326">
        <v>68.7517</v>
      </c>
      <c r="F326">
        <v>68.737899999999996</v>
      </c>
      <c r="G326">
        <v>0.23699999999999999</v>
      </c>
      <c r="H326">
        <v>0.24199999999999999</v>
      </c>
      <c r="I326" t="s">
        <v>0</v>
      </c>
      <c r="J326" t="s">
        <v>49</v>
      </c>
      <c r="K326" t="s">
        <v>50</v>
      </c>
      <c r="L326">
        <v>0</v>
      </c>
      <c r="M326" t="s">
        <v>51</v>
      </c>
      <c r="N326">
        <v>1</v>
      </c>
      <c r="O326" t="s">
        <v>52</v>
      </c>
      <c r="P326" s="2">
        <v>0.47569444444444442</v>
      </c>
      <c r="Q326">
        <f>0.0005017132*3600</f>
        <v>1.8061675200000002</v>
      </c>
      <c r="R326">
        <f>-0.0006551117*3600</f>
        <v>-2.35840212</v>
      </c>
    </row>
    <row r="327" spans="1:18" x14ac:dyDescent="0.3">
      <c r="A327" t="s">
        <v>63</v>
      </c>
      <c r="B327" t="s">
        <v>57</v>
      </c>
      <c r="C327">
        <v>132.25486000000001</v>
      </c>
      <c r="D327">
        <v>99.671200999999996</v>
      </c>
      <c r="E327">
        <v>68.751800000000003</v>
      </c>
      <c r="F327">
        <v>68.738</v>
      </c>
      <c r="G327">
        <v>0.23699999999999999</v>
      </c>
      <c r="H327">
        <v>0.24199999999999999</v>
      </c>
      <c r="I327" t="s">
        <v>0</v>
      </c>
      <c r="J327" t="s">
        <v>49</v>
      </c>
      <c r="K327" t="s">
        <v>50</v>
      </c>
      <c r="L327">
        <v>0</v>
      </c>
      <c r="M327" t="s">
        <v>51</v>
      </c>
      <c r="N327">
        <v>1</v>
      </c>
      <c r="O327" t="s">
        <v>52</v>
      </c>
      <c r="P327" s="2">
        <v>0.47569444444444442</v>
      </c>
      <c r="Q327">
        <f>-0.001232857*3600</f>
        <v>-4.4382852000000002</v>
      </c>
      <c r="R327">
        <f>-0.0000046366*3600</f>
        <v>-1.669176E-2</v>
      </c>
    </row>
    <row r="328" spans="1:18" x14ac:dyDescent="0.3">
      <c r="A328" t="s">
        <v>63</v>
      </c>
      <c r="B328" t="s">
        <v>57</v>
      </c>
      <c r="C328">
        <v>332.25394599999998</v>
      </c>
      <c r="D328">
        <v>300.32862899999998</v>
      </c>
      <c r="E328">
        <v>68.751800000000003</v>
      </c>
      <c r="F328">
        <v>68.738</v>
      </c>
      <c r="G328">
        <v>0.23699999999999999</v>
      </c>
      <c r="H328">
        <v>0.24199999999999999</v>
      </c>
      <c r="I328" t="s">
        <v>0</v>
      </c>
      <c r="J328" t="s">
        <v>49</v>
      </c>
      <c r="K328" t="s">
        <v>50</v>
      </c>
      <c r="L328">
        <v>0</v>
      </c>
      <c r="M328" t="s">
        <v>51</v>
      </c>
      <c r="N328">
        <v>1</v>
      </c>
      <c r="O328" t="s">
        <v>52</v>
      </c>
      <c r="P328" s="2">
        <v>0.47638888888888892</v>
      </c>
      <c r="Q328">
        <f>0.0004019028*3600</f>
        <v>1.4468500799999999</v>
      </c>
      <c r="R328">
        <f>-0.0007055376*3600</f>
        <v>-2.5399353599999999</v>
      </c>
    </row>
    <row r="329" spans="1:18" x14ac:dyDescent="0.3">
      <c r="A329" t="s">
        <v>63</v>
      </c>
      <c r="B329" t="s">
        <v>57</v>
      </c>
      <c r="C329">
        <v>132.25465700000001</v>
      </c>
      <c r="D329">
        <v>99.670929999999998</v>
      </c>
      <c r="E329">
        <v>68.751999999999995</v>
      </c>
      <c r="F329">
        <v>68.738200000000006</v>
      </c>
      <c r="G329">
        <v>0.23699999999999999</v>
      </c>
      <c r="H329">
        <v>0.24199999999999999</v>
      </c>
      <c r="I329" t="s">
        <v>0</v>
      </c>
      <c r="J329" t="s">
        <v>49</v>
      </c>
      <c r="K329" t="s">
        <v>50</v>
      </c>
      <c r="L329">
        <v>0</v>
      </c>
      <c r="M329" t="s">
        <v>51</v>
      </c>
      <c r="N329">
        <v>1</v>
      </c>
      <c r="O329" t="s">
        <v>52</v>
      </c>
      <c r="P329" s="2">
        <v>0.47638888888888892</v>
      </c>
      <c r="Q329">
        <f>-0.0016340769*3600</f>
        <v>-5.8826768400000002</v>
      </c>
      <c r="R329">
        <f>0.0003456558*3600</f>
        <v>1.2443608799999999</v>
      </c>
    </row>
    <row r="330" spans="1:18" x14ac:dyDescent="0.3">
      <c r="A330" t="s">
        <v>63</v>
      </c>
      <c r="B330" t="s">
        <v>57</v>
      </c>
      <c r="C330">
        <v>332.25420200000002</v>
      </c>
      <c r="D330">
        <v>300.32898899999998</v>
      </c>
      <c r="E330">
        <v>68.751599999999996</v>
      </c>
      <c r="F330">
        <v>68.737799999999993</v>
      </c>
      <c r="G330">
        <v>0.23699999999999999</v>
      </c>
      <c r="H330">
        <v>0.24199999999999999</v>
      </c>
      <c r="I330" t="s">
        <v>0</v>
      </c>
      <c r="J330" t="s">
        <v>49</v>
      </c>
      <c r="K330" t="s">
        <v>50</v>
      </c>
      <c r="L330">
        <v>0</v>
      </c>
      <c r="M330" t="s">
        <v>51</v>
      </c>
      <c r="N330">
        <v>1</v>
      </c>
      <c r="O330" t="s">
        <v>52</v>
      </c>
      <c r="P330" s="2">
        <v>0.4770833333333333</v>
      </c>
      <c r="Q330">
        <f>0.0003928765*3600</f>
        <v>1.4143554</v>
      </c>
      <c r="R330">
        <f>-0.0006825498*3600</f>
        <v>-2.4571792800000001</v>
      </c>
    </row>
    <row r="331" spans="1:18" x14ac:dyDescent="0.3">
      <c r="A331" t="s">
        <v>63</v>
      </c>
      <c r="B331" t="s">
        <v>57</v>
      </c>
      <c r="C331">
        <v>132.25441799999999</v>
      </c>
      <c r="D331">
        <v>99.670968000000002</v>
      </c>
      <c r="E331">
        <v>68.751999999999995</v>
      </c>
      <c r="F331">
        <v>68.738200000000006</v>
      </c>
      <c r="G331">
        <v>0.23699999999999999</v>
      </c>
      <c r="H331">
        <v>0.24199999999999999</v>
      </c>
      <c r="I331" t="s">
        <v>0</v>
      </c>
      <c r="J331" t="s">
        <v>49</v>
      </c>
      <c r="K331" t="s">
        <v>50</v>
      </c>
      <c r="L331">
        <v>0</v>
      </c>
      <c r="M331" t="s">
        <v>51</v>
      </c>
      <c r="N331">
        <v>1</v>
      </c>
      <c r="O331" t="s">
        <v>52</v>
      </c>
      <c r="P331" s="2">
        <v>0.4770833333333333</v>
      </c>
      <c r="Q331">
        <f>-0.001157832*3600</f>
        <v>-4.1681951999999995</v>
      </c>
      <c r="R331">
        <f>0.0000075034*3600</f>
        <v>2.701224E-2</v>
      </c>
    </row>
    <row r="332" spans="1:18" x14ac:dyDescent="0.3">
      <c r="A332" t="s">
        <v>63</v>
      </c>
      <c r="B332" t="s">
        <v>57</v>
      </c>
      <c r="C332">
        <v>332.25385699999998</v>
      </c>
      <c r="D332">
        <v>300.32849299999998</v>
      </c>
      <c r="E332">
        <v>68.7517</v>
      </c>
      <c r="F332">
        <v>68.737899999999996</v>
      </c>
      <c r="G332">
        <v>0.23699999999999999</v>
      </c>
      <c r="H332">
        <v>0.24199999999999999</v>
      </c>
      <c r="I332" t="s">
        <v>0</v>
      </c>
      <c r="J332" t="s">
        <v>49</v>
      </c>
      <c r="K332" t="s">
        <v>50</v>
      </c>
      <c r="L332">
        <v>0</v>
      </c>
      <c r="M332" t="s">
        <v>51</v>
      </c>
      <c r="N332">
        <v>1</v>
      </c>
      <c r="O332" t="s">
        <v>52</v>
      </c>
      <c r="P332" s="2">
        <v>0.4777777777777778</v>
      </c>
      <c r="Q332">
        <f>0.000406397*3600</f>
        <v>1.4630292</v>
      </c>
      <c r="R332">
        <f>-0.0007345636*3600</f>
        <v>-2.6444289599999999</v>
      </c>
    </row>
    <row r="333" spans="1:18" x14ac:dyDescent="0.3">
      <c r="A333" t="s">
        <v>63</v>
      </c>
      <c r="B333" t="s">
        <v>57</v>
      </c>
      <c r="C333">
        <v>132.254661</v>
      </c>
      <c r="D333">
        <v>99.670741000000007</v>
      </c>
      <c r="E333">
        <v>68.751800000000003</v>
      </c>
      <c r="F333">
        <v>68.738</v>
      </c>
      <c r="G333">
        <v>0.23699999999999999</v>
      </c>
      <c r="H333">
        <v>0.24199999999999999</v>
      </c>
      <c r="I333" t="s">
        <v>0</v>
      </c>
      <c r="J333" t="s">
        <v>49</v>
      </c>
      <c r="K333" t="s">
        <v>50</v>
      </c>
      <c r="L333">
        <v>0</v>
      </c>
      <c r="M333" t="s">
        <v>51</v>
      </c>
      <c r="N333">
        <v>1</v>
      </c>
      <c r="O333" t="s">
        <v>52</v>
      </c>
      <c r="P333" s="2">
        <v>0.4777777777777778</v>
      </c>
      <c r="Q333">
        <f>-0.001602219*3600</f>
        <v>-5.7679884000000001</v>
      </c>
      <c r="R333">
        <f>0.0004782864*3600</f>
        <v>1.7218310400000001</v>
      </c>
    </row>
    <row r="334" spans="1:18" x14ac:dyDescent="0.3">
      <c r="A334" t="s">
        <v>63</v>
      </c>
      <c r="B334" t="s">
        <v>57</v>
      </c>
      <c r="C334">
        <v>332.25368900000001</v>
      </c>
      <c r="D334">
        <v>300.32848300000001</v>
      </c>
      <c r="E334">
        <v>68.751599999999996</v>
      </c>
      <c r="F334">
        <v>68.737799999999993</v>
      </c>
      <c r="G334">
        <v>0.23699999999999999</v>
      </c>
      <c r="H334">
        <v>0.24199999999999999</v>
      </c>
      <c r="I334" t="s">
        <v>0</v>
      </c>
      <c r="J334" t="s">
        <v>49</v>
      </c>
      <c r="K334" t="s">
        <v>50</v>
      </c>
      <c r="L334">
        <v>0</v>
      </c>
      <c r="M334" t="s">
        <v>51</v>
      </c>
      <c r="N334">
        <v>1</v>
      </c>
      <c r="O334" t="s">
        <v>52</v>
      </c>
      <c r="P334" s="2">
        <v>0.4777777777777778</v>
      </c>
      <c r="Q334">
        <f>0.000365292*3600</f>
        <v>1.3150512000000001</v>
      </c>
      <c r="R334">
        <f>-0.0007391938*3600</f>
        <v>-2.6610976800000001</v>
      </c>
    </row>
    <row r="335" spans="1:18" x14ac:dyDescent="0.3">
      <c r="A335" t="s">
        <v>63</v>
      </c>
      <c r="B335" t="s">
        <v>58</v>
      </c>
      <c r="C335">
        <v>130.68994699999999</v>
      </c>
      <c r="D335">
        <v>99.559342000000001</v>
      </c>
      <c r="E335">
        <v>56.633099999999999</v>
      </c>
      <c r="F335">
        <v>56.621200000000002</v>
      </c>
      <c r="G335">
        <v>0.23699999999999999</v>
      </c>
      <c r="H335">
        <v>0.24299999999999999</v>
      </c>
      <c r="I335" t="s">
        <v>0</v>
      </c>
      <c r="J335" t="s">
        <v>49</v>
      </c>
      <c r="K335" t="s">
        <v>50</v>
      </c>
      <c r="L335">
        <v>0</v>
      </c>
      <c r="M335" t="s">
        <v>51</v>
      </c>
      <c r="N335">
        <v>1</v>
      </c>
      <c r="O335" t="s">
        <v>52</v>
      </c>
      <c r="P335" s="2">
        <v>0.47430555555555554</v>
      </c>
      <c r="Q335">
        <f>-0.0010199924*3600</f>
        <v>-3.6719726400000003</v>
      </c>
      <c r="R335">
        <f>-0.0003073041*3600</f>
        <v>-1.1062947599999999</v>
      </c>
    </row>
    <row r="336" spans="1:18" x14ac:dyDescent="0.3">
      <c r="A336" t="s">
        <v>63</v>
      </c>
      <c r="B336" t="s">
        <v>58</v>
      </c>
      <c r="C336">
        <v>330.68933600000003</v>
      </c>
      <c r="D336">
        <v>300.441531</v>
      </c>
      <c r="E336">
        <v>56.632800000000003</v>
      </c>
      <c r="F336">
        <v>56.620899999999999</v>
      </c>
      <c r="G336">
        <v>0.23699999999999999</v>
      </c>
      <c r="H336">
        <v>0.24299999999999999</v>
      </c>
      <c r="I336" t="s">
        <v>0</v>
      </c>
      <c r="J336" t="s">
        <v>49</v>
      </c>
      <c r="K336" t="s">
        <v>50</v>
      </c>
      <c r="L336">
        <v>0</v>
      </c>
      <c r="M336" t="s">
        <v>51</v>
      </c>
      <c r="N336">
        <v>1</v>
      </c>
      <c r="O336" t="s">
        <v>52</v>
      </c>
      <c r="P336" s="2">
        <v>0.47500000000000003</v>
      </c>
      <c r="Q336">
        <f>0.000559805*3600</f>
        <v>2.015298</v>
      </c>
      <c r="R336">
        <f>-0.000635895*3600</f>
        <v>-2.2892220000000001</v>
      </c>
    </row>
    <row r="337" spans="1:18" x14ac:dyDescent="0.3">
      <c r="A337" t="s">
        <v>63</v>
      </c>
      <c r="B337" t="s">
        <v>58</v>
      </c>
      <c r="C337">
        <v>130.69011599999999</v>
      </c>
      <c r="D337">
        <v>99.559083999999999</v>
      </c>
      <c r="E337">
        <v>56.633299999999998</v>
      </c>
      <c r="F337">
        <v>56.621400000000001</v>
      </c>
      <c r="G337">
        <v>0.23699999999999999</v>
      </c>
      <c r="H337">
        <v>0.24299999999999999</v>
      </c>
      <c r="I337" t="s">
        <v>0</v>
      </c>
      <c r="J337" t="s">
        <v>49</v>
      </c>
      <c r="K337" t="s">
        <v>50</v>
      </c>
      <c r="L337">
        <v>0</v>
      </c>
      <c r="M337" t="s">
        <v>51</v>
      </c>
      <c r="N337">
        <v>1</v>
      </c>
      <c r="O337" t="s">
        <v>52</v>
      </c>
      <c r="P337" s="2">
        <v>0.47569444444444442</v>
      </c>
      <c r="Q337">
        <f>-0.0012084925*3600</f>
        <v>-4.3505729999999998</v>
      </c>
      <c r="R337">
        <f>0.0000479945*3600</f>
        <v>0.17278020000000002</v>
      </c>
    </row>
    <row r="338" spans="1:18" x14ac:dyDescent="0.3">
      <c r="A338" t="s">
        <v>63</v>
      </c>
      <c r="B338" t="s">
        <v>58</v>
      </c>
      <c r="C338">
        <v>330.689502</v>
      </c>
      <c r="D338">
        <v>300.440585</v>
      </c>
      <c r="E338">
        <v>56.633099999999999</v>
      </c>
      <c r="F338">
        <v>56.621200000000002</v>
      </c>
      <c r="G338">
        <v>0.23699999999999999</v>
      </c>
      <c r="H338">
        <v>0.24299999999999999</v>
      </c>
      <c r="I338" t="s">
        <v>0</v>
      </c>
      <c r="J338" t="s">
        <v>49</v>
      </c>
      <c r="K338" t="s">
        <v>50</v>
      </c>
      <c r="L338">
        <v>0</v>
      </c>
      <c r="M338" t="s">
        <v>51</v>
      </c>
      <c r="N338">
        <v>1</v>
      </c>
      <c r="O338" t="s">
        <v>52</v>
      </c>
      <c r="P338" s="2">
        <v>0.47638888888888892</v>
      </c>
      <c r="Q338">
        <f>0.0005482906*3600</f>
        <v>1.9738461599999999</v>
      </c>
      <c r="R338">
        <f>-0.0005954419*3600</f>
        <v>-2.1435908399999999</v>
      </c>
    </row>
    <row r="339" spans="1:18" x14ac:dyDescent="0.3">
      <c r="A339" t="s">
        <v>63</v>
      </c>
      <c r="B339" t="s">
        <v>58</v>
      </c>
      <c r="C339">
        <v>130.69010800000001</v>
      </c>
      <c r="D339">
        <v>99.559203999999994</v>
      </c>
      <c r="E339">
        <v>56.633200000000002</v>
      </c>
      <c r="F339">
        <v>56.621299999999998</v>
      </c>
      <c r="G339">
        <v>0.23699999999999999</v>
      </c>
      <c r="H339">
        <v>0.24299999999999999</v>
      </c>
      <c r="I339" t="s">
        <v>0</v>
      </c>
      <c r="J339" t="s">
        <v>49</v>
      </c>
      <c r="K339" t="s">
        <v>50</v>
      </c>
      <c r="L339">
        <v>0</v>
      </c>
      <c r="M339" t="s">
        <v>51</v>
      </c>
      <c r="N339">
        <v>1</v>
      </c>
      <c r="O339" t="s">
        <v>52</v>
      </c>
      <c r="P339" s="2">
        <v>0.47638888888888892</v>
      </c>
      <c r="Q339">
        <f>-0.0014893777*3600</f>
        <v>-5.3617597200000002</v>
      </c>
      <c r="R339">
        <f>0.0003614714*3600</f>
        <v>1.3012970400000001</v>
      </c>
    </row>
    <row r="340" spans="1:18" x14ac:dyDescent="0.3">
      <c r="A340" t="s">
        <v>63</v>
      </c>
      <c r="B340" t="s">
        <v>58</v>
      </c>
      <c r="C340">
        <v>330.68926699999997</v>
      </c>
      <c r="D340">
        <v>300.44073400000002</v>
      </c>
      <c r="E340">
        <v>56.633000000000003</v>
      </c>
      <c r="F340">
        <v>56.621099999999998</v>
      </c>
      <c r="G340">
        <v>0.23699999999999999</v>
      </c>
      <c r="H340">
        <v>0.24299999999999999</v>
      </c>
      <c r="I340" t="s">
        <v>0</v>
      </c>
      <c r="J340" t="s">
        <v>49</v>
      </c>
      <c r="K340" t="s">
        <v>50</v>
      </c>
      <c r="L340">
        <v>0</v>
      </c>
      <c r="M340" t="s">
        <v>51</v>
      </c>
      <c r="N340">
        <v>1</v>
      </c>
      <c r="O340" t="s">
        <v>52</v>
      </c>
      <c r="P340" s="2">
        <v>0.4770833333333333</v>
      </c>
      <c r="Q340">
        <f>0.0005130018*3600</f>
        <v>1.8468064799999999</v>
      </c>
      <c r="R340">
        <f>-0.0006491059*3600</f>
        <v>-2.3367812399999996</v>
      </c>
    </row>
    <row r="341" spans="1:18" x14ac:dyDescent="0.3">
      <c r="A341" t="s">
        <v>63</v>
      </c>
      <c r="B341" t="s">
        <v>58</v>
      </c>
      <c r="C341">
        <v>130.69029</v>
      </c>
      <c r="D341">
        <v>99.558878000000007</v>
      </c>
      <c r="E341">
        <v>56.633299999999998</v>
      </c>
      <c r="F341">
        <v>56.621400000000001</v>
      </c>
      <c r="G341">
        <v>0.23699999999999999</v>
      </c>
      <c r="H341">
        <v>0.24299999999999999</v>
      </c>
      <c r="I341" t="s">
        <v>0</v>
      </c>
      <c r="J341" t="s">
        <v>49</v>
      </c>
      <c r="K341" t="s">
        <v>50</v>
      </c>
      <c r="L341">
        <v>0</v>
      </c>
      <c r="M341" t="s">
        <v>51</v>
      </c>
      <c r="N341">
        <v>1</v>
      </c>
      <c r="O341" t="s">
        <v>52</v>
      </c>
      <c r="P341" s="2">
        <v>0.4770833333333333</v>
      </c>
      <c r="Q341">
        <f>-0.0012218166*3600</f>
        <v>-4.3985397599999994</v>
      </c>
      <c r="R341">
        <f>0.0001275561*3600</f>
        <v>0.45920196000000002</v>
      </c>
    </row>
    <row r="342" spans="1:18" x14ac:dyDescent="0.3">
      <c r="A342" t="s">
        <v>63</v>
      </c>
      <c r="B342" t="s">
        <v>58</v>
      </c>
      <c r="C342">
        <v>330.68969399999997</v>
      </c>
      <c r="D342">
        <v>300.44078200000001</v>
      </c>
      <c r="E342">
        <v>56.632800000000003</v>
      </c>
      <c r="F342">
        <v>56.620899999999999</v>
      </c>
      <c r="G342">
        <v>0.23699999999999999</v>
      </c>
      <c r="H342">
        <v>0.24299999999999999</v>
      </c>
      <c r="I342" t="s">
        <v>0</v>
      </c>
      <c r="J342" t="s">
        <v>49</v>
      </c>
      <c r="K342" t="s">
        <v>50</v>
      </c>
      <c r="L342">
        <v>0</v>
      </c>
      <c r="M342" t="s">
        <v>51</v>
      </c>
      <c r="N342">
        <v>1</v>
      </c>
      <c r="O342" t="s">
        <v>52</v>
      </c>
      <c r="P342" s="2">
        <v>0.4770833333333333</v>
      </c>
      <c r="Q342">
        <f>0.000457368*3600</f>
        <v>1.6465247999999999</v>
      </c>
      <c r="R342">
        <f>-0.0006522363*3600</f>
        <v>-2.3480506800000001</v>
      </c>
    </row>
    <row r="343" spans="1:18" x14ac:dyDescent="0.3">
      <c r="A343" t="s">
        <v>63</v>
      </c>
      <c r="B343" t="s">
        <v>58</v>
      </c>
      <c r="C343">
        <v>130.68998400000001</v>
      </c>
      <c r="D343">
        <v>99.559000999999995</v>
      </c>
      <c r="E343">
        <v>56.633200000000002</v>
      </c>
      <c r="F343">
        <v>56.621299999999998</v>
      </c>
      <c r="G343">
        <v>0.23699999999999999</v>
      </c>
      <c r="H343">
        <v>0.24299999999999999</v>
      </c>
      <c r="I343" t="s">
        <v>0</v>
      </c>
      <c r="J343" t="s">
        <v>49</v>
      </c>
      <c r="K343" t="s">
        <v>50</v>
      </c>
      <c r="L343">
        <v>0</v>
      </c>
      <c r="M343" t="s">
        <v>51</v>
      </c>
      <c r="N343">
        <v>1</v>
      </c>
      <c r="O343" t="s">
        <v>52</v>
      </c>
      <c r="P343" s="2">
        <v>0.4777777777777778</v>
      </c>
      <c r="Q343">
        <f>-0.0015513422*3600</f>
        <v>-5.5848319199999992</v>
      </c>
      <c r="R343">
        <f>0.0004497372*3600</f>
        <v>1.61905392</v>
      </c>
    </row>
    <row r="344" spans="1:18" x14ac:dyDescent="0.3">
      <c r="A344" t="s">
        <v>63</v>
      </c>
      <c r="B344" t="s">
        <v>58</v>
      </c>
      <c r="C344">
        <v>330.68933700000002</v>
      </c>
      <c r="D344">
        <v>300.44108499999999</v>
      </c>
      <c r="E344">
        <v>56.632800000000003</v>
      </c>
      <c r="F344">
        <v>56.620899999999999</v>
      </c>
      <c r="G344">
        <v>0.23699999999999999</v>
      </c>
      <c r="H344">
        <v>0.24299999999999999</v>
      </c>
      <c r="I344" t="s">
        <v>0</v>
      </c>
      <c r="J344" t="s">
        <v>49</v>
      </c>
      <c r="K344" t="s">
        <v>50</v>
      </c>
      <c r="L344">
        <v>0</v>
      </c>
      <c r="M344" t="s">
        <v>51</v>
      </c>
      <c r="N344">
        <v>1</v>
      </c>
      <c r="O344" t="s">
        <v>52</v>
      </c>
      <c r="P344" s="2">
        <v>0.4777777777777778</v>
      </c>
      <c r="Q344">
        <f>0.0004250594*3600</f>
        <v>1.53021384</v>
      </c>
      <c r="R344">
        <f>-0.0006702569*3600</f>
        <v>-2.4129248400000001</v>
      </c>
    </row>
    <row r="345" spans="1:18" x14ac:dyDescent="0.3">
      <c r="A345" t="s">
        <v>63</v>
      </c>
      <c r="B345" t="s">
        <v>62</v>
      </c>
      <c r="C345">
        <v>125.092263</v>
      </c>
      <c r="D345">
        <v>99.840855000000005</v>
      </c>
      <c r="E345">
        <v>12.000400000000001</v>
      </c>
      <c r="F345">
        <v>11.998200000000001</v>
      </c>
      <c r="G345">
        <v>0.23699999999999999</v>
      </c>
      <c r="H345">
        <v>0.24399999999999999</v>
      </c>
      <c r="I345" t="s">
        <v>0</v>
      </c>
      <c r="J345" t="s">
        <v>49</v>
      </c>
      <c r="K345" t="s">
        <v>50</v>
      </c>
      <c r="L345">
        <v>0</v>
      </c>
      <c r="M345" t="s">
        <v>51</v>
      </c>
      <c r="N345">
        <v>1</v>
      </c>
      <c r="O345" t="s">
        <v>52</v>
      </c>
      <c r="P345" s="2">
        <v>0.47500000000000003</v>
      </c>
      <c r="Q345">
        <f>-0.0010897666*3600</f>
        <v>-3.9231597599999999</v>
      </c>
      <c r="R345">
        <f>-0.0002093309*3600</f>
        <v>-0.75359124</v>
      </c>
    </row>
    <row r="346" spans="1:18" x14ac:dyDescent="0.3">
      <c r="A346" t="s">
        <v>63</v>
      </c>
      <c r="B346" t="s">
        <v>62</v>
      </c>
      <c r="C346">
        <v>325.09169000000003</v>
      </c>
      <c r="D346">
        <v>300.15624200000002</v>
      </c>
      <c r="E346">
        <v>12.000299999999999</v>
      </c>
      <c r="F346">
        <v>11.998100000000001</v>
      </c>
      <c r="G346">
        <v>0.23699999999999999</v>
      </c>
      <c r="H346">
        <v>0.24399999999999999</v>
      </c>
      <c r="I346" t="s">
        <v>0</v>
      </c>
      <c r="J346" t="s">
        <v>49</v>
      </c>
      <c r="K346" t="s">
        <v>50</v>
      </c>
      <c r="L346">
        <v>0</v>
      </c>
      <c r="M346" t="s">
        <v>51</v>
      </c>
      <c r="N346">
        <v>1</v>
      </c>
      <c r="O346" t="s">
        <v>52</v>
      </c>
      <c r="P346" s="2">
        <v>0.47500000000000003</v>
      </c>
      <c r="Q346">
        <f>0.0004508061*3600</f>
        <v>1.6229019599999999</v>
      </c>
      <c r="R346">
        <f>-0.0006742598*3600</f>
        <v>-2.4273352799999999</v>
      </c>
    </row>
    <row r="347" spans="1:18" x14ac:dyDescent="0.3">
      <c r="A347" t="s">
        <v>63</v>
      </c>
      <c r="B347" t="s">
        <v>62</v>
      </c>
      <c r="C347">
        <v>125.092136</v>
      </c>
      <c r="D347">
        <v>99.840631999999999</v>
      </c>
      <c r="E347">
        <v>12.000500000000001</v>
      </c>
      <c r="F347">
        <v>11.998200000000001</v>
      </c>
      <c r="G347">
        <v>0.23699999999999999</v>
      </c>
      <c r="H347">
        <v>0.24399999999999999</v>
      </c>
      <c r="I347" t="s">
        <v>0</v>
      </c>
      <c r="J347" t="s">
        <v>49</v>
      </c>
      <c r="K347" t="s">
        <v>50</v>
      </c>
      <c r="L347">
        <v>0</v>
      </c>
      <c r="M347" t="s">
        <v>51</v>
      </c>
      <c r="N347">
        <v>1</v>
      </c>
      <c r="O347" t="s">
        <v>52</v>
      </c>
      <c r="P347" s="2">
        <v>0.47569444444444442</v>
      </c>
      <c r="Q347">
        <f>-0.001149971*3600</f>
        <v>-4.1398956</v>
      </c>
      <c r="R347">
        <f>-0.0000361562*3600</f>
        <v>-0.13016232</v>
      </c>
    </row>
    <row r="348" spans="1:18" x14ac:dyDescent="0.3">
      <c r="A348" t="s">
        <v>63</v>
      </c>
      <c r="B348" t="s">
        <v>62</v>
      </c>
      <c r="C348">
        <v>325.09169800000001</v>
      </c>
      <c r="D348">
        <v>300.15626200000003</v>
      </c>
      <c r="E348">
        <v>12.000299999999999</v>
      </c>
      <c r="F348">
        <v>11.998100000000001</v>
      </c>
      <c r="G348">
        <v>0.23699999999999999</v>
      </c>
      <c r="H348">
        <v>0.24399999999999999</v>
      </c>
      <c r="I348" t="s">
        <v>0</v>
      </c>
      <c r="J348" t="s">
        <v>49</v>
      </c>
      <c r="K348" t="s">
        <v>50</v>
      </c>
      <c r="L348">
        <v>0</v>
      </c>
      <c r="M348" t="s">
        <v>51</v>
      </c>
      <c r="N348">
        <v>1</v>
      </c>
      <c r="O348" t="s">
        <v>52</v>
      </c>
      <c r="P348" s="2">
        <v>0.47569444444444442</v>
      </c>
      <c r="Q348">
        <f>0.0004731088*3600</f>
        <v>1.70319168</v>
      </c>
      <c r="R348">
        <f>-0.0006401425*3600</f>
        <v>-2.304513</v>
      </c>
    </row>
    <row r="349" spans="1:18" x14ac:dyDescent="0.3">
      <c r="A349" t="s">
        <v>63</v>
      </c>
      <c r="B349" t="s">
        <v>62</v>
      </c>
      <c r="C349">
        <v>125.092507</v>
      </c>
      <c r="D349">
        <v>99.840648000000002</v>
      </c>
      <c r="E349">
        <v>12.0006</v>
      </c>
      <c r="F349">
        <v>11.9983</v>
      </c>
      <c r="G349">
        <v>0.23699999999999999</v>
      </c>
      <c r="H349">
        <v>0.24399999999999999</v>
      </c>
      <c r="I349" t="s">
        <v>0</v>
      </c>
      <c r="J349" t="s">
        <v>49</v>
      </c>
      <c r="K349" t="s">
        <v>50</v>
      </c>
      <c r="L349">
        <v>0</v>
      </c>
      <c r="M349" t="s">
        <v>51</v>
      </c>
      <c r="N349">
        <v>1</v>
      </c>
      <c r="O349" t="s">
        <v>52</v>
      </c>
      <c r="P349" s="2">
        <v>0.47638888888888892</v>
      </c>
      <c r="Q349">
        <f>-0.001416531*3600</f>
        <v>-5.0995115999999996</v>
      </c>
      <c r="R349">
        <f>0.0006222984*3600</f>
        <v>2.2402742400000002</v>
      </c>
    </row>
    <row r="350" spans="1:18" x14ac:dyDescent="0.3">
      <c r="A350" t="s">
        <v>63</v>
      </c>
      <c r="B350" t="s">
        <v>62</v>
      </c>
      <c r="C350">
        <v>325.09185600000001</v>
      </c>
      <c r="D350">
        <v>300.15643399999999</v>
      </c>
      <c r="E350">
        <v>12.0002</v>
      </c>
      <c r="F350">
        <v>11.997999999999999</v>
      </c>
      <c r="G350">
        <v>0.23699999999999999</v>
      </c>
      <c r="H350">
        <v>0.24399999999999999</v>
      </c>
      <c r="I350" t="s">
        <v>0</v>
      </c>
      <c r="J350" t="s">
        <v>49</v>
      </c>
      <c r="K350" t="s">
        <v>50</v>
      </c>
      <c r="L350">
        <v>0</v>
      </c>
      <c r="M350" t="s">
        <v>51</v>
      </c>
      <c r="N350">
        <v>1</v>
      </c>
      <c r="O350" t="s">
        <v>52</v>
      </c>
      <c r="P350" s="2">
        <v>0.47638888888888892</v>
      </c>
      <c r="Q350">
        <f>0.0003978649*3600</f>
        <v>1.4323136399999998</v>
      </c>
      <c r="R350">
        <f>-0.0006547039*3600</f>
        <v>-2.3569340399999996</v>
      </c>
    </row>
    <row r="351" spans="1:18" x14ac:dyDescent="0.3">
      <c r="A351" t="s">
        <v>63</v>
      </c>
      <c r="B351" t="s">
        <v>62</v>
      </c>
      <c r="C351">
        <v>125.092455</v>
      </c>
      <c r="D351">
        <v>99.840528000000006</v>
      </c>
      <c r="E351">
        <v>12.0006</v>
      </c>
      <c r="F351">
        <v>11.9983</v>
      </c>
      <c r="G351">
        <v>0.23699999999999999</v>
      </c>
      <c r="H351">
        <v>0.24399999999999999</v>
      </c>
      <c r="I351" t="s">
        <v>0</v>
      </c>
      <c r="J351" t="s">
        <v>49</v>
      </c>
      <c r="K351" t="s">
        <v>50</v>
      </c>
      <c r="L351">
        <v>0</v>
      </c>
      <c r="M351" t="s">
        <v>51</v>
      </c>
      <c r="N351">
        <v>1</v>
      </c>
      <c r="O351" t="s">
        <v>52</v>
      </c>
      <c r="P351" s="2">
        <v>0.4770833333333333</v>
      </c>
      <c r="Q351">
        <f>-0.001195987*3600</f>
        <v>-4.3055531999999994</v>
      </c>
      <c r="R351">
        <f>0.0000938047*3600</f>
        <v>0.33769692000000001</v>
      </c>
    </row>
    <row r="352" spans="1:18" x14ac:dyDescent="0.3">
      <c r="A352" t="s">
        <v>63</v>
      </c>
      <c r="B352" t="s">
        <v>62</v>
      </c>
      <c r="C352">
        <v>325.09165000000002</v>
      </c>
      <c r="D352">
        <v>300.15631500000001</v>
      </c>
      <c r="E352">
        <v>12.0002</v>
      </c>
      <c r="F352">
        <v>11.997999999999999</v>
      </c>
      <c r="G352">
        <v>0.23699999999999999</v>
      </c>
      <c r="H352">
        <v>0.24399999999999999</v>
      </c>
      <c r="I352" t="s">
        <v>0</v>
      </c>
      <c r="J352" t="s">
        <v>49</v>
      </c>
      <c r="K352" t="s">
        <v>50</v>
      </c>
      <c r="L352">
        <v>0</v>
      </c>
      <c r="M352" t="s">
        <v>51</v>
      </c>
      <c r="N352">
        <v>1</v>
      </c>
      <c r="O352" t="s">
        <v>52</v>
      </c>
      <c r="P352" s="2">
        <v>0.4770833333333333</v>
      </c>
      <c r="Q352">
        <f>0.0004128304*3600</f>
        <v>1.48618944</v>
      </c>
      <c r="R352">
        <f>-0.0007003456*3600</f>
        <v>-2.5212441600000002</v>
      </c>
    </row>
    <row r="353" spans="1:18" x14ac:dyDescent="0.3">
      <c r="A353" t="s">
        <v>63</v>
      </c>
      <c r="B353" t="s">
        <v>62</v>
      </c>
      <c r="C353">
        <v>125.09222</v>
      </c>
      <c r="D353">
        <v>99.840760000000003</v>
      </c>
      <c r="E353">
        <v>12.000500000000001</v>
      </c>
      <c r="F353">
        <v>11.9983</v>
      </c>
      <c r="G353">
        <v>0.23699999999999999</v>
      </c>
      <c r="H353">
        <v>0.24399999999999999</v>
      </c>
      <c r="I353" t="s">
        <v>0</v>
      </c>
      <c r="J353" t="s">
        <v>49</v>
      </c>
      <c r="K353" t="s">
        <v>50</v>
      </c>
      <c r="L353">
        <v>0</v>
      </c>
      <c r="M353" t="s">
        <v>51</v>
      </c>
      <c r="N353">
        <v>1</v>
      </c>
      <c r="O353" t="s">
        <v>52</v>
      </c>
      <c r="P353" s="2">
        <v>0.4777777777777778</v>
      </c>
      <c r="Q353">
        <f>-0.0014221756*3600</f>
        <v>-5.1198321599999996</v>
      </c>
      <c r="R353">
        <f>0.0006345555*3600</f>
        <v>2.2843998000000001</v>
      </c>
    </row>
    <row r="354" spans="1:18" x14ac:dyDescent="0.3">
      <c r="A354" t="s">
        <v>63</v>
      </c>
      <c r="B354" t="s">
        <v>62</v>
      </c>
      <c r="C354">
        <v>325.09189700000002</v>
      </c>
      <c r="D354">
        <v>300.15637400000003</v>
      </c>
      <c r="E354">
        <v>12.0002</v>
      </c>
      <c r="F354">
        <v>11.997999999999999</v>
      </c>
      <c r="G354">
        <v>0.23699999999999999</v>
      </c>
      <c r="H354">
        <v>0.24399999999999999</v>
      </c>
      <c r="I354" t="s">
        <v>0</v>
      </c>
      <c r="J354" t="s">
        <v>49</v>
      </c>
      <c r="K354" t="s">
        <v>50</v>
      </c>
      <c r="L354">
        <v>0</v>
      </c>
      <c r="M354" t="s">
        <v>51</v>
      </c>
      <c r="N354">
        <v>1</v>
      </c>
      <c r="O354" t="s">
        <v>52</v>
      </c>
      <c r="P354" s="2">
        <v>0.4777777777777778</v>
      </c>
      <c r="Q354">
        <f>0.0003985849*3600</f>
        <v>1.43490564</v>
      </c>
      <c r="R354">
        <f>-0.000648697*3600</f>
        <v>-2.3353092000000002</v>
      </c>
    </row>
    <row r="355" spans="1:18" x14ac:dyDescent="0.3">
      <c r="A355" t="s">
        <v>63</v>
      </c>
      <c r="B355" t="s">
        <v>67</v>
      </c>
      <c r="C355">
        <v>320.51731699999999</v>
      </c>
      <c r="D355">
        <v>99.443659999999994</v>
      </c>
      <c r="E355">
        <v>26.652100000000001</v>
      </c>
      <c r="F355">
        <v>26.646100000000001</v>
      </c>
      <c r="G355">
        <v>0.23699999999999999</v>
      </c>
      <c r="H355">
        <v>0</v>
      </c>
      <c r="I355" t="s">
        <v>0</v>
      </c>
      <c r="J355" t="s">
        <v>49</v>
      </c>
      <c r="K355" t="s">
        <v>50</v>
      </c>
      <c r="L355">
        <v>0</v>
      </c>
      <c r="M355" t="s">
        <v>51</v>
      </c>
      <c r="N355">
        <v>1</v>
      </c>
      <c r="O355" t="s">
        <v>52</v>
      </c>
      <c r="P355" s="2">
        <v>0.47500000000000003</v>
      </c>
      <c r="Q355">
        <f>0.00045283*3600</f>
        <v>1.630188</v>
      </c>
      <c r="R355">
        <f>-0.000590468*3600</f>
        <v>-2.1256848000000002</v>
      </c>
    </row>
    <row r="356" spans="1:18" x14ac:dyDescent="0.3">
      <c r="A356" t="s">
        <v>63</v>
      </c>
      <c r="B356" t="s">
        <v>67</v>
      </c>
      <c r="C356">
        <v>120.516464</v>
      </c>
      <c r="D356">
        <v>300.55463900000001</v>
      </c>
      <c r="E356">
        <v>26.652100000000001</v>
      </c>
      <c r="F356">
        <v>26.646100000000001</v>
      </c>
      <c r="G356">
        <v>0.23699999999999999</v>
      </c>
      <c r="H356">
        <v>0</v>
      </c>
      <c r="I356" t="s">
        <v>0</v>
      </c>
      <c r="J356" t="s">
        <v>49</v>
      </c>
      <c r="K356" t="s">
        <v>50</v>
      </c>
      <c r="L356">
        <v>0</v>
      </c>
      <c r="M356" t="s">
        <v>51</v>
      </c>
      <c r="N356">
        <v>1</v>
      </c>
      <c r="O356" t="s">
        <v>52</v>
      </c>
      <c r="P356" s="2">
        <v>0.47500000000000003</v>
      </c>
      <c r="Q356">
        <f>-0.0010567811*3600</f>
        <v>-3.8044119599999999</v>
      </c>
      <c r="R356">
        <f>-0.0000478471*3600</f>
        <v>-0.17224956</v>
      </c>
    </row>
    <row r="357" spans="1:18" x14ac:dyDescent="0.3">
      <c r="A357" t="s">
        <v>63</v>
      </c>
      <c r="B357" t="s">
        <v>67</v>
      </c>
      <c r="C357">
        <v>320.51709299999999</v>
      </c>
      <c r="D357">
        <v>99.443308000000002</v>
      </c>
      <c r="E357">
        <v>26.6523</v>
      </c>
      <c r="F357">
        <v>26.6463</v>
      </c>
      <c r="G357">
        <v>0.23699999999999999</v>
      </c>
      <c r="H357">
        <v>0</v>
      </c>
      <c r="I357" t="s">
        <v>0</v>
      </c>
      <c r="J357" t="s">
        <v>49</v>
      </c>
      <c r="K357" t="s">
        <v>50</v>
      </c>
      <c r="L357">
        <v>0</v>
      </c>
      <c r="M357" t="s">
        <v>51</v>
      </c>
      <c r="N357">
        <v>1</v>
      </c>
      <c r="O357" t="s">
        <v>52</v>
      </c>
      <c r="P357" s="2">
        <v>0.47569444444444442</v>
      </c>
      <c r="Q357">
        <f>0.0007932353*3600</f>
        <v>2.8556470799999998</v>
      </c>
      <c r="R357">
        <f>-0.0000387424*3600</f>
        <v>-0.13947263999999998</v>
      </c>
    </row>
    <row r="358" spans="1:18" x14ac:dyDescent="0.3">
      <c r="A358" t="s">
        <v>63</v>
      </c>
      <c r="B358" t="s">
        <v>67</v>
      </c>
      <c r="C358">
        <v>120.516542</v>
      </c>
      <c r="D358">
        <v>300.55516699999998</v>
      </c>
      <c r="E358">
        <v>26.652100000000001</v>
      </c>
      <c r="F358">
        <v>26.646100000000001</v>
      </c>
      <c r="G358">
        <v>0.23699999999999999</v>
      </c>
      <c r="H358">
        <v>0</v>
      </c>
      <c r="I358" t="s">
        <v>0</v>
      </c>
      <c r="J358" t="s">
        <v>49</v>
      </c>
      <c r="K358" t="s">
        <v>50</v>
      </c>
      <c r="L358">
        <v>0</v>
      </c>
      <c r="M358" t="s">
        <v>51</v>
      </c>
      <c r="N358">
        <v>1</v>
      </c>
      <c r="O358" t="s">
        <v>52</v>
      </c>
      <c r="P358" s="2">
        <v>0.47569444444444442</v>
      </c>
      <c r="Q358">
        <f>-0.0010772065*3600</f>
        <v>-3.8779433999999999</v>
      </c>
      <c r="R358">
        <f>0.0000824132*3600</f>
        <v>0.29668751999999998</v>
      </c>
    </row>
    <row r="359" spans="1:18" x14ac:dyDescent="0.3">
      <c r="A359" t="s">
        <v>63</v>
      </c>
      <c r="B359" t="s">
        <v>67</v>
      </c>
      <c r="C359">
        <v>320.51781299999999</v>
      </c>
      <c r="D359">
        <v>99.443607999999998</v>
      </c>
      <c r="E359">
        <v>26.652200000000001</v>
      </c>
      <c r="F359">
        <v>26.6462</v>
      </c>
      <c r="G359">
        <v>0.23699999999999999</v>
      </c>
      <c r="H359">
        <v>0</v>
      </c>
      <c r="I359" t="s">
        <v>0</v>
      </c>
      <c r="J359" t="s">
        <v>49</v>
      </c>
      <c r="K359" t="s">
        <v>50</v>
      </c>
      <c r="L359">
        <v>0</v>
      </c>
      <c r="M359" t="s">
        <v>51</v>
      </c>
      <c r="N359">
        <v>1</v>
      </c>
      <c r="O359" t="s">
        <v>52</v>
      </c>
      <c r="P359" s="2">
        <v>0.47638888888888892</v>
      </c>
      <c r="Q359">
        <f>0.0003216095*3600</f>
        <v>1.1577941999999999</v>
      </c>
      <c r="R359">
        <f>-0.0005282633*3600</f>
        <v>-1.9017478799999998</v>
      </c>
    </row>
    <row r="360" spans="1:18" x14ac:dyDescent="0.3">
      <c r="A360" t="s">
        <v>63</v>
      </c>
      <c r="B360" t="s">
        <v>67</v>
      </c>
      <c r="C360">
        <v>120.51623600000001</v>
      </c>
      <c r="D360">
        <v>300.55426399999999</v>
      </c>
      <c r="E360">
        <v>26.651900000000001</v>
      </c>
      <c r="F360">
        <v>26.645900000000001</v>
      </c>
      <c r="G360">
        <v>0.23699999999999999</v>
      </c>
      <c r="H360">
        <v>0</v>
      </c>
      <c r="I360" t="s">
        <v>0</v>
      </c>
      <c r="J360" t="s">
        <v>49</v>
      </c>
      <c r="K360" t="s">
        <v>50</v>
      </c>
      <c r="L360">
        <v>0</v>
      </c>
      <c r="M360" t="s">
        <v>51</v>
      </c>
      <c r="N360">
        <v>1</v>
      </c>
      <c r="O360" t="s">
        <v>52</v>
      </c>
      <c r="P360" s="2">
        <v>0.47638888888888892</v>
      </c>
      <c r="Q360">
        <f>-0.0010463656*3600</f>
        <v>-3.7669161600000001</v>
      </c>
      <c r="R360">
        <f>-0.0000071685*3600</f>
        <v>-2.5806599999999999E-2</v>
      </c>
    </row>
    <row r="361" spans="1:18" x14ac:dyDescent="0.3">
      <c r="A361" t="s">
        <v>63</v>
      </c>
      <c r="B361" t="s">
        <v>67</v>
      </c>
      <c r="C361">
        <v>320.51781699999998</v>
      </c>
      <c r="D361">
        <v>99.443619999999996</v>
      </c>
      <c r="E361">
        <v>26.652200000000001</v>
      </c>
      <c r="F361">
        <v>26.6462</v>
      </c>
      <c r="G361">
        <v>0.23699999999999999</v>
      </c>
      <c r="H361">
        <v>0</v>
      </c>
      <c r="I361" t="s">
        <v>0</v>
      </c>
      <c r="J361" t="s">
        <v>49</v>
      </c>
      <c r="K361" t="s">
        <v>50</v>
      </c>
      <c r="L361">
        <v>0</v>
      </c>
      <c r="M361" t="s">
        <v>51</v>
      </c>
      <c r="N361">
        <v>1</v>
      </c>
      <c r="O361" t="s">
        <v>52</v>
      </c>
      <c r="P361" s="2">
        <v>0.4770833333333333</v>
      </c>
      <c r="Q361">
        <f>0.0007647129*3600</f>
        <v>2.7529664399999998</v>
      </c>
      <c r="R361">
        <f>-0.0000495681*3600</f>
        <v>-0.17844515999999999</v>
      </c>
    </row>
    <row r="362" spans="1:18" x14ac:dyDescent="0.3">
      <c r="A362" t="s">
        <v>63</v>
      </c>
      <c r="B362" t="s">
        <v>67</v>
      </c>
      <c r="C362">
        <v>120.516417</v>
      </c>
      <c r="D362">
        <v>300.55533700000001</v>
      </c>
      <c r="E362">
        <v>26.652000000000001</v>
      </c>
      <c r="F362">
        <v>26.646000000000001</v>
      </c>
      <c r="G362">
        <v>0.23699999999999999</v>
      </c>
      <c r="H362">
        <v>0</v>
      </c>
      <c r="I362" t="s">
        <v>0</v>
      </c>
      <c r="J362" t="s">
        <v>49</v>
      </c>
      <c r="K362" t="s">
        <v>50</v>
      </c>
      <c r="L362">
        <v>0</v>
      </c>
      <c r="M362" t="s">
        <v>51</v>
      </c>
      <c r="N362">
        <v>1</v>
      </c>
      <c r="O362" t="s">
        <v>52</v>
      </c>
      <c r="P362" s="2">
        <v>0.4770833333333333</v>
      </c>
      <c r="Q362">
        <f>-0.0010653963*3600</f>
        <v>-3.8354266799999999</v>
      </c>
      <c r="R362">
        <f>0.0000707235*3600</f>
        <v>0.25460460000000001</v>
      </c>
    </row>
    <row r="363" spans="1:18" x14ac:dyDescent="0.3">
      <c r="A363" t="s">
        <v>63</v>
      </c>
      <c r="B363" t="s">
        <v>67</v>
      </c>
      <c r="C363">
        <v>320.51748099999998</v>
      </c>
      <c r="D363">
        <v>99.443437000000003</v>
      </c>
      <c r="E363">
        <v>26.652200000000001</v>
      </c>
      <c r="F363">
        <v>26.6462</v>
      </c>
      <c r="G363">
        <v>0.23699999999999999</v>
      </c>
      <c r="H363">
        <v>0</v>
      </c>
      <c r="I363" t="s">
        <v>0</v>
      </c>
      <c r="J363" t="s">
        <v>49</v>
      </c>
      <c r="K363" t="s">
        <v>50</v>
      </c>
      <c r="L363">
        <v>0</v>
      </c>
      <c r="M363" t="s">
        <v>51</v>
      </c>
      <c r="N363">
        <v>1</v>
      </c>
      <c r="O363" t="s">
        <v>52</v>
      </c>
      <c r="P363" s="2">
        <v>0.4777777777777778</v>
      </c>
      <c r="Q363">
        <f>0.0003290052*3600</f>
        <v>1.18441872</v>
      </c>
      <c r="R363">
        <f>-0.0005905757*3600</f>
        <v>-2.1260725200000001</v>
      </c>
    </row>
    <row r="364" spans="1:18" x14ac:dyDescent="0.3">
      <c r="A364" t="s">
        <v>63</v>
      </c>
      <c r="B364" t="s">
        <v>67</v>
      </c>
      <c r="C364">
        <v>120.51674199999999</v>
      </c>
      <c r="D364">
        <v>300.55461200000002</v>
      </c>
      <c r="E364">
        <v>26.652000000000001</v>
      </c>
      <c r="F364">
        <v>26.646000000000001</v>
      </c>
      <c r="G364">
        <v>0.23699999999999999</v>
      </c>
      <c r="H364">
        <v>0</v>
      </c>
      <c r="I364" t="s">
        <v>0</v>
      </c>
      <c r="J364" t="s">
        <v>49</v>
      </c>
      <c r="K364" t="s">
        <v>50</v>
      </c>
      <c r="L364">
        <v>0</v>
      </c>
      <c r="M364" t="s">
        <v>51</v>
      </c>
      <c r="N364">
        <v>1</v>
      </c>
      <c r="O364" t="s">
        <v>52</v>
      </c>
      <c r="P364" s="2">
        <v>0.4777777777777778</v>
      </c>
      <c r="Q364">
        <f>-0.0010527043*3600</f>
        <v>-3.7897354799999996</v>
      </c>
      <c r="R364">
        <f>0.0000344768*3600</f>
        <v>0.12411648</v>
      </c>
    </row>
    <row r="365" spans="1:18" x14ac:dyDescent="0.3">
      <c r="P365" s="2"/>
    </row>
    <row r="366" spans="1:18" x14ac:dyDescent="0.3">
      <c r="A366" t="s">
        <v>0</v>
      </c>
      <c r="B366" t="s">
        <v>39</v>
      </c>
      <c r="C366" t="s">
        <v>40</v>
      </c>
      <c r="D366" t="s">
        <v>41</v>
      </c>
      <c r="E366">
        <v>3</v>
      </c>
    </row>
    <row r="367" spans="1:18" x14ac:dyDescent="0.3">
      <c r="A367" t="s">
        <v>0</v>
      </c>
      <c r="B367" t="s">
        <v>42</v>
      </c>
      <c r="C367" t="s">
        <v>43</v>
      </c>
      <c r="D367">
        <v>-187</v>
      </c>
    </row>
    <row r="368" spans="1:18" x14ac:dyDescent="0.3">
      <c r="A368" t="s">
        <v>0</v>
      </c>
      <c r="B368" t="s">
        <v>42</v>
      </c>
      <c r="C368" t="s">
        <v>44</v>
      </c>
      <c r="D368" t="s">
        <v>43</v>
      </c>
      <c r="E368">
        <v>0.99981295309999996</v>
      </c>
    </row>
    <row r="372" spans="1:18" x14ac:dyDescent="0.3">
      <c r="A372" t="s">
        <v>45</v>
      </c>
      <c r="B372" t="s">
        <v>67</v>
      </c>
    </row>
    <row r="373" spans="1:18" x14ac:dyDescent="0.3">
      <c r="A373" t="s">
        <v>47</v>
      </c>
      <c r="B373" t="s">
        <v>63</v>
      </c>
      <c r="C373">
        <v>120.51623600000001</v>
      </c>
      <c r="D373">
        <v>100.548196</v>
      </c>
      <c r="E373">
        <v>26.651499999999999</v>
      </c>
      <c r="F373">
        <v>26.645499999999998</v>
      </c>
      <c r="G373">
        <v>0</v>
      </c>
      <c r="H373">
        <v>0.23699999999999999</v>
      </c>
      <c r="I373" t="s">
        <v>0</v>
      </c>
      <c r="J373" t="s">
        <v>49</v>
      </c>
      <c r="K373" t="s">
        <v>50</v>
      </c>
      <c r="L373">
        <v>0</v>
      </c>
      <c r="M373" t="s">
        <v>60</v>
      </c>
      <c r="N373">
        <v>1</v>
      </c>
      <c r="O373" t="s">
        <v>52</v>
      </c>
      <c r="P373" s="2">
        <v>0.49305555555555558</v>
      </c>
      <c r="Q373">
        <f>-0.001382236*3600</f>
        <v>-4.9760495999999996</v>
      </c>
      <c r="R373">
        <f>-0.0013983022*3600</f>
        <v>-5.0338879199999997</v>
      </c>
    </row>
    <row r="374" spans="1:18" x14ac:dyDescent="0.3">
      <c r="A374" t="s">
        <v>28</v>
      </c>
      <c r="B374">
        <v>18</v>
      </c>
      <c r="C374" t="s">
        <v>29</v>
      </c>
      <c r="D374" s="3">
        <v>0.6</v>
      </c>
      <c r="E374" t="s">
        <v>30</v>
      </c>
      <c r="F374" t="s">
        <v>31</v>
      </c>
      <c r="G374" t="s">
        <v>32</v>
      </c>
      <c r="H374" t="s">
        <v>33</v>
      </c>
    </row>
    <row r="375" spans="1:18" x14ac:dyDescent="0.3">
      <c r="A375" t="s">
        <v>34</v>
      </c>
      <c r="B375" t="s">
        <v>35</v>
      </c>
      <c r="C375" t="s">
        <v>34</v>
      </c>
      <c r="D375" t="s">
        <v>68</v>
      </c>
    </row>
    <row r="376" spans="1:18" x14ac:dyDescent="0.3">
      <c r="A376" t="s">
        <v>37</v>
      </c>
      <c r="B376" t="s">
        <v>38</v>
      </c>
      <c r="C376">
        <v>0.13</v>
      </c>
    </row>
    <row r="378" spans="1:18" x14ac:dyDescent="0.3">
      <c r="A378" t="s">
        <v>67</v>
      </c>
      <c r="B378" t="s">
        <v>63</v>
      </c>
      <c r="C378">
        <v>120.515716</v>
      </c>
      <c r="D378">
        <v>100.549177</v>
      </c>
      <c r="E378">
        <v>26.651499999999999</v>
      </c>
      <c r="F378">
        <v>26.645499999999998</v>
      </c>
      <c r="G378">
        <v>0</v>
      </c>
      <c r="H378">
        <v>0.23699999999999999</v>
      </c>
      <c r="I378" t="s">
        <v>0</v>
      </c>
      <c r="J378" t="s">
        <v>49</v>
      </c>
      <c r="K378" t="s">
        <v>50</v>
      </c>
      <c r="L378">
        <v>0</v>
      </c>
      <c r="M378" t="s">
        <v>51</v>
      </c>
      <c r="N378">
        <v>1</v>
      </c>
      <c r="O378" t="s">
        <v>52</v>
      </c>
      <c r="P378" s="2">
        <v>0.49374999999999997</v>
      </c>
      <c r="Q378">
        <f>-0.0013765268*3600</f>
        <v>-4.9554964799999999</v>
      </c>
      <c r="R378">
        <f>-0.0014131346*3600</f>
        <v>-5.0872845599999996</v>
      </c>
    </row>
    <row r="379" spans="1:18" x14ac:dyDescent="0.3">
      <c r="A379" t="s">
        <v>67</v>
      </c>
      <c r="B379" t="s">
        <v>63</v>
      </c>
      <c r="C379">
        <v>320.51404200000002</v>
      </c>
      <c r="D379">
        <v>299.45017100000001</v>
      </c>
      <c r="E379">
        <v>26.651399999999999</v>
      </c>
      <c r="F379">
        <v>26.645399999999999</v>
      </c>
      <c r="G379">
        <v>0</v>
      </c>
      <c r="H379">
        <v>0.23699999999999999</v>
      </c>
      <c r="I379" t="s">
        <v>0</v>
      </c>
      <c r="J379" t="s">
        <v>49</v>
      </c>
      <c r="K379" t="s">
        <v>50</v>
      </c>
      <c r="L379">
        <v>0</v>
      </c>
      <c r="M379" t="s">
        <v>51</v>
      </c>
      <c r="N379">
        <v>1</v>
      </c>
      <c r="O379" t="s">
        <v>52</v>
      </c>
      <c r="P379" s="2">
        <v>0.49444444444444446</v>
      </c>
      <c r="Q379">
        <f>0.0007694571*3600</f>
        <v>2.7700455600000002</v>
      </c>
      <c r="R379">
        <f>-0.0025333155*3600</f>
        <v>-9.1199358000000004</v>
      </c>
    </row>
    <row r="380" spans="1:18" x14ac:dyDescent="0.3">
      <c r="A380" t="s">
        <v>67</v>
      </c>
      <c r="B380" t="s">
        <v>63</v>
      </c>
      <c r="C380">
        <v>120.516266</v>
      </c>
      <c r="D380">
        <v>100.54856100000001</v>
      </c>
      <c r="E380">
        <v>26.651599999999998</v>
      </c>
      <c r="F380">
        <v>26.645600000000002</v>
      </c>
      <c r="G380">
        <v>0</v>
      </c>
      <c r="H380">
        <v>0.23699999999999999</v>
      </c>
      <c r="I380" t="s">
        <v>0</v>
      </c>
      <c r="J380" t="s">
        <v>49</v>
      </c>
      <c r="K380" t="s">
        <v>50</v>
      </c>
      <c r="L380">
        <v>0</v>
      </c>
      <c r="M380" t="s">
        <v>51</v>
      </c>
      <c r="N380">
        <v>1</v>
      </c>
      <c r="O380" t="s">
        <v>52</v>
      </c>
      <c r="P380" s="2">
        <v>0.49444444444444446</v>
      </c>
      <c r="Q380">
        <f>-0.0016527354*3600</f>
        <v>-5.9498474400000001</v>
      </c>
      <c r="R380">
        <f>-0.0006070851*3600</f>
        <v>-2.1855063599999998</v>
      </c>
    </row>
    <row r="381" spans="1:18" x14ac:dyDescent="0.3">
      <c r="A381" t="s">
        <v>67</v>
      </c>
      <c r="B381" t="s">
        <v>63</v>
      </c>
      <c r="C381">
        <v>320.515265</v>
      </c>
      <c r="D381">
        <v>299.44988000000001</v>
      </c>
      <c r="E381">
        <v>26.651399999999999</v>
      </c>
      <c r="F381">
        <v>26.645399999999999</v>
      </c>
      <c r="G381">
        <v>0</v>
      </c>
      <c r="H381">
        <v>0.23699999999999999</v>
      </c>
      <c r="I381" t="s">
        <v>0</v>
      </c>
      <c r="J381" t="s">
        <v>49</v>
      </c>
      <c r="K381" t="s">
        <v>50</v>
      </c>
      <c r="L381">
        <v>0</v>
      </c>
      <c r="M381" t="s">
        <v>51</v>
      </c>
      <c r="N381">
        <v>1</v>
      </c>
      <c r="O381" t="s">
        <v>52</v>
      </c>
      <c r="P381" s="2">
        <v>0.49513888888888885</v>
      </c>
      <c r="Q381">
        <f>0.0008628643*3600</f>
        <v>3.10631148</v>
      </c>
      <c r="R381">
        <f>-0.0024889269*3600</f>
        <v>-8.9601368400000005</v>
      </c>
    </row>
    <row r="382" spans="1:18" x14ac:dyDescent="0.3">
      <c r="A382" t="s">
        <v>67</v>
      </c>
      <c r="B382" t="s">
        <v>63</v>
      </c>
      <c r="C382">
        <v>120.515911</v>
      </c>
      <c r="D382">
        <v>100.549081</v>
      </c>
      <c r="E382">
        <v>26.651700000000002</v>
      </c>
      <c r="F382">
        <v>26.645700000000001</v>
      </c>
      <c r="G382">
        <v>0</v>
      </c>
      <c r="H382">
        <v>0.23699999999999999</v>
      </c>
      <c r="I382" t="s">
        <v>0</v>
      </c>
      <c r="J382" t="s">
        <v>49</v>
      </c>
      <c r="K382" t="s">
        <v>50</v>
      </c>
      <c r="L382">
        <v>0</v>
      </c>
      <c r="M382" t="s">
        <v>51</v>
      </c>
      <c r="N382">
        <v>1</v>
      </c>
      <c r="O382" t="s">
        <v>52</v>
      </c>
      <c r="P382" s="2">
        <v>0.49513888888888885</v>
      </c>
      <c r="Q382">
        <f>-0.001466002*3600</f>
        <v>-5.2776072000000003</v>
      </c>
      <c r="R382">
        <f>-0.0010443902*3600</f>
        <v>-3.7598047199999995</v>
      </c>
    </row>
    <row r="383" spans="1:18" x14ac:dyDescent="0.3">
      <c r="A383" t="s">
        <v>67</v>
      </c>
      <c r="B383" t="s">
        <v>63</v>
      </c>
      <c r="C383">
        <v>320.51524599999999</v>
      </c>
      <c r="D383">
        <v>299.45087999999998</v>
      </c>
      <c r="E383">
        <v>26.6511</v>
      </c>
      <c r="F383">
        <v>26.645099999999999</v>
      </c>
      <c r="G383">
        <v>0</v>
      </c>
      <c r="H383">
        <v>0.23699999999999999</v>
      </c>
      <c r="I383" t="s">
        <v>0</v>
      </c>
      <c r="J383" t="s">
        <v>49</v>
      </c>
      <c r="K383" t="s">
        <v>50</v>
      </c>
      <c r="L383">
        <v>0</v>
      </c>
      <c r="M383" t="s">
        <v>51</v>
      </c>
      <c r="N383">
        <v>1</v>
      </c>
      <c r="O383" t="s">
        <v>52</v>
      </c>
      <c r="P383" s="2">
        <v>0.49513888888888885</v>
      </c>
      <c r="Q383">
        <f>0.0006432331*3600</f>
        <v>2.3156391599999999</v>
      </c>
      <c r="R383">
        <f>-0.0030881167*3600</f>
        <v>-11.117220119999999</v>
      </c>
    </row>
    <row r="384" spans="1:18" x14ac:dyDescent="0.3">
      <c r="A384" t="s">
        <v>67</v>
      </c>
      <c r="B384" t="s">
        <v>63</v>
      </c>
      <c r="C384">
        <v>120.51589800000001</v>
      </c>
      <c r="D384">
        <v>100.54831</v>
      </c>
      <c r="E384">
        <v>26.651599999999998</v>
      </c>
      <c r="F384">
        <v>26.645600000000002</v>
      </c>
      <c r="G384">
        <v>0</v>
      </c>
      <c r="H384">
        <v>0.23699999999999999</v>
      </c>
      <c r="I384" t="s">
        <v>0</v>
      </c>
      <c r="J384" t="s">
        <v>49</v>
      </c>
      <c r="K384" t="s">
        <v>50</v>
      </c>
      <c r="L384">
        <v>0</v>
      </c>
      <c r="M384" t="s">
        <v>51</v>
      </c>
      <c r="N384">
        <v>1</v>
      </c>
      <c r="O384" t="s">
        <v>52</v>
      </c>
      <c r="P384" s="2">
        <v>0.49513888888888885</v>
      </c>
      <c r="Q384">
        <f>-0.0014398877*3600</f>
        <v>-5.1835957199999996</v>
      </c>
      <c r="R384">
        <f>-0.0010487117*3600</f>
        <v>-3.7753621199999996</v>
      </c>
    </row>
    <row r="385" spans="1:18" x14ac:dyDescent="0.3">
      <c r="A385" t="s">
        <v>67</v>
      </c>
      <c r="B385" t="s">
        <v>63</v>
      </c>
      <c r="C385">
        <v>320.516006</v>
      </c>
      <c r="D385">
        <v>299.45066500000001</v>
      </c>
      <c r="E385">
        <v>26.651199999999999</v>
      </c>
      <c r="F385">
        <v>26.645199999999999</v>
      </c>
      <c r="G385">
        <v>0</v>
      </c>
      <c r="H385">
        <v>0.23699999999999999</v>
      </c>
      <c r="I385" t="s">
        <v>0</v>
      </c>
      <c r="J385" t="s">
        <v>49</v>
      </c>
      <c r="K385" t="s">
        <v>50</v>
      </c>
      <c r="L385">
        <v>0</v>
      </c>
      <c r="M385" t="s">
        <v>51</v>
      </c>
      <c r="N385">
        <v>1</v>
      </c>
      <c r="O385" t="s">
        <v>52</v>
      </c>
      <c r="P385" s="2">
        <v>0.49583333333333335</v>
      </c>
      <c r="Q385">
        <f>0.0008352632*3600</f>
        <v>3.0069475200000002</v>
      </c>
      <c r="R385">
        <f>-0.0025154948*3600</f>
        <v>-9.0557812799999997</v>
      </c>
    </row>
    <row r="386" spans="1:18" x14ac:dyDescent="0.3">
      <c r="A386" t="s">
        <v>67</v>
      </c>
      <c r="B386" t="s">
        <v>63</v>
      </c>
      <c r="C386">
        <v>120.515488</v>
      </c>
      <c r="D386">
        <v>100.548917</v>
      </c>
      <c r="E386">
        <v>26.651499999999999</v>
      </c>
      <c r="F386">
        <v>26.645499999999998</v>
      </c>
      <c r="G386">
        <v>0</v>
      </c>
      <c r="H386">
        <v>0.23699999999999999</v>
      </c>
      <c r="I386" t="s">
        <v>0</v>
      </c>
      <c r="J386" t="s">
        <v>49</v>
      </c>
      <c r="K386" t="s">
        <v>50</v>
      </c>
      <c r="L386">
        <v>0</v>
      </c>
      <c r="M386" t="s">
        <v>51</v>
      </c>
      <c r="N386">
        <v>1</v>
      </c>
      <c r="O386" t="s">
        <v>52</v>
      </c>
      <c r="P386" s="2">
        <v>0.49583333333333335</v>
      </c>
      <c r="Q386">
        <f>-0.0017578854*3600</f>
        <v>-6.3283874400000002</v>
      </c>
      <c r="R386">
        <f>-0.0006233371*3600</f>
        <v>-2.24401356</v>
      </c>
    </row>
    <row r="387" spans="1:18" x14ac:dyDescent="0.3">
      <c r="A387" t="s">
        <v>67</v>
      </c>
      <c r="B387" t="s">
        <v>63</v>
      </c>
      <c r="C387">
        <v>320.51540499999999</v>
      </c>
      <c r="D387">
        <v>299.44996900000001</v>
      </c>
      <c r="E387">
        <v>26.651299999999999</v>
      </c>
      <c r="F387">
        <v>26.645299999999999</v>
      </c>
      <c r="G387">
        <v>0</v>
      </c>
      <c r="H387">
        <v>0.23699999999999999</v>
      </c>
      <c r="I387" t="s">
        <v>0</v>
      </c>
      <c r="J387" t="s">
        <v>49</v>
      </c>
      <c r="K387" t="s">
        <v>50</v>
      </c>
      <c r="L387">
        <v>0</v>
      </c>
      <c r="M387" t="s">
        <v>51</v>
      </c>
      <c r="N387">
        <v>1</v>
      </c>
      <c r="O387" t="s">
        <v>52</v>
      </c>
      <c r="P387" s="2">
        <v>0.49583333333333335</v>
      </c>
      <c r="Q387">
        <f>0.000559658*3600</f>
        <v>2.0147688000000001</v>
      </c>
      <c r="R387">
        <f>-0.0031625976*3600</f>
        <v>-11.38535136</v>
      </c>
    </row>
    <row r="388" spans="1:18" x14ac:dyDescent="0.3">
      <c r="A388" t="s">
        <v>67</v>
      </c>
      <c r="B388" t="s">
        <v>69</v>
      </c>
      <c r="C388">
        <v>313.98891200000003</v>
      </c>
      <c r="D388">
        <v>100.257373</v>
      </c>
      <c r="E388">
        <v>21.6846</v>
      </c>
      <c r="F388">
        <v>21.680299999999999</v>
      </c>
      <c r="G388">
        <v>0</v>
      </c>
      <c r="H388">
        <v>0</v>
      </c>
      <c r="I388" t="s">
        <v>0</v>
      </c>
      <c r="J388" t="s">
        <v>49</v>
      </c>
      <c r="K388" t="s">
        <v>50</v>
      </c>
      <c r="L388">
        <v>0</v>
      </c>
      <c r="M388" t="s">
        <v>51</v>
      </c>
      <c r="N388">
        <v>1</v>
      </c>
      <c r="O388" t="s">
        <v>52</v>
      </c>
      <c r="P388" s="2">
        <v>0.49374999999999997</v>
      </c>
      <c r="Q388">
        <f>0.0002710892*3600</f>
        <v>0.97592111999999998</v>
      </c>
      <c r="R388">
        <f>-0.0029079518*3600</f>
        <v>-10.468626479999999</v>
      </c>
    </row>
    <row r="389" spans="1:18" x14ac:dyDescent="0.3">
      <c r="A389" t="s">
        <v>67</v>
      </c>
      <c r="B389" t="s">
        <v>69</v>
      </c>
      <c r="C389">
        <v>113.98835099999999</v>
      </c>
      <c r="D389">
        <v>299.74100499999997</v>
      </c>
      <c r="E389">
        <v>21.6844</v>
      </c>
      <c r="F389">
        <v>21.680099999999999</v>
      </c>
      <c r="G389">
        <v>0</v>
      </c>
      <c r="H389">
        <v>0</v>
      </c>
      <c r="I389" t="s">
        <v>0</v>
      </c>
      <c r="J389" t="s">
        <v>49</v>
      </c>
      <c r="K389" t="s">
        <v>50</v>
      </c>
      <c r="L389">
        <v>0</v>
      </c>
      <c r="M389" t="s">
        <v>51</v>
      </c>
      <c r="N389">
        <v>1</v>
      </c>
      <c r="O389" t="s">
        <v>52</v>
      </c>
      <c r="P389" s="2">
        <v>0.49444444444444446</v>
      </c>
      <c r="Q389">
        <f>-0.0017546591*3600</f>
        <v>-6.3167727600000001</v>
      </c>
      <c r="R389">
        <f>-0.0006866771*3600</f>
        <v>-2.47203756</v>
      </c>
    </row>
    <row r="390" spans="1:18" x14ac:dyDescent="0.3">
      <c r="A390" t="s">
        <v>67</v>
      </c>
      <c r="B390" t="s">
        <v>69</v>
      </c>
      <c r="C390">
        <v>313.98936200000003</v>
      </c>
      <c r="D390">
        <v>100.256996</v>
      </c>
      <c r="E390">
        <v>21.684799999999999</v>
      </c>
      <c r="F390">
        <v>21.680499999999999</v>
      </c>
      <c r="G390">
        <v>0</v>
      </c>
      <c r="H390">
        <v>0</v>
      </c>
      <c r="I390" t="s">
        <v>0</v>
      </c>
      <c r="J390" t="s">
        <v>49</v>
      </c>
      <c r="K390" t="s">
        <v>50</v>
      </c>
      <c r="L390">
        <v>0</v>
      </c>
      <c r="M390" t="s">
        <v>51</v>
      </c>
      <c r="N390">
        <v>1</v>
      </c>
      <c r="O390" t="s">
        <v>52</v>
      </c>
      <c r="P390" s="2">
        <v>0.49444444444444446</v>
      </c>
      <c r="Q390">
        <f>0.0002355037*3600</f>
        <v>0.84781331999999998</v>
      </c>
      <c r="R390">
        <f>-0.0030257468*3600</f>
        <v>-10.89268848</v>
      </c>
    </row>
    <row r="391" spans="1:18" x14ac:dyDescent="0.3">
      <c r="A391" t="s">
        <v>67</v>
      </c>
      <c r="B391" t="s">
        <v>69</v>
      </c>
      <c r="C391">
        <v>113.988084</v>
      </c>
      <c r="D391">
        <v>299.74148500000001</v>
      </c>
      <c r="E391">
        <v>21.6844</v>
      </c>
      <c r="F391">
        <v>21.680099999999999</v>
      </c>
      <c r="G391">
        <v>0</v>
      </c>
      <c r="H391">
        <v>0</v>
      </c>
      <c r="I391" t="s">
        <v>0</v>
      </c>
      <c r="J391" t="s">
        <v>49</v>
      </c>
      <c r="K391" t="s">
        <v>50</v>
      </c>
      <c r="L391">
        <v>0</v>
      </c>
      <c r="M391" t="s">
        <v>51</v>
      </c>
      <c r="N391">
        <v>1</v>
      </c>
      <c r="O391" t="s">
        <v>52</v>
      </c>
      <c r="P391" s="2">
        <v>0.49444444444444446</v>
      </c>
      <c r="Q391">
        <f>-0.0018636712*3600</f>
        <v>-6.7092163199999995</v>
      </c>
      <c r="R391">
        <f>-0.0007332072*3600</f>
        <v>-2.6395459200000002</v>
      </c>
    </row>
    <row r="392" spans="1:18" x14ac:dyDescent="0.3">
      <c r="A392" t="s">
        <v>67</v>
      </c>
      <c r="B392" t="s">
        <v>69</v>
      </c>
      <c r="C392">
        <v>313.98919999999998</v>
      </c>
      <c r="D392">
        <v>100.257025</v>
      </c>
      <c r="E392">
        <v>21.684699999999999</v>
      </c>
      <c r="F392">
        <v>21.680399999999999</v>
      </c>
      <c r="G392">
        <v>0</v>
      </c>
      <c r="H392">
        <v>0</v>
      </c>
      <c r="I392" t="s">
        <v>0</v>
      </c>
      <c r="J392" t="s">
        <v>49</v>
      </c>
      <c r="K392" t="s">
        <v>50</v>
      </c>
      <c r="L392">
        <v>0</v>
      </c>
      <c r="M392" t="s">
        <v>51</v>
      </c>
      <c r="N392">
        <v>1</v>
      </c>
      <c r="O392" t="s">
        <v>52</v>
      </c>
      <c r="P392" s="2">
        <v>0.49513888888888885</v>
      </c>
      <c r="Q392">
        <f>0.0005649002*3600</f>
        <v>2.0336407199999997</v>
      </c>
      <c r="R392">
        <f>-0.0024411182*3600</f>
        <v>-8.7880255199999997</v>
      </c>
    </row>
    <row r="393" spans="1:18" x14ac:dyDescent="0.3">
      <c r="A393" t="s">
        <v>67</v>
      </c>
      <c r="B393" t="s">
        <v>69</v>
      </c>
      <c r="C393">
        <v>113.988468</v>
      </c>
      <c r="D393">
        <v>299.742366</v>
      </c>
      <c r="E393">
        <v>21.684200000000001</v>
      </c>
      <c r="F393">
        <v>21.6799</v>
      </c>
      <c r="G393">
        <v>0</v>
      </c>
      <c r="H393">
        <v>0</v>
      </c>
      <c r="I393" t="s">
        <v>0</v>
      </c>
      <c r="J393" t="s">
        <v>49</v>
      </c>
      <c r="K393" t="s">
        <v>50</v>
      </c>
      <c r="L393">
        <v>0</v>
      </c>
      <c r="M393" t="s">
        <v>51</v>
      </c>
      <c r="N393">
        <v>1</v>
      </c>
      <c r="O393" t="s">
        <v>52</v>
      </c>
      <c r="P393" s="2">
        <v>0.49513888888888885</v>
      </c>
      <c r="Q393">
        <f>-0.0017962054*3600</f>
        <v>-6.4663394400000005</v>
      </c>
      <c r="R393">
        <f>-0.0012329051*3600</f>
        <v>-4.4384583600000003</v>
      </c>
    </row>
    <row r="394" spans="1:18" x14ac:dyDescent="0.3">
      <c r="A394" t="s">
        <v>67</v>
      </c>
      <c r="B394" t="s">
        <v>69</v>
      </c>
      <c r="C394">
        <v>313.98927500000002</v>
      </c>
      <c r="D394">
        <v>100.257671</v>
      </c>
      <c r="E394">
        <v>21.684799999999999</v>
      </c>
      <c r="F394">
        <v>21.680499999999999</v>
      </c>
      <c r="G394">
        <v>0</v>
      </c>
      <c r="H394">
        <v>0</v>
      </c>
      <c r="I394" t="s">
        <v>0</v>
      </c>
      <c r="J394" t="s">
        <v>49</v>
      </c>
      <c r="K394" t="s">
        <v>50</v>
      </c>
      <c r="L394">
        <v>0</v>
      </c>
      <c r="M394" t="s">
        <v>51</v>
      </c>
      <c r="N394">
        <v>1</v>
      </c>
      <c r="O394" t="s">
        <v>52</v>
      </c>
      <c r="P394" s="2">
        <v>0.49513888888888885</v>
      </c>
      <c r="Q394">
        <f>0.0005408999*3600</f>
        <v>1.9472396400000003</v>
      </c>
      <c r="R394">
        <f>-0.0023583734*3600</f>
        <v>-8.4901442400000011</v>
      </c>
    </row>
    <row r="395" spans="1:18" x14ac:dyDescent="0.3">
      <c r="A395" t="s">
        <v>67</v>
      </c>
      <c r="B395" t="s">
        <v>69</v>
      </c>
      <c r="C395">
        <v>113.98842500000001</v>
      </c>
      <c r="D395">
        <v>299.74105300000002</v>
      </c>
      <c r="E395">
        <v>21.684100000000001</v>
      </c>
      <c r="F395">
        <v>21.6798</v>
      </c>
      <c r="G395">
        <v>0</v>
      </c>
      <c r="H395">
        <v>0</v>
      </c>
      <c r="I395" t="s">
        <v>0</v>
      </c>
      <c r="J395" t="s">
        <v>49</v>
      </c>
      <c r="K395" t="s">
        <v>50</v>
      </c>
      <c r="L395">
        <v>0</v>
      </c>
      <c r="M395" t="s">
        <v>51</v>
      </c>
      <c r="N395">
        <v>1</v>
      </c>
      <c r="O395" t="s">
        <v>52</v>
      </c>
      <c r="P395" s="2">
        <v>0.49583333333333335</v>
      </c>
      <c r="Q395">
        <f>-0.0017891908*3600</f>
        <v>-6.4410868800000003</v>
      </c>
      <c r="R395">
        <f>-0.0006507799*3600</f>
        <v>-2.3428076399999997</v>
      </c>
    </row>
    <row r="396" spans="1:18" x14ac:dyDescent="0.3">
      <c r="A396" t="s">
        <v>67</v>
      </c>
      <c r="B396" t="s">
        <v>69</v>
      </c>
      <c r="C396">
        <v>313.98880500000001</v>
      </c>
      <c r="D396">
        <v>100.25738699999999</v>
      </c>
      <c r="E396">
        <v>21.6846</v>
      </c>
      <c r="F396">
        <v>21.680299999999999</v>
      </c>
      <c r="G396">
        <v>0</v>
      </c>
      <c r="H396">
        <v>0</v>
      </c>
      <c r="I396" t="s">
        <v>0</v>
      </c>
      <c r="J396" t="s">
        <v>49</v>
      </c>
      <c r="K396" t="s">
        <v>50</v>
      </c>
      <c r="L396">
        <v>0</v>
      </c>
      <c r="M396" t="s">
        <v>51</v>
      </c>
      <c r="N396">
        <v>1</v>
      </c>
      <c r="O396" t="s">
        <v>52</v>
      </c>
      <c r="P396" s="2">
        <v>0.49583333333333335</v>
      </c>
      <c r="Q396">
        <f>0.0002292864*3600</f>
        <v>0.82543104</v>
      </c>
      <c r="R396">
        <f>-0.0030238521*3600</f>
        <v>-10.885867559999999</v>
      </c>
    </row>
    <row r="397" spans="1:18" x14ac:dyDescent="0.3">
      <c r="A397" t="s">
        <v>67</v>
      </c>
      <c r="B397" t="s">
        <v>69</v>
      </c>
      <c r="C397">
        <v>113.987566</v>
      </c>
      <c r="D397">
        <v>299.741105</v>
      </c>
      <c r="E397">
        <v>21.6843</v>
      </c>
      <c r="F397">
        <v>21.68</v>
      </c>
      <c r="G397">
        <v>0</v>
      </c>
      <c r="H397">
        <v>0</v>
      </c>
      <c r="I397" t="s">
        <v>0</v>
      </c>
      <c r="J397" t="s">
        <v>49</v>
      </c>
      <c r="K397" t="s">
        <v>50</v>
      </c>
      <c r="L397">
        <v>0</v>
      </c>
      <c r="M397" t="s">
        <v>51</v>
      </c>
      <c r="N397">
        <v>1</v>
      </c>
      <c r="O397" t="s">
        <v>52</v>
      </c>
      <c r="P397" s="2">
        <v>0.49583333333333335</v>
      </c>
      <c r="Q397">
        <f>-0.0017065293*3600</f>
        <v>-6.14350548</v>
      </c>
      <c r="R397">
        <f>-0.0012384478*3600</f>
        <v>-4.4584120799999996</v>
      </c>
    </row>
    <row r="398" spans="1:18" x14ac:dyDescent="0.3">
      <c r="P398" s="2"/>
    </row>
    <row r="399" spans="1:18" x14ac:dyDescent="0.3">
      <c r="A399" t="s">
        <v>0</v>
      </c>
      <c r="B399" t="s">
        <v>39</v>
      </c>
      <c r="C399" t="s">
        <v>40</v>
      </c>
      <c r="D399" t="s">
        <v>41</v>
      </c>
      <c r="E399">
        <v>3</v>
      </c>
    </row>
    <row r="400" spans="1:18" x14ac:dyDescent="0.3">
      <c r="A400" t="s">
        <v>0</v>
      </c>
      <c r="B400" t="s">
        <v>42</v>
      </c>
      <c r="C400" t="s">
        <v>43</v>
      </c>
      <c r="D400">
        <v>-187</v>
      </c>
    </row>
    <row r="401" spans="1:18" x14ac:dyDescent="0.3">
      <c r="A401" t="s">
        <v>0</v>
      </c>
      <c r="B401" t="s">
        <v>42</v>
      </c>
      <c r="C401" t="s">
        <v>44</v>
      </c>
      <c r="D401" t="s">
        <v>43</v>
      </c>
      <c r="E401">
        <v>0.99981289009999996</v>
      </c>
    </row>
    <row r="405" spans="1:18" x14ac:dyDescent="0.3">
      <c r="A405" t="s">
        <v>45</v>
      </c>
      <c r="B405" t="s">
        <v>69</v>
      </c>
    </row>
    <row r="406" spans="1:18" x14ac:dyDescent="0.3">
      <c r="A406" t="s">
        <v>47</v>
      </c>
      <c r="B406" t="s">
        <v>67</v>
      </c>
      <c r="C406">
        <v>113.98842500000001</v>
      </c>
      <c r="D406">
        <v>99.734550999999996</v>
      </c>
      <c r="E406">
        <v>21.6843</v>
      </c>
      <c r="F406">
        <v>21.68</v>
      </c>
      <c r="G406">
        <v>0</v>
      </c>
      <c r="H406">
        <v>0</v>
      </c>
      <c r="I406" t="s">
        <v>0</v>
      </c>
      <c r="J406" t="s">
        <v>49</v>
      </c>
      <c r="K406" t="s">
        <v>50</v>
      </c>
      <c r="L406">
        <v>0</v>
      </c>
      <c r="M406" t="s">
        <v>60</v>
      </c>
      <c r="N406">
        <v>1</v>
      </c>
      <c r="O406" t="s">
        <v>52</v>
      </c>
      <c r="P406" s="2">
        <v>0.53402777777777777</v>
      </c>
      <c r="Q406">
        <f>-0.0001430557*3600</f>
        <v>-0.51500051999999996</v>
      </c>
      <c r="R406">
        <f>-0.0063019418*3600</f>
        <v>-22.686990480000002</v>
      </c>
    </row>
    <row r="407" spans="1:18" x14ac:dyDescent="0.3">
      <c r="A407" t="s">
        <v>28</v>
      </c>
      <c r="B407">
        <v>18</v>
      </c>
      <c r="C407" t="s">
        <v>29</v>
      </c>
      <c r="D407" s="3">
        <v>0.6</v>
      </c>
      <c r="E407" t="s">
        <v>30</v>
      </c>
      <c r="F407" t="s">
        <v>31</v>
      </c>
      <c r="G407" t="s">
        <v>32</v>
      </c>
      <c r="H407" t="s">
        <v>33</v>
      </c>
    </row>
    <row r="408" spans="1:18" x14ac:dyDescent="0.3">
      <c r="A408" t="s">
        <v>34</v>
      </c>
      <c r="B408" t="s">
        <v>35</v>
      </c>
      <c r="C408" t="s">
        <v>34</v>
      </c>
      <c r="D408" t="s">
        <v>70</v>
      </c>
    </row>
    <row r="409" spans="1:18" x14ac:dyDescent="0.3">
      <c r="A409" t="s">
        <v>37</v>
      </c>
      <c r="B409" t="s">
        <v>38</v>
      </c>
      <c r="C409">
        <v>0.13</v>
      </c>
    </row>
    <row r="411" spans="1:18" x14ac:dyDescent="0.3">
      <c r="A411" t="s">
        <v>69</v>
      </c>
      <c r="B411" t="s">
        <v>67</v>
      </c>
      <c r="C411">
        <v>113.99015199999999</v>
      </c>
      <c r="D411">
        <v>99.734413000000004</v>
      </c>
      <c r="E411">
        <v>21.683800000000002</v>
      </c>
      <c r="F411">
        <v>21.679500000000001</v>
      </c>
      <c r="G411">
        <v>0</v>
      </c>
      <c r="H411">
        <v>0</v>
      </c>
      <c r="I411" t="s">
        <v>0</v>
      </c>
      <c r="J411" t="s">
        <v>49</v>
      </c>
      <c r="K411" t="s">
        <v>50</v>
      </c>
      <c r="L411">
        <v>0</v>
      </c>
      <c r="M411" t="s">
        <v>51</v>
      </c>
      <c r="N411">
        <v>1</v>
      </c>
      <c r="O411" t="s">
        <v>52</v>
      </c>
      <c r="P411" s="2">
        <v>0.53402777777777777</v>
      </c>
      <c r="Q411">
        <f>-0.0002631765*3600</f>
        <v>-0.94743540000000004</v>
      </c>
      <c r="R411">
        <f>-0.0061446788*3600</f>
        <v>-22.12084368</v>
      </c>
    </row>
    <row r="412" spans="1:18" x14ac:dyDescent="0.3">
      <c r="A412" t="s">
        <v>69</v>
      </c>
      <c r="B412" t="s">
        <v>67</v>
      </c>
      <c r="C412">
        <v>313.98856000000001</v>
      </c>
      <c r="D412">
        <v>300.26309099999997</v>
      </c>
      <c r="E412">
        <v>21.683800000000002</v>
      </c>
      <c r="F412">
        <v>21.679500000000001</v>
      </c>
      <c r="G412">
        <v>0</v>
      </c>
      <c r="H412">
        <v>0</v>
      </c>
      <c r="I412" t="s">
        <v>0</v>
      </c>
      <c r="J412" t="s">
        <v>49</v>
      </c>
      <c r="K412" t="s">
        <v>50</v>
      </c>
      <c r="L412">
        <v>0</v>
      </c>
      <c r="M412" t="s">
        <v>51</v>
      </c>
      <c r="N412">
        <v>1</v>
      </c>
      <c r="O412" t="s">
        <v>52</v>
      </c>
      <c r="P412" s="2">
        <v>0.53472222222222221</v>
      </c>
      <c r="Q412">
        <f>-0.000267818*3600</f>
        <v>-0.96414480000000002</v>
      </c>
      <c r="R412">
        <f>-0.0061158702*3600</f>
        <v>-22.017132719999999</v>
      </c>
    </row>
    <row r="413" spans="1:18" x14ac:dyDescent="0.3">
      <c r="A413" t="s">
        <v>69</v>
      </c>
      <c r="B413" t="s">
        <v>67</v>
      </c>
      <c r="C413">
        <v>113.989586</v>
      </c>
      <c r="D413">
        <v>99.734481000000002</v>
      </c>
      <c r="E413">
        <v>21.683800000000002</v>
      </c>
      <c r="F413">
        <v>21.679500000000001</v>
      </c>
      <c r="G413">
        <v>0</v>
      </c>
      <c r="H413">
        <v>0</v>
      </c>
      <c r="I413" t="s">
        <v>0</v>
      </c>
      <c r="J413" t="s">
        <v>49</v>
      </c>
      <c r="K413" t="s">
        <v>50</v>
      </c>
      <c r="L413">
        <v>0</v>
      </c>
      <c r="M413" t="s">
        <v>51</v>
      </c>
      <c r="N413">
        <v>1</v>
      </c>
      <c r="O413" t="s">
        <v>52</v>
      </c>
      <c r="P413" s="2">
        <v>0.53541666666666665</v>
      </c>
      <c r="Q413">
        <f>0.0008084299*3600</f>
        <v>2.9103476399999999</v>
      </c>
      <c r="R413">
        <f>-0.0025184442*3600</f>
        <v>-9.0663991199999998</v>
      </c>
    </row>
    <row r="414" spans="1:18" x14ac:dyDescent="0.3">
      <c r="A414" t="s">
        <v>69</v>
      </c>
      <c r="B414" t="s">
        <v>67</v>
      </c>
      <c r="C414">
        <v>313.98830900000002</v>
      </c>
      <c r="D414">
        <v>300.26341500000001</v>
      </c>
      <c r="E414">
        <v>21.683900000000001</v>
      </c>
      <c r="F414">
        <v>21.679600000000001</v>
      </c>
      <c r="G414">
        <v>0</v>
      </c>
      <c r="H414">
        <v>0</v>
      </c>
      <c r="I414" t="s">
        <v>0</v>
      </c>
      <c r="J414" t="s">
        <v>49</v>
      </c>
      <c r="K414" t="s">
        <v>50</v>
      </c>
      <c r="L414">
        <v>0</v>
      </c>
      <c r="M414" t="s">
        <v>51</v>
      </c>
      <c r="N414">
        <v>1</v>
      </c>
      <c r="O414" t="s">
        <v>52</v>
      </c>
      <c r="P414" s="2">
        <v>0.53541666666666665</v>
      </c>
      <c r="Q414">
        <f>0.0001027455*3600</f>
        <v>0.36988379999999998</v>
      </c>
      <c r="R414">
        <f>-0.0049792569*3600</f>
        <v>-17.925324840000002</v>
      </c>
    </row>
    <row r="415" spans="1:18" x14ac:dyDescent="0.3">
      <c r="A415" t="s">
        <v>69</v>
      </c>
      <c r="B415" t="s">
        <v>67</v>
      </c>
      <c r="C415">
        <v>113.98957</v>
      </c>
      <c r="D415">
        <v>99.734665000000007</v>
      </c>
      <c r="E415">
        <v>21.683900000000001</v>
      </c>
      <c r="F415">
        <v>21.679600000000001</v>
      </c>
      <c r="G415">
        <v>0</v>
      </c>
      <c r="H415">
        <v>0</v>
      </c>
      <c r="I415" t="s">
        <v>0</v>
      </c>
      <c r="J415" t="s">
        <v>49</v>
      </c>
      <c r="K415" t="s">
        <v>50</v>
      </c>
      <c r="L415">
        <v>0</v>
      </c>
      <c r="M415" t="s">
        <v>51</v>
      </c>
      <c r="N415">
        <v>1</v>
      </c>
      <c r="O415" t="s">
        <v>52</v>
      </c>
      <c r="P415" s="2">
        <v>0.53611111111111109</v>
      </c>
      <c r="Q415">
        <f>0.0007484652*3600</f>
        <v>2.6944747200000001</v>
      </c>
      <c r="R415">
        <f>-0.0025648431*3600</f>
        <v>-9.2334351599999991</v>
      </c>
    </row>
    <row r="416" spans="1:18" x14ac:dyDescent="0.3">
      <c r="A416" t="s">
        <v>69</v>
      </c>
      <c r="B416" t="s">
        <v>67</v>
      </c>
      <c r="C416">
        <v>313.98904299999998</v>
      </c>
      <c r="D416">
        <v>300.26276300000001</v>
      </c>
      <c r="E416">
        <v>21.683900000000001</v>
      </c>
      <c r="F416">
        <v>21.679600000000001</v>
      </c>
      <c r="G416">
        <v>0</v>
      </c>
      <c r="H416">
        <v>0</v>
      </c>
      <c r="I416" t="s">
        <v>0</v>
      </c>
      <c r="J416" t="s">
        <v>49</v>
      </c>
      <c r="K416" t="s">
        <v>50</v>
      </c>
      <c r="L416">
        <v>0</v>
      </c>
      <c r="M416" t="s">
        <v>51</v>
      </c>
      <c r="N416">
        <v>1</v>
      </c>
      <c r="O416" t="s">
        <v>52</v>
      </c>
      <c r="P416" s="2">
        <v>0.53611111111111109</v>
      </c>
      <c r="Q416">
        <f>0.0001221115*3600</f>
        <v>0.43960140000000003</v>
      </c>
      <c r="R416">
        <f>-0.0048469785*3600</f>
        <v>-17.449122599999999</v>
      </c>
    </row>
    <row r="417" spans="1:18" x14ac:dyDescent="0.3">
      <c r="A417" t="s">
        <v>69</v>
      </c>
      <c r="B417" t="s">
        <v>67</v>
      </c>
      <c r="C417">
        <v>113.98948900000001</v>
      </c>
      <c r="D417">
        <v>99.734571000000003</v>
      </c>
      <c r="E417">
        <v>21.684000000000001</v>
      </c>
      <c r="F417">
        <v>21.6797</v>
      </c>
      <c r="G417">
        <v>0</v>
      </c>
      <c r="H417">
        <v>0</v>
      </c>
      <c r="I417" t="s">
        <v>0</v>
      </c>
      <c r="J417" t="s">
        <v>49</v>
      </c>
      <c r="K417" t="s">
        <v>50</v>
      </c>
      <c r="L417">
        <v>0</v>
      </c>
      <c r="M417" t="s">
        <v>51</v>
      </c>
      <c r="N417">
        <v>1</v>
      </c>
      <c r="O417" t="s">
        <v>52</v>
      </c>
      <c r="P417" s="2">
        <v>0.53680555555555554</v>
      </c>
      <c r="Q417">
        <f>0.0007007942*3600</f>
        <v>2.5228591200000001</v>
      </c>
      <c r="R417">
        <f>-0.0025703935*3600</f>
        <v>-9.2534165999999995</v>
      </c>
    </row>
    <row r="418" spans="1:18" x14ac:dyDescent="0.3">
      <c r="A418" t="s">
        <v>69</v>
      </c>
      <c r="B418" t="s">
        <v>67</v>
      </c>
      <c r="C418">
        <v>313.98864500000002</v>
      </c>
      <c r="D418">
        <v>300.26336400000002</v>
      </c>
      <c r="E418">
        <v>21.683900000000001</v>
      </c>
      <c r="F418">
        <v>21.679600000000001</v>
      </c>
      <c r="G418">
        <v>0</v>
      </c>
      <c r="H418">
        <v>0</v>
      </c>
      <c r="I418" t="s">
        <v>0</v>
      </c>
      <c r="J418" t="s">
        <v>49</v>
      </c>
      <c r="K418" t="s">
        <v>50</v>
      </c>
      <c r="L418">
        <v>0</v>
      </c>
      <c r="M418" t="s">
        <v>51</v>
      </c>
      <c r="N418">
        <v>1</v>
      </c>
      <c r="O418" t="s">
        <v>52</v>
      </c>
      <c r="P418" s="2">
        <v>0.53680555555555554</v>
      </c>
      <c r="Q418">
        <f>-0.0003076444*3600</f>
        <v>-1.1075198400000001</v>
      </c>
      <c r="R418">
        <f>-0.005240684*3600</f>
        <v>-18.8664624</v>
      </c>
    </row>
    <row r="419" spans="1:18" x14ac:dyDescent="0.3">
      <c r="A419" t="s">
        <v>69</v>
      </c>
      <c r="B419" t="s">
        <v>67</v>
      </c>
      <c r="C419">
        <v>113.990093</v>
      </c>
      <c r="D419">
        <v>99.734511999999995</v>
      </c>
      <c r="E419">
        <v>21.683900000000001</v>
      </c>
      <c r="F419">
        <v>21.679600000000001</v>
      </c>
      <c r="G419">
        <v>0</v>
      </c>
      <c r="H419">
        <v>0</v>
      </c>
      <c r="I419" t="s">
        <v>0</v>
      </c>
      <c r="J419" t="s">
        <v>49</v>
      </c>
      <c r="K419" t="s">
        <v>50</v>
      </c>
      <c r="L419">
        <v>0</v>
      </c>
      <c r="M419" t="s">
        <v>51</v>
      </c>
      <c r="N419">
        <v>1</v>
      </c>
      <c r="O419" t="s">
        <v>52</v>
      </c>
      <c r="P419" s="2">
        <v>0.53749999999999998</v>
      </c>
      <c r="Q419">
        <f>0.0007728355*3600</f>
        <v>2.7822078000000001</v>
      </c>
      <c r="R419">
        <f>-0.0021979751*3600</f>
        <v>-7.9127103600000002</v>
      </c>
    </row>
    <row r="420" spans="1:18" x14ac:dyDescent="0.3">
      <c r="A420" t="s">
        <v>69</v>
      </c>
      <c r="B420" t="s">
        <v>71</v>
      </c>
      <c r="C420">
        <v>309.72040399999997</v>
      </c>
      <c r="D420">
        <v>100.175743</v>
      </c>
      <c r="E420">
        <v>12.078900000000001</v>
      </c>
      <c r="F420">
        <v>12.076599999999999</v>
      </c>
      <c r="G420">
        <v>0</v>
      </c>
      <c r="H420">
        <v>0</v>
      </c>
      <c r="I420" t="s">
        <v>0</v>
      </c>
      <c r="J420" t="s">
        <v>49</v>
      </c>
      <c r="K420" t="s">
        <v>50</v>
      </c>
      <c r="L420">
        <v>0</v>
      </c>
      <c r="M420" t="s">
        <v>51</v>
      </c>
      <c r="N420">
        <v>1</v>
      </c>
      <c r="O420" t="s">
        <v>52</v>
      </c>
      <c r="P420" s="2">
        <v>0.53472222222222221</v>
      </c>
      <c r="Q420">
        <f>0.0006960381*3600</f>
        <v>2.5057371599999998</v>
      </c>
      <c r="R420">
        <f>-0.0022520234*3600</f>
        <v>-8.1072842400000003</v>
      </c>
    </row>
    <row r="421" spans="1:18" x14ac:dyDescent="0.3">
      <c r="A421" t="s">
        <v>69</v>
      </c>
      <c r="B421" t="s">
        <v>71</v>
      </c>
      <c r="C421">
        <v>109.719302</v>
      </c>
      <c r="D421">
        <v>299.82022999999998</v>
      </c>
      <c r="E421">
        <v>12.078799999999999</v>
      </c>
      <c r="F421">
        <v>12.076499999999999</v>
      </c>
      <c r="G421">
        <v>0</v>
      </c>
      <c r="H421">
        <v>0</v>
      </c>
      <c r="I421" t="s">
        <v>0</v>
      </c>
      <c r="J421" t="s">
        <v>49</v>
      </c>
      <c r="K421" t="s">
        <v>50</v>
      </c>
      <c r="L421">
        <v>0</v>
      </c>
      <c r="M421" t="s">
        <v>51</v>
      </c>
      <c r="N421">
        <v>1</v>
      </c>
      <c r="O421" t="s">
        <v>52</v>
      </c>
      <c r="P421" s="2">
        <v>0.53541666666666665</v>
      </c>
      <c r="Q421">
        <f>-0.0002164867*3600</f>
        <v>-0.77935211999999998</v>
      </c>
      <c r="R421">
        <f>-0.0052587886*3600</f>
        <v>-18.931638959999997</v>
      </c>
    </row>
    <row r="422" spans="1:18" x14ac:dyDescent="0.3">
      <c r="A422" t="s">
        <v>69</v>
      </c>
      <c r="B422" t="s">
        <v>71</v>
      </c>
      <c r="C422">
        <v>309.72035299999999</v>
      </c>
      <c r="D422">
        <v>100.176109</v>
      </c>
      <c r="E422">
        <v>12.079000000000001</v>
      </c>
      <c r="F422">
        <v>12.076700000000001</v>
      </c>
      <c r="G422">
        <v>0</v>
      </c>
      <c r="H422">
        <v>0</v>
      </c>
      <c r="I422" t="s">
        <v>0</v>
      </c>
      <c r="J422" t="s">
        <v>49</v>
      </c>
      <c r="K422" t="s">
        <v>50</v>
      </c>
      <c r="L422">
        <v>0</v>
      </c>
      <c r="M422" t="s">
        <v>51</v>
      </c>
      <c r="N422">
        <v>1</v>
      </c>
      <c r="O422" t="s">
        <v>52</v>
      </c>
      <c r="P422" s="2">
        <v>0.53541666666666665</v>
      </c>
      <c r="Q422">
        <f>0.000707659*3600</f>
        <v>2.5475724</v>
      </c>
      <c r="R422">
        <f>-0.0020523195*3600</f>
        <v>-7.3883502000000005</v>
      </c>
    </row>
    <row r="423" spans="1:18" x14ac:dyDescent="0.3">
      <c r="A423" t="s">
        <v>69</v>
      </c>
      <c r="B423" t="s">
        <v>71</v>
      </c>
      <c r="C423">
        <v>109.719458</v>
      </c>
      <c r="D423">
        <v>299.82043199999998</v>
      </c>
      <c r="E423">
        <v>12.079000000000001</v>
      </c>
      <c r="F423">
        <v>12.076700000000001</v>
      </c>
      <c r="G423">
        <v>0</v>
      </c>
      <c r="H423">
        <v>0</v>
      </c>
      <c r="I423" t="s">
        <v>0</v>
      </c>
      <c r="J423" t="s">
        <v>49</v>
      </c>
      <c r="K423" t="s">
        <v>50</v>
      </c>
      <c r="L423">
        <v>0</v>
      </c>
      <c r="M423" t="s">
        <v>51</v>
      </c>
      <c r="N423">
        <v>1</v>
      </c>
      <c r="O423" t="s">
        <v>52</v>
      </c>
      <c r="P423" s="2">
        <v>0.53541666666666665</v>
      </c>
      <c r="Q423">
        <f>-0.0001592064*3600</f>
        <v>-0.57314304000000005</v>
      </c>
      <c r="R423">
        <f>-0.0051772588*3600</f>
        <v>-18.638131680000001</v>
      </c>
    </row>
    <row r="424" spans="1:18" x14ac:dyDescent="0.3">
      <c r="A424" t="s">
        <v>69</v>
      </c>
      <c r="B424" t="s">
        <v>71</v>
      </c>
      <c r="C424">
        <v>309.72005200000001</v>
      </c>
      <c r="D424">
        <v>100.17549200000001</v>
      </c>
      <c r="E424">
        <v>12.078900000000001</v>
      </c>
      <c r="F424">
        <v>12.076599999999999</v>
      </c>
      <c r="G424">
        <v>0</v>
      </c>
      <c r="H424">
        <v>0</v>
      </c>
      <c r="I424" t="s">
        <v>0</v>
      </c>
      <c r="J424" t="s">
        <v>49</v>
      </c>
      <c r="K424" t="s">
        <v>50</v>
      </c>
      <c r="L424">
        <v>0</v>
      </c>
      <c r="M424" t="s">
        <v>51</v>
      </c>
      <c r="N424">
        <v>1</v>
      </c>
      <c r="O424" t="s">
        <v>52</v>
      </c>
      <c r="P424" s="2">
        <v>0.53611111111111109</v>
      </c>
      <c r="Q424">
        <f>0.0005954399*3600</f>
        <v>2.1435836400000001</v>
      </c>
      <c r="R424">
        <f>-0.0020637029*3600</f>
        <v>-7.4293304400000002</v>
      </c>
    </row>
    <row r="425" spans="1:18" x14ac:dyDescent="0.3">
      <c r="A425" t="s">
        <v>69</v>
      </c>
      <c r="B425" t="s">
        <v>71</v>
      </c>
      <c r="C425">
        <v>109.719269</v>
      </c>
      <c r="D425">
        <v>299.82047499999999</v>
      </c>
      <c r="E425">
        <v>12.079000000000001</v>
      </c>
      <c r="F425">
        <v>12.076700000000001</v>
      </c>
      <c r="G425">
        <v>0</v>
      </c>
      <c r="H425">
        <v>0</v>
      </c>
      <c r="I425" t="s">
        <v>0</v>
      </c>
      <c r="J425" t="s">
        <v>49</v>
      </c>
      <c r="K425" t="s">
        <v>50</v>
      </c>
      <c r="L425">
        <v>0</v>
      </c>
      <c r="M425" t="s">
        <v>51</v>
      </c>
      <c r="N425">
        <v>1</v>
      </c>
      <c r="O425" t="s">
        <v>52</v>
      </c>
      <c r="P425" s="2">
        <v>0.53611111111111109</v>
      </c>
      <c r="Q425">
        <f>-0.0002775709*3600</f>
        <v>-0.9992552400000001</v>
      </c>
      <c r="R425">
        <f>-0.0052077107*3600</f>
        <v>-18.747758519999998</v>
      </c>
    </row>
    <row r="426" spans="1:18" x14ac:dyDescent="0.3">
      <c r="A426" t="s">
        <v>69</v>
      </c>
      <c r="B426" t="s">
        <v>71</v>
      </c>
      <c r="C426">
        <v>309.71977500000003</v>
      </c>
      <c r="D426">
        <v>100.176365</v>
      </c>
      <c r="E426">
        <v>12.0791</v>
      </c>
      <c r="F426">
        <v>12.0768</v>
      </c>
      <c r="G426">
        <v>0</v>
      </c>
      <c r="H426">
        <v>0</v>
      </c>
      <c r="I426" t="s">
        <v>0</v>
      </c>
      <c r="J426" t="s">
        <v>49</v>
      </c>
      <c r="K426" t="s">
        <v>50</v>
      </c>
      <c r="L426">
        <v>0</v>
      </c>
      <c r="M426" t="s">
        <v>51</v>
      </c>
      <c r="N426">
        <v>1</v>
      </c>
      <c r="O426" t="s">
        <v>52</v>
      </c>
      <c r="P426" s="2">
        <v>0.53680555555555554</v>
      </c>
      <c r="Q426">
        <f>0.0005756784*3600</f>
        <v>2.07244224</v>
      </c>
      <c r="R426">
        <f>-0.0020066903*3600</f>
        <v>-7.2240850799999992</v>
      </c>
    </row>
    <row r="427" spans="1:18" x14ac:dyDescent="0.3">
      <c r="A427" t="s">
        <v>69</v>
      </c>
      <c r="B427" t="s">
        <v>71</v>
      </c>
      <c r="C427">
        <v>109.719649</v>
      </c>
      <c r="D427">
        <v>299.82028000000003</v>
      </c>
      <c r="E427">
        <v>12.078799999999999</v>
      </c>
      <c r="F427">
        <v>12.076499999999999</v>
      </c>
      <c r="G427">
        <v>0</v>
      </c>
      <c r="H427">
        <v>0</v>
      </c>
      <c r="I427" t="s">
        <v>0</v>
      </c>
      <c r="J427" t="s">
        <v>49</v>
      </c>
      <c r="K427" t="s">
        <v>50</v>
      </c>
      <c r="L427">
        <v>0</v>
      </c>
      <c r="M427" t="s">
        <v>51</v>
      </c>
      <c r="N427">
        <v>1</v>
      </c>
      <c r="O427" t="s">
        <v>52</v>
      </c>
      <c r="P427" s="2">
        <v>0.53680555555555554</v>
      </c>
      <c r="Q427">
        <f>-0.000305084*3600</f>
        <v>-1.0983024000000001</v>
      </c>
      <c r="R427">
        <f>-0.0051552111*3600</f>
        <v>-18.55875996</v>
      </c>
    </row>
    <row r="428" spans="1:18" x14ac:dyDescent="0.3">
      <c r="A428" t="s">
        <v>69</v>
      </c>
      <c r="B428" t="s">
        <v>71</v>
      </c>
      <c r="C428">
        <v>309.72026299999999</v>
      </c>
      <c r="D428">
        <v>100.176125</v>
      </c>
      <c r="E428">
        <v>12.0791</v>
      </c>
      <c r="F428">
        <v>12.0768</v>
      </c>
      <c r="G428">
        <v>0</v>
      </c>
      <c r="H428">
        <v>0</v>
      </c>
      <c r="I428" t="s">
        <v>0</v>
      </c>
      <c r="J428" t="s">
        <v>49</v>
      </c>
      <c r="K428" t="s">
        <v>50</v>
      </c>
      <c r="L428">
        <v>0</v>
      </c>
      <c r="M428" t="s">
        <v>51</v>
      </c>
      <c r="N428">
        <v>1</v>
      </c>
      <c r="O428" t="s">
        <v>52</v>
      </c>
      <c r="P428" s="2">
        <v>0.53749999999999998</v>
      </c>
      <c r="Q428">
        <f>0.0005520013*3600</f>
        <v>1.9872046799999998</v>
      </c>
      <c r="R428">
        <f>-0.0022244551*3600</f>
        <v>-8.0080383600000005</v>
      </c>
    </row>
    <row r="429" spans="1:18" x14ac:dyDescent="0.3">
      <c r="A429" t="s">
        <v>69</v>
      </c>
      <c r="B429" t="s">
        <v>71</v>
      </c>
      <c r="C429">
        <v>109.71977800000001</v>
      </c>
      <c r="D429">
        <v>299.82046100000002</v>
      </c>
      <c r="E429">
        <v>12.078799999999999</v>
      </c>
      <c r="F429">
        <v>12.076499999999999</v>
      </c>
      <c r="G429">
        <v>0</v>
      </c>
      <c r="H429">
        <v>0</v>
      </c>
      <c r="I429" t="s">
        <v>0</v>
      </c>
      <c r="J429" t="s">
        <v>49</v>
      </c>
      <c r="K429" t="s">
        <v>50</v>
      </c>
      <c r="L429">
        <v>0</v>
      </c>
      <c r="M429" t="s">
        <v>51</v>
      </c>
      <c r="N429">
        <v>1</v>
      </c>
      <c r="O429" t="s">
        <v>52</v>
      </c>
      <c r="P429" s="2">
        <v>0.53749999999999998</v>
      </c>
      <c r="Q429">
        <f>-0.0005466851*3600</f>
        <v>-1.9680663600000001</v>
      </c>
      <c r="R429">
        <f>-0.0055551313*3600</f>
        <v>-19.998472679999999</v>
      </c>
    </row>
    <row r="430" spans="1:18" x14ac:dyDescent="0.3">
      <c r="A430" t="s">
        <v>69</v>
      </c>
      <c r="B430" t="s">
        <v>72</v>
      </c>
      <c r="C430">
        <v>308.34336400000001</v>
      </c>
      <c r="D430">
        <v>100.277812</v>
      </c>
      <c r="E430">
        <v>22.993600000000001</v>
      </c>
      <c r="F430">
        <v>22.989000000000001</v>
      </c>
      <c r="G430">
        <v>0</v>
      </c>
      <c r="H430">
        <v>0</v>
      </c>
      <c r="I430" t="s">
        <v>0</v>
      </c>
      <c r="J430" t="s">
        <v>49</v>
      </c>
      <c r="K430" t="s">
        <v>50</v>
      </c>
      <c r="L430">
        <v>0</v>
      </c>
      <c r="M430" t="s">
        <v>51</v>
      </c>
      <c r="N430">
        <v>1</v>
      </c>
      <c r="O430" t="s">
        <v>52</v>
      </c>
      <c r="P430" s="2">
        <v>0.53472222222222221</v>
      </c>
      <c r="Q430">
        <f>0.0006821066*3600</f>
        <v>2.4555837600000001</v>
      </c>
      <c r="R430">
        <f>-0.0015105264*3600</f>
        <v>-5.4378950399999999</v>
      </c>
    </row>
    <row r="431" spans="1:18" x14ac:dyDescent="0.3">
      <c r="A431" t="s">
        <v>69</v>
      </c>
      <c r="B431" t="s">
        <v>72</v>
      </c>
      <c r="C431">
        <v>108.341719</v>
      </c>
      <c r="D431">
        <v>299.72065199999997</v>
      </c>
      <c r="E431">
        <v>22.9938</v>
      </c>
      <c r="F431">
        <v>22.9892</v>
      </c>
      <c r="G431">
        <v>0</v>
      </c>
      <c r="H431">
        <v>0</v>
      </c>
      <c r="I431" t="s">
        <v>0</v>
      </c>
      <c r="J431" t="s">
        <v>49</v>
      </c>
      <c r="K431" t="s">
        <v>50</v>
      </c>
      <c r="L431">
        <v>0</v>
      </c>
      <c r="M431" t="s">
        <v>51</v>
      </c>
      <c r="N431">
        <v>1</v>
      </c>
      <c r="O431" t="s">
        <v>52</v>
      </c>
      <c r="P431" s="2">
        <v>0.53472222222222221</v>
      </c>
      <c r="Q431">
        <f>-0.0002519179*3600</f>
        <v>-0.90690443999999992</v>
      </c>
      <c r="R431">
        <f>-0.0051443456*3600</f>
        <v>-18.519644159999999</v>
      </c>
    </row>
    <row r="432" spans="1:18" x14ac:dyDescent="0.3">
      <c r="A432" t="s">
        <v>69</v>
      </c>
      <c r="B432" t="s">
        <v>72</v>
      </c>
      <c r="C432">
        <v>308.34297299999997</v>
      </c>
      <c r="D432">
        <v>100.27723</v>
      </c>
      <c r="E432">
        <v>22.9938</v>
      </c>
      <c r="F432">
        <v>22.9892</v>
      </c>
      <c r="G432">
        <v>0</v>
      </c>
      <c r="H432">
        <v>0</v>
      </c>
      <c r="I432" t="s">
        <v>0</v>
      </c>
      <c r="J432" t="s">
        <v>49</v>
      </c>
      <c r="K432" t="s">
        <v>50</v>
      </c>
      <c r="L432">
        <v>0</v>
      </c>
      <c r="M432" t="s">
        <v>51</v>
      </c>
      <c r="N432">
        <v>1</v>
      </c>
      <c r="O432" t="s">
        <v>52</v>
      </c>
      <c r="P432" s="2">
        <v>0.53541666666666665</v>
      </c>
      <c r="Q432">
        <f>0.0005852396*3600</f>
        <v>2.1068625599999997</v>
      </c>
      <c r="R432">
        <f>-0.002198157*3600</f>
        <v>-7.9133652000000003</v>
      </c>
    </row>
    <row r="433" spans="1:18" x14ac:dyDescent="0.3">
      <c r="A433" t="s">
        <v>69</v>
      </c>
      <c r="B433" t="s">
        <v>72</v>
      </c>
      <c r="C433">
        <v>108.341883</v>
      </c>
      <c r="D433">
        <v>299.72036500000002</v>
      </c>
      <c r="E433">
        <v>22.9938</v>
      </c>
      <c r="F433">
        <v>22.9892</v>
      </c>
      <c r="G433">
        <v>0</v>
      </c>
      <c r="H433">
        <v>0</v>
      </c>
      <c r="I433" t="s">
        <v>0</v>
      </c>
      <c r="J433" t="s">
        <v>49</v>
      </c>
      <c r="K433" t="s">
        <v>50</v>
      </c>
      <c r="L433">
        <v>0</v>
      </c>
      <c r="M433" t="s">
        <v>51</v>
      </c>
      <c r="N433">
        <v>1</v>
      </c>
      <c r="O433" t="s">
        <v>52</v>
      </c>
      <c r="P433" s="2">
        <v>0.53541666666666665</v>
      </c>
      <c r="Q433">
        <f>-0.0003365914*3600</f>
        <v>-1.21172904</v>
      </c>
      <c r="R433">
        <f>-0.0052382603*3600</f>
        <v>-18.85773708</v>
      </c>
    </row>
    <row r="434" spans="1:18" x14ac:dyDescent="0.3">
      <c r="A434" t="s">
        <v>69</v>
      </c>
      <c r="B434" t="s">
        <v>72</v>
      </c>
      <c r="C434">
        <v>308.34351700000002</v>
      </c>
      <c r="D434">
        <v>100.276715</v>
      </c>
      <c r="E434">
        <v>22.9939</v>
      </c>
      <c r="F434">
        <v>22.9893</v>
      </c>
      <c r="G434">
        <v>0</v>
      </c>
      <c r="H434">
        <v>0</v>
      </c>
      <c r="I434" t="s">
        <v>0</v>
      </c>
      <c r="J434" t="s">
        <v>49</v>
      </c>
      <c r="K434" t="s">
        <v>50</v>
      </c>
      <c r="L434">
        <v>0</v>
      </c>
      <c r="M434" t="s">
        <v>51</v>
      </c>
      <c r="N434">
        <v>1</v>
      </c>
      <c r="O434" t="s">
        <v>52</v>
      </c>
      <c r="P434" s="2">
        <v>0.53611111111111109</v>
      </c>
      <c r="Q434">
        <f>0.0004990468*3600</f>
        <v>1.7965684800000001</v>
      </c>
      <c r="R434">
        <f>-0.0021169727*3600</f>
        <v>-7.6211017200000004</v>
      </c>
    </row>
    <row r="435" spans="1:18" x14ac:dyDescent="0.3">
      <c r="A435" t="s">
        <v>69</v>
      </c>
      <c r="B435" t="s">
        <v>72</v>
      </c>
      <c r="C435">
        <v>108.341883</v>
      </c>
      <c r="D435">
        <v>299.72076399999997</v>
      </c>
      <c r="E435">
        <v>22.9938</v>
      </c>
      <c r="F435">
        <v>22.9892</v>
      </c>
      <c r="G435">
        <v>0</v>
      </c>
      <c r="H435">
        <v>0</v>
      </c>
      <c r="I435" t="s">
        <v>0</v>
      </c>
      <c r="J435" t="s">
        <v>49</v>
      </c>
      <c r="K435" t="s">
        <v>50</v>
      </c>
      <c r="L435">
        <v>0</v>
      </c>
      <c r="M435" t="s">
        <v>51</v>
      </c>
      <c r="N435">
        <v>1</v>
      </c>
      <c r="O435" t="s">
        <v>52</v>
      </c>
      <c r="P435" s="2">
        <v>0.53611111111111109</v>
      </c>
      <c r="Q435">
        <f>-0.000411865*3600</f>
        <v>-1.4827139999999999</v>
      </c>
      <c r="R435">
        <f>-0.0051741419*3600</f>
        <v>-18.626910840000001</v>
      </c>
    </row>
    <row r="436" spans="1:18" x14ac:dyDescent="0.3">
      <c r="A436" t="s">
        <v>69</v>
      </c>
      <c r="B436" t="s">
        <v>72</v>
      </c>
      <c r="C436">
        <v>308.34331900000001</v>
      </c>
      <c r="D436">
        <v>100.27749900000001</v>
      </c>
      <c r="E436">
        <v>22.994</v>
      </c>
      <c r="F436">
        <v>22.9894</v>
      </c>
      <c r="G436">
        <v>0</v>
      </c>
      <c r="H436">
        <v>0</v>
      </c>
      <c r="I436" t="s">
        <v>0</v>
      </c>
      <c r="J436" t="s">
        <v>49</v>
      </c>
      <c r="K436" t="s">
        <v>50</v>
      </c>
      <c r="L436">
        <v>0</v>
      </c>
      <c r="M436" t="s">
        <v>51</v>
      </c>
      <c r="N436">
        <v>1</v>
      </c>
      <c r="O436" t="s">
        <v>52</v>
      </c>
      <c r="P436" s="2">
        <v>0.53680555555555554</v>
      </c>
      <c r="Q436">
        <f>0.0004306701*3600</f>
        <v>1.5504123599999999</v>
      </c>
      <c r="R436">
        <f>-0.0021068217*3600</f>
        <v>-7.5845581199999996</v>
      </c>
    </row>
    <row r="437" spans="1:18" x14ac:dyDescent="0.3">
      <c r="A437" t="s">
        <v>69</v>
      </c>
      <c r="B437" t="s">
        <v>72</v>
      </c>
      <c r="C437">
        <v>108.342204</v>
      </c>
      <c r="D437">
        <v>299.72029800000001</v>
      </c>
      <c r="E437">
        <v>22.9937</v>
      </c>
      <c r="F437">
        <v>22.989100000000001</v>
      </c>
      <c r="G437">
        <v>0</v>
      </c>
      <c r="H437">
        <v>0</v>
      </c>
      <c r="I437" t="s">
        <v>0</v>
      </c>
      <c r="J437" t="s">
        <v>49</v>
      </c>
      <c r="K437" t="s">
        <v>50</v>
      </c>
      <c r="L437">
        <v>0</v>
      </c>
      <c r="M437" t="s">
        <v>51</v>
      </c>
      <c r="N437">
        <v>1</v>
      </c>
      <c r="O437" t="s">
        <v>52</v>
      </c>
      <c r="P437" s="2">
        <v>0.53680555555555554</v>
      </c>
      <c r="Q437">
        <f>-0.0004423657*3600</f>
        <v>-1.59251652</v>
      </c>
      <c r="R437">
        <f>-0.0051209156*3600</f>
        <v>-18.43529616</v>
      </c>
    </row>
    <row r="438" spans="1:18" x14ac:dyDescent="0.3">
      <c r="A438" t="s">
        <v>69</v>
      </c>
      <c r="B438" t="s">
        <v>72</v>
      </c>
      <c r="C438">
        <v>308.34309999999999</v>
      </c>
      <c r="D438">
        <v>100.277486</v>
      </c>
      <c r="E438">
        <v>22.9939</v>
      </c>
      <c r="F438">
        <v>22.9893</v>
      </c>
      <c r="G438">
        <v>0</v>
      </c>
      <c r="H438">
        <v>0</v>
      </c>
      <c r="I438" t="s">
        <v>0</v>
      </c>
      <c r="J438" t="s">
        <v>49</v>
      </c>
      <c r="K438" t="s">
        <v>50</v>
      </c>
      <c r="L438">
        <v>0</v>
      </c>
      <c r="M438" t="s">
        <v>51</v>
      </c>
      <c r="N438">
        <v>1</v>
      </c>
      <c r="O438" t="s">
        <v>52</v>
      </c>
      <c r="P438" s="2">
        <v>0.53749999999999998</v>
      </c>
      <c r="Q438">
        <f>0.000484694*3600</f>
        <v>1.7448983999999998</v>
      </c>
      <c r="R438">
        <f>-0.0023288808*3600</f>
        <v>-8.3839708799999997</v>
      </c>
    </row>
    <row r="439" spans="1:18" x14ac:dyDescent="0.3">
      <c r="A439" t="s">
        <v>69</v>
      </c>
      <c r="B439" t="s">
        <v>72</v>
      </c>
      <c r="C439">
        <v>108.342619</v>
      </c>
      <c r="D439">
        <v>299.72055699999999</v>
      </c>
      <c r="E439">
        <v>22.993600000000001</v>
      </c>
      <c r="F439">
        <v>22.989000000000001</v>
      </c>
      <c r="G439">
        <v>0</v>
      </c>
      <c r="H439">
        <v>0</v>
      </c>
      <c r="I439" t="s">
        <v>0</v>
      </c>
      <c r="J439" t="s">
        <v>49</v>
      </c>
      <c r="K439" t="s">
        <v>50</v>
      </c>
      <c r="L439">
        <v>0</v>
      </c>
      <c r="M439" t="s">
        <v>51</v>
      </c>
      <c r="N439">
        <v>1</v>
      </c>
      <c r="O439" t="s">
        <v>52</v>
      </c>
      <c r="P439" s="2">
        <v>0.53749999999999998</v>
      </c>
      <c r="Q439">
        <f>-0.0007259943*3600</f>
        <v>-2.6135794799999998</v>
      </c>
      <c r="R439">
        <f>-0.0054743357*3600</f>
        <v>-19.707608520000001</v>
      </c>
    </row>
  </sheetData>
  <sortState xmlns:xlrd2="http://schemas.microsoft.com/office/spreadsheetml/2017/richdata2" ref="A411:R439">
    <sortCondition ref="B411:B43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211007-PC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Zlatev, Ivan</cp:lastModifiedBy>
  <dcterms:created xsi:type="dcterms:W3CDTF">2021-10-07T14:16:53Z</dcterms:created>
  <dcterms:modified xsi:type="dcterms:W3CDTF">2021-10-07T14:16:53Z</dcterms:modified>
</cp:coreProperties>
</file>