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 Projects\09 TBM\10 KA_Wire drop\"/>
    </mc:Choice>
  </mc:AlternateContent>
  <xr:revisionPtr revIDLastSave="0" documentId="8_{056163CC-A45C-4BD4-9E54-0ED6C399A382}" xr6:coauthVersionLast="46" xr6:coauthVersionMax="46" xr10:uidLastSave="{00000000-0000-0000-0000-000000000000}"/>
  <bookViews>
    <workbookView xWindow="14895" yWindow="-16350" windowWidth="29040" windowHeight="15840"/>
  </bookViews>
  <sheets>
    <sheet name="210911JF" sheetId="1" r:id="rId1"/>
  </sheets>
  <calcPr calcId="0"/>
</workbook>
</file>

<file path=xl/calcChain.xml><?xml version="1.0" encoding="utf-8"?>
<calcChain xmlns="http://schemas.openxmlformats.org/spreadsheetml/2006/main">
  <c r="Q25" i="1" l="1"/>
  <c r="R25" i="1"/>
  <c r="Q26" i="1"/>
  <c r="R26" i="1"/>
  <c r="Q79" i="1"/>
  <c r="R79" i="1"/>
  <c r="Q38" i="1"/>
  <c r="R38" i="1"/>
  <c r="Q80" i="1"/>
  <c r="R80" i="1"/>
  <c r="Q39" i="1"/>
  <c r="R39" i="1"/>
  <c r="Q120" i="1"/>
  <c r="R120" i="1"/>
  <c r="P200" i="1"/>
  <c r="Q200" i="1"/>
  <c r="P160" i="1"/>
  <c r="Q160" i="1"/>
  <c r="Q240" i="1"/>
  <c r="R240" i="1"/>
  <c r="Q241" i="1"/>
  <c r="R241" i="1"/>
  <c r="P161" i="1"/>
  <c r="Q161" i="1"/>
  <c r="P201" i="1"/>
  <c r="Q201" i="1"/>
  <c r="Q121" i="1"/>
  <c r="R121" i="1"/>
  <c r="Q40" i="1"/>
  <c r="R40" i="1"/>
  <c r="Q81" i="1"/>
  <c r="R81" i="1"/>
  <c r="P280" i="1"/>
  <c r="Q280" i="1"/>
  <c r="P320" i="1"/>
  <c r="Q320" i="1"/>
  <c r="P321" i="1"/>
  <c r="Q321" i="1"/>
  <c r="P281" i="1"/>
  <c r="Q281" i="1"/>
  <c r="Q82" i="1"/>
  <c r="R82" i="1"/>
  <c r="Q41" i="1"/>
  <c r="R41" i="1"/>
  <c r="Q122" i="1"/>
  <c r="R122" i="1"/>
  <c r="P202" i="1"/>
  <c r="Q202" i="1"/>
  <c r="P162" i="1"/>
  <c r="Q162" i="1"/>
  <c r="Q242" i="1"/>
  <c r="R242" i="1"/>
  <c r="P282" i="1"/>
  <c r="Q282" i="1"/>
  <c r="P322" i="1"/>
  <c r="Q322" i="1"/>
  <c r="P323" i="1"/>
  <c r="Q323" i="1"/>
  <c r="P283" i="1"/>
  <c r="Q283" i="1"/>
  <c r="Q243" i="1"/>
  <c r="R243" i="1"/>
  <c r="P163" i="1"/>
  <c r="Q163" i="1"/>
  <c r="P203" i="1"/>
  <c r="Q203" i="1"/>
  <c r="Q123" i="1"/>
  <c r="R123" i="1"/>
  <c r="Q42" i="1"/>
  <c r="R42" i="1"/>
  <c r="Q83" i="1"/>
  <c r="R83" i="1"/>
  <c r="Q84" i="1"/>
  <c r="R84" i="1"/>
  <c r="Q43" i="1"/>
  <c r="R43" i="1"/>
  <c r="Q124" i="1"/>
  <c r="R124" i="1"/>
  <c r="P204" i="1"/>
  <c r="Q204" i="1"/>
  <c r="P164" i="1"/>
  <c r="Q164" i="1"/>
  <c r="Q244" i="1"/>
  <c r="R244" i="1"/>
  <c r="P284" i="1"/>
  <c r="Q284" i="1"/>
  <c r="P324" i="1"/>
  <c r="Q324" i="1"/>
  <c r="P325" i="1"/>
  <c r="Q325" i="1"/>
  <c r="P285" i="1"/>
  <c r="Q285" i="1"/>
  <c r="Q245" i="1"/>
  <c r="R245" i="1"/>
  <c r="P165" i="1"/>
  <c r="Q165" i="1"/>
  <c r="P205" i="1"/>
  <c r="Q205" i="1"/>
  <c r="Q125" i="1"/>
  <c r="R125" i="1"/>
  <c r="Q44" i="1"/>
  <c r="R44" i="1"/>
  <c r="Q85" i="1"/>
  <c r="R85" i="1"/>
  <c r="Q45" i="1"/>
  <c r="R45" i="1"/>
  <c r="Q126" i="1"/>
  <c r="R126" i="1"/>
  <c r="P206" i="1"/>
  <c r="Q206" i="1"/>
  <c r="P166" i="1"/>
  <c r="Q166" i="1"/>
  <c r="Q246" i="1"/>
  <c r="R246" i="1"/>
  <c r="P286" i="1"/>
  <c r="Q286" i="1"/>
  <c r="P326" i="1"/>
  <c r="Q326" i="1"/>
  <c r="P327" i="1"/>
  <c r="Q327" i="1"/>
  <c r="P287" i="1"/>
  <c r="Q287" i="1"/>
  <c r="Q247" i="1"/>
  <c r="R247" i="1"/>
  <c r="P167" i="1"/>
  <c r="Q167" i="1"/>
  <c r="P207" i="1"/>
  <c r="Q207" i="1"/>
  <c r="Q127" i="1"/>
  <c r="R127" i="1"/>
  <c r="Q46" i="1"/>
  <c r="R46" i="1"/>
  <c r="Q86" i="1"/>
  <c r="R86" i="1"/>
  <c r="Q87" i="1"/>
  <c r="R87" i="1"/>
  <c r="Q47" i="1"/>
  <c r="R47" i="1"/>
  <c r="Q128" i="1"/>
  <c r="R128" i="1"/>
  <c r="P208" i="1"/>
  <c r="Q208" i="1"/>
  <c r="P168" i="1"/>
  <c r="Q168" i="1"/>
  <c r="Q248" i="1"/>
  <c r="R248" i="1"/>
  <c r="P288" i="1"/>
  <c r="Q288" i="1"/>
  <c r="P328" i="1"/>
  <c r="Q328" i="1"/>
  <c r="P329" i="1"/>
  <c r="Q329" i="1"/>
  <c r="P289" i="1"/>
  <c r="Q289" i="1"/>
  <c r="Q249" i="1"/>
  <c r="R249" i="1"/>
  <c r="P169" i="1"/>
  <c r="Q169" i="1"/>
  <c r="P209" i="1"/>
  <c r="Q209" i="1"/>
  <c r="Q129" i="1"/>
  <c r="R129" i="1"/>
  <c r="Q48" i="1"/>
  <c r="R48" i="1"/>
  <c r="Q88" i="1"/>
  <c r="R88" i="1"/>
  <c r="Q89" i="1"/>
  <c r="R89" i="1"/>
  <c r="Q49" i="1"/>
  <c r="R49" i="1"/>
  <c r="Q130" i="1"/>
  <c r="R130" i="1"/>
  <c r="P210" i="1"/>
  <c r="Q210" i="1"/>
  <c r="P170" i="1"/>
  <c r="Q170" i="1"/>
  <c r="Q250" i="1"/>
  <c r="R250" i="1"/>
  <c r="P290" i="1"/>
  <c r="Q290" i="1"/>
  <c r="P330" i="1"/>
  <c r="Q330" i="1"/>
  <c r="P331" i="1"/>
  <c r="Q331" i="1"/>
  <c r="P291" i="1"/>
  <c r="Q291" i="1"/>
  <c r="Q251" i="1"/>
  <c r="R251" i="1"/>
  <c r="P171" i="1"/>
  <c r="Q171" i="1"/>
  <c r="P211" i="1"/>
  <c r="Q211" i="1"/>
  <c r="Q131" i="1"/>
  <c r="R131" i="1"/>
  <c r="Q50" i="1"/>
  <c r="R50" i="1"/>
  <c r="Q90" i="1"/>
  <c r="R90" i="1"/>
  <c r="Q91" i="1"/>
  <c r="R91" i="1"/>
  <c r="Q51" i="1"/>
  <c r="R51" i="1"/>
  <c r="Q132" i="1"/>
  <c r="R132" i="1"/>
  <c r="P212" i="1"/>
  <c r="Q212" i="1"/>
  <c r="P172" i="1"/>
  <c r="Q172" i="1"/>
  <c r="Q252" i="1"/>
  <c r="R252" i="1"/>
  <c r="P292" i="1"/>
  <c r="Q292" i="1"/>
  <c r="P332" i="1"/>
  <c r="Q332" i="1"/>
  <c r="P333" i="1"/>
  <c r="Q333" i="1"/>
  <c r="P293" i="1"/>
  <c r="Q293" i="1"/>
  <c r="Q253" i="1"/>
  <c r="R253" i="1"/>
  <c r="P173" i="1"/>
  <c r="Q173" i="1"/>
  <c r="P213" i="1"/>
  <c r="Q213" i="1"/>
  <c r="Q133" i="1"/>
  <c r="R133" i="1"/>
  <c r="Q52" i="1"/>
  <c r="R52" i="1"/>
  <c r="Q92" i="1"/>
  <c r="R92" i="1"/>
  <c r="Q93" i="1"/>
  <c r="R93" i="1"/>
  <c r="Q134" i="1"/>
  <c r="R134" i="1"/>
  <c r="P214" i="1"/>
  <c r="Q214" i="1"/>
  <c r="P174" i="1"/>
  <c r="Q174" i="1"/>
  <c r="Q254" i="1"/>
  <c r="R254" i="1"/>
  <c r="P294" i="1"/>
  <c r="Q294" i="1"/>
  <c r="P334" i="1"/>
  <c r="Q334" i="1"/>
  <c r="P335" i="1"/>
  <c r="Q335" i="1"/>
  <c r="P295" i="1"/>
  <c r="Q295" i="1"/>
  <c r="Q255" i="1"/>
  <c r="R255" i="1"/>
  <c r="P175" i="1"/>
  <c r="Q175" i="1"/>
  <c r="P215" i="1"/>
  <c r="Q215" i="1"/>
  <c r="Q135" i="1"/>
  <c r="R135" i="1"/>
  <c r="Q53" i="1"/>
  <c r="R53" i="1"/>
  <c r="Q94" i="1"/>
  <c r="R94" i="1"/>
  <c r="Q95" i="1"/>
  <c r="R95" i="1"/>
  <c r="Q54" i="1"/>
  <c r="R54" i="1"/>
  <c r="Q136" i="1"/>
  <c r="R136" i="1"/>
  <c r="P216" i="1"/>
  <c r="Q216" i="1"/>
  <c r="P176" i="1"/>
  <c r="Q176" i="1"/>
  <c r="Q256" i="1"/>
  <c r="R256" i="1"/>
  <c r="P296" i="1"/>
  <c r="Q296" i="1"/>
  <c r="P336" i="1"/>
  <c r="Q336" i="1"/>
  <c r="P337" i="1"/>
  <c r="Q337" i="1"/>
  <c r="P297" i="1"/>
  <c r="Q297" i="1"/>
  <c r="Q257" i="1"/>
  <c r="R257" i="1"/>
  <c r="P177" i="1"/>
  <c r="Q177" i="1"/>
  <c r="P217" i="1"/>
  <c r="Q217" i="1"/>
  <c r="Q137" i="1"/>
  <c r="R137" i="1"/>
  <c r="Q55" i="1"/>
  <c r="R55" i="1"/>
  <c r="Q96" i="1"/>
  <c r="R96" i="1"/>
  <c r="Q97" i="1"/>
  <c r="R97" i="1"/>
  <c r="Q56" i="1"/>
  <c r="R56" i="1"/>
  <c r="Q138" i="1"/>
  <c r="R138" i="1"/>
  <c r="P218" i="1"/>
  <c r="Q218" i="1"/>
  <c r="P178" i="1"/>
  <c r="Q178" i="1"/>
  <c r="Q258" i="1"/>
  <c r="R258" i="1"/>
  <c r="P298" i="1"/>
  <c r="Q298" i="1"/>
  <c r="P338" i="1"/>
  <c r="Q338" i="1"/>
  <c r="P339" i="1"/>
  <c r="Q339" i="1"/>
  <c r="P299" i="1"/>
  <c r="Q299" i="1"/>
  <c r="Q259" i="1"/>
  <c r="R259" i="1"/>
  <c r="P179" i="1"/>
  <c r="Q179" i="1"/>
  <c r="P219" i="1"/>
  <c r="Q219" i="1"/>
  <c r="Q139" i="1"/>
  <c r="R139" i="1"/>
  <c r="Q57" i="1"/>
  <c r="R57" i="1"/>
  <c r="Q98" i="1"/>
  <c r="R98" i="1"/>
  <c r="Q99" i="1"/>
  <c r="R99" i="1"/>
  <c r="Q58" i="1"/>
  <c r="R58" i="1"/>
  <c r="Q140" i="1"/>
  <c r="R140" i="1"/>
  <c r="P220" i="1"/>
  <c r="Q220" i="1"/>
  <c r="P180" i="1"/>
  <c r="Q180" i="1"/>
  <c r="Q260" i="1"/>
  <c r="R260" i="1"/>
  <c r="P300" i="1"/>
  <c r="Q300" i="1"/>
  <c r="P340" i="1"/>
  <c r="Q340" i="1"/>
  <c r="P341" i="1"/>
  <c r="Q341" i="1"/>
  <c r="P301" i="1"/>
  <c r="Q301" i="1"/>
  <c r="Q261" i="1"/>
  <c r="R261" i="1"/>
  <c r="P181" i="1"/>
  <c r="Q181" i="1"/>
  <c r="P221" i="1"/>
  <c r="Q221" i="1"/>
  <c r="Q141" i="1"/>
  <c r="R141" i="1"/>
  <c r="Q59" i="1"/>
  <c r="R59" i="1"/>
  <c r="Q100" i="1"/>
  <c r="R100" i="1"/>
  <c r="Q60" i="1"/>
  <c r="R60" i="1"/>
  <c r="Q142" i="1"/>
  <c r="R142" i="1"/>
  <c r="P222" i="1"/>
  <c r="Q222" i="1"/>
  <c r="P182" i="1"/>
  <c r="Q182" i="1"/>
  <c r="Q262" i="1"/>
  <c r="R262" i="1"/>
  <c r="P302" i="1"/>
  <c r="Q302" i="1"/>
  <c r="P342" i="1"/>
  <c r="Q342" i="1"/>
  <c r="P343" i="1"/>
  <c r="Q343" i="1"/>
  <c r="P303" i="1"/>
  <c r="Q303" i="1"/>
  <c r="Q263" i="1"/>
  <c r="R263" i="1"/>
  <c r="P183" i="1"/>
  <c r="Q183" i="1"/>
  <c r="P223" i="1"/>
  <c r="Q223" i="1"/>
  <c r="Q143" i="1"/>
  <c r="R143" i="1"/>
  <c r="Q61" i="1"/>
  <c r="R61" i="1"/>
  <c r="Q101" i="1"/>
  <c r="R101" i="1"/>
  <c r="Q62" i="1"/>
  <c r="R62" i="1"/>
  <c r="Q144" i="1"/>
  <c r="R144" i="1"/>
  <c r="P224" i="1"/>
  <c r="Q224" i="1"/>
  <c r="P184" i="1"/>
  <c r="Q184" i="1"/>
  <c r="Q264" i="1"/>
  <c r="R264" i="1"/>
  <c r="P304" i="1"/>
  <c r="Q304" i="1"/>
  <c r="P344" i="1"/>
  <c r="Q344" i="1"/>
  <c r="P345" i="1"/>
  <c r="Q345" i="1"/>
  <c r="P305" i="1"/>
  <c r="Q305" i="1"/>
  <c r="Q265" i="1"/>
  <c r="R265" i="1"/>
  <c r="P185" i="1"/>
  <c r="Q185" i="1"/>
  <c r="P225" i="1"/>
  <c r="Q225" i="1"/>
  <c r="Q145" i="1"/>
  <c r="R145" i="1"/>
  <c r="Q63" i="1"/>
  <c r="R63" i="1"/>
  <c r="Q102" i="1"/>
  <c r="R102" i="1"/>
  <c r="Q103" i="1"/>
  <c r="R103" i="1"/>
  <c r="Q64" i="1"/>
  <c r="R64" i="1"/>
  <c r="Q146" i="1"/>
  <c r="R146" i="1"/>
  <c r="P226" i="1"/>
  <c r="Q226" i="1"/>
  <c r="P186" i="1"/>
  <c r="Q186" i="1"/>
  <c r="Q266" i="1"/>
  <c r="R266" i="1"/>
  <c r="P306" i="1"/>
  <c r="Q306" i="1"/>
  <c r="P346" i="1"/>
  <c r="Q346" i="1"/>
  <c r="P347" i="1"/>
  <c r="Q347" i="1"/>
  <c r="P307" i="1"/>
  <c r="Q307" i="1"/>
  <c r="Q267" i="1"/>
  <c r="R267" i="1"/>
  <c r="P187" i="1"/>
  <c r="Q187" i="1"/>
  <c r="P227" i="1"/>
  <c r="Q227" i="1"/>
  <c r="Q147" i="1"/>
  <c r="R147" i="1"/>
  <c r="Q65" i="1"/>
  <c r="R65" i="1"/>
  <c r="Q104" i="1"/>
  <c r="R104" i="1"/>
  <c r="Q105" i="1"/>
  <c r="R105" i="1"/>
  <c r="Q66" i="1"/>
  <c r="R66" i="1"/>
  <c r="Q148" i="1"/>
  <c r="R148" i="1"/>
  <c r="P228" i="1"/>
  <c r="Q228" i="1"/>
  <c r="P188" i="1"/>
  <c r="Q188" i="1"/>
  <c r="Q268" i="1"/>
  <c r="R268" i="1"/>
  <c r="P308" i="1"/>
  <c r="Q308" i="1"/>
  <c r="P348" i="1"/>
  <c r="Q348" i="1"/>
  <c r="P349" i="1"/>
  <c r="Q349" i="1"/>
  <c r="P309" i="1"/>
  <c r="Q309" i="1"/>
  <c r="Q269" i="1"/>
  <c r="R269" i="1"/>
  <c r="P189" i="1"/>
  <c r="Q189" i="1"/>
  <c r="P229" i="1"/>
  <c r="Q229" i="1"/>
  <c r="Q149" i="1"/>
  <c r="R149" i="1"/>
  <c r="Q67" i="1"/>
  <c r="R67" i="1"/>
  <c r="Q106" i="1"/>
  <c r="R106" i="1"/>
  <c r="Q107" i="1"/>
  <c r="R107" i="1"/>
  <c r="Q68" i="1"/>
  <c r="R68" i="1"/>
  <c r="Q150" i="1"/>
  <c r="R150" i="1"/>
  <c r="P230" i="1"/>
  <c r="Q230" i="1"/>
  <c r="P190" i="1"/>
  <c r="Q190" i="1"/>
  <c r="Q270" i="1"/>
  <c r="R270" i="1"/>
  <c r="P310" i="1"/>
  <c r="Q310" i="1"/>
  <c r="P350" i="1"/>
  <c r="Q350" i="1"/>
  <c r="P351" i="1"/>
  <c r="Q351" i="1"/>
  <c r="P311" i="1"/>
  <c r="Q311" i="1"/>
  <c r="Q271" i="1"/>
  <c r="R271" i="1"/>
  <c r="P191" i="1"/>
  <c r="Q191" i="1"/>
  <c r="P231" i="1"/>
  <c r="Q231" i="1"/>
  <c r="Q151" i="1"/>
  <c r="R151" i="1"/>
  <c r="Q69" i="1"/>
  <c r="R69" i="1"/>
  <c r="Q108" i="1"/>
  <c r="R108" i="1"/>
  <c r="Q109" i="1"/>
  <c r="R109" i="1"/>
  <c r="Q70" i="1"/>
  <c r="R70" i="1"/>
  <c r="Q152" i="1"/>
  <c r="R152" i="1"/>
  <c r="P232" i="1"/>
  <c r="Q232" i="1"/>
  <c r="P192" i="1"/>
  <c r="Q192" i="1"/>
  <c r="Q272" i="1"/>
  <c r="R272" i="1"/>
  <c r="P312" i="1"/>
  <c r="Q312" i="1"/>
  <c r="P352" i="1"/>
  <c r="Q352" i="1"/>
  <c r="P353" i="1"/>
  <c r="Q353" i="1"/>
  <c r="P313" i="1"/>
  <c r="Q313" i="1"/>
  <c r="Q273" i="1"/>
  <c r="R273" i="1"/>
  <c r="P193" i="1"/>
  <c r="Q193" i="1"/>
  <c r="P233" i="1"/>
  <c r="Q233" i="1"/>
  <c r="Q153" i="1"/>
  <c r="R153" i="1"/>
  <c r="Q71" i="1"/>
  <c r="R71" i="1"/>
  <c r="Q110" i="1"/>
  <c r="R110" i="1"/>
  <c r="Q111" i="1"/>
  <c r="R111" i="1"/>
  <c r="Q72" i="1"/>
  <c r="R72" i="1"/>
  <c r="Q154" i="1"/>
  <c r="R154" i="1"/>
  <c r="P234" i="1"/>
  <c r="Q234" i="1"/>
  <c r="P194" i="1"/>
  <c r="Q194" i="1"/>
  <c r="Q274" i="1"/>
  <c r="R274" i="1"/>
  <c r="P314" i="1"/>
  <c r="Q314" i="1"/>
  <c r="P354" i="1"/>
  <c r="Q354" i="1"/>
  <c r="P355" i="1"/>
  <c r="Q355" i="1"/>
  <c r="P315" i="1"/>
  <c r="Q315" i="1"/>
  <c r="Q275" i="1"/>
  <c r="R275" i="1"/>
  <c r="P195" i="1"/>
  <c r="Q195" i="1"/>
  <c r="P235" i="1"/>
  <c r="Q235" i="1"/>
  <c r="Q155" i="1"/>
  <c r="R155" i="1"/>
  <c r="Q73" i="1"/>
  <c r="R73" i="1"/>
  <c r="Q112" i="1"/>
  <c r="R112" i="1"/>
  <c r="Q113" i="1"/>
  <c r="R113" i="1"/>
  <c r="Q74" i="1"/>
  <c r="R74" i="1"/>
  <c r="Q156" i="1"/>
  <c r="R156" i="1"/>
  <c r="P236" i="1"/>
  <c r="Q236" i="1"/>
  <c r="P196" i="1"/>
  <c r="Q196" i="1"/>
  <c r="Q276" i="1"/>
  <c r="R276" i="1"/>
  <c r="P316" i="1"/>
  <c r="Q316" i="1"/>
  <c r="P356" i="1"/>
  <c r="Q356" i="1"/>
  <c r="P357" i="1"/>
  <c r="Q357" i="1"/>
  <c r="P317" i="1"/>
  <c r="Q317" i="1"/>
  <c r="Q277" i="1"/>
  <c r="R277" i="1"/>
  <c r="P197" i="1"/>
  <c r="Q197" i="1"/>
  <c r="P237" i="1"/>
  <c r="Q237" i="1"/>
  <c r="Q157" i="1"/>
  <c r="R157" i="1"/>
  <c r="Q75" i="1"/>
  <c r="R75" i="1"/>
  <c r="Q114" i="1"/>
  <c r="R114" i="1"/>
  <c r="Q115" i="1"/>
  <c r="R115" i="1"/>
  <c r="Q76" i="1"/>
  <c r="R76" i="1"/>
  <c r="Q158" i="1"/>
  <c r="R158" i="1"/>
  <c r="P238" i="1"/>
  <c r="Q238" i="1"/>
  <c r="P198" i="1"/>
  <c r="Q198" i="1"/>
  <c r="Q278" i="1"/>
  <c r="R278" i="1"/>
  <c r="P318" i="1"/>
  <c r="Q318" i="1"/>
  <c r="P358" i="1"/>
  <c r="Q358" i="1"/>
  <c r="P359" i="1"/>
  <c r="Q359" i="1"/>
  <c r="P319" i="1"/>
  <c r="Q319" i="1"/>
  <c r="Q279" i="1"/>
  <c r="R279" i="1"/>
  <c r="P199" i="1"/>
  <c r="Q199" i="1"/>
  <c r="P239" i="1"/>
  <c r="Q239" i="1"/>
  <c r="Q159" i="1"/>
  <c r="R159" i="1"/>
  <c r="Q77" i="1"/>
  <c r="R77" i="1"/>
  <c r="Q116" i="1"/>
  <c r="R116" i="1"/>
  <c r="Q117" i="1"/>
  <c r="R117" i="1"/>
  <c r="Q78" i="1"/>
  <c r="R78" i="1"/>
  <c r="Q118" i="1"/>
  <c r="R118" i="1"/>
  <c r="Q119" i="1"/>
  <c r="R119" i="1"/>
  <c r="Q367" i="1"/>
  <c r="R367" i="1"/>
  <c r="Q409" i="1"/>
  <c r="R409" i="1"/>
  <c r="Q369" i="1"/>
  <c r="R369" i="1"/>
  <c r="Q389" i="1"/>
  <c r="R389" i="1"/>
  <c r="Q429" i="1"/>
  <c r="R429" i="1"/>
  <c r="Q430" i="1"/>
  <c r="R430" i="1"/>
  <c r="Q390" i="1"/>
  <c r="R390" i="1"/>
  <c r="Q370" i="1"/>
  <c r="R370" i="1"/>
  <c r="Q410" i="1"/>
  <c r="R410" i="1"/>
  <c r="Q411" i="1"/>
  <c r="R411" i="1"/>
  <c r="Q371" i="1"/>
  <c r="R371" i="1"/>
  <c r="Q391" i="1"/>
  <c r="R391" i="1"/>
  <c r="Q431" i="1"/>
  <c r="R431" i="1"/>
  <c r="Q432" i="1"/>
  <c r="R432" i="1"/>
  <c r="Q392" i="1"/>
  <c r="R392" i="1"/>
  <c r="Q372" i="1"/>
  <c r="R372" i="1"/>
  <c r="Q412" i="1"/>
  <c r="R412" i="1"/>
  <c r="Q413" i="1"/>
  <c r="R413" i="1"/>
  <c r="Q373" i="1"/>
  <c r="R373" i="1"/>
  <c r="Q393" i="1"/>
  <c r="R393" i="1"/>
  <c r="Q433" i="1"/>
  <c r="R433" i="1"/>
  <c r="Q434" i="1"/>
  <c r="R434" i="1"/>
  <c r="Q394" i="1"/>
  <c r="R394" i="1"/>
  <c r="Q374" i="1"/>
  <c r="R374" i="1"/>
  <c r="Q414" i="1"/>
  <c r="R414" i="1"/>
  <c r="Q415" i="1"/>
  <c r="R415" i="1"/>
  <c r="Q375" i="1"/>
  <c r="R375" i="1"/>
  <c r="Q395" i="1"/>
  <c r="R395" i="1"/>
  <c r="Q435" i="1"/>
  <c r="R435" i="1"/>
  <c r="Q436" i="1"/>
  <c r="R436" i="1"/>
  <c r="Q396" i="1"/>
  <c r="R396" i="1"/>
  <c r="Q376" i="1"/>
  <c r="R376" i="1"/>
  <c r="Q416" i="1"/>
  <c r="R416" i="1"/>
  <c r="Q377" i="1"/>
  <c r="R377" i="1"/>
  <c r="Q397" i="1"/>
  <c r="R397" i="1"/>
  <c r="Q437" i="1"/>
  <c r="R437" i="1"/>
  <c r="Q438" i="1"/>
  <c r="R438" i="1"/>
  <c r="Q398" i="1"/>
  <c r="R398" i="1"/>
  <c r="Q378" i="1"/>
  <c r="R378" i="1"/>
  <c r="Q417" i="1"/>
  <c r="R417" i="1"/>
  <c r="Q418" i="1"/>
  <c r="R418" i="1"/>
  <c r="Q379" i="1"/>
  <c r="R379" i="1"/>
  <c r="Q399" i="1"/>
  <c r="R399" i="1"/>
  <c r="Q439" i="1"/>
  <c r="R439" i="1"/>
  <c r="Q440" i="1"/>
  <c r="R440" i="1"/>
  <c r="Q400" i="1"/>
  <c r="R400" i="1"/>
  <c r="Q380" i="1"/>
  <c r="R380" i="1"/>
  <c r="Q419" i="1"/>
  <c r="R419" i="1"/>
  <c r="Q420" i="1"/>
  <c r="R420" i="1"/>
  <c r="Q381" i="1"/>
  <c r="R381" i="1"/>
  <c r="Q401" i="1"/>
  <c r="R401" i="1"/>
  <c r="Q441" i="1"/>
  <c r="R441" i="1"/>
  <c r="Q442" i="1"/>
  <c r="R442" i="1"/>
  <c r="Q402" i="1"/>
  <c r="R402" i="1"/>
  <c r="Q382" i="1"/>
  <c r="R382" i="1"/>
  <c r="Q421" i="1"/>
  <c r="R421" i="1"/>
  <c r="Q383" i="1"/>
  <c r="R383" i="1"/>
  <c r="Q403" i="1"/>
  <c r="R403" i="1"/>
  <c r="Q443" i="1"/>
  <c r="R443" i="1"/>
  <c r="Q444" i="1"/>
  <c r="R444" i="1"/>
  <c r="Q404" i="1"/>
  <c r="R404" i="1"/>
  <c r="Q384" i="1"/>
  <c r="R384" i="1"/>
  <c r="Q422" i="1"/>
  <c r="R422" i="1"/>
  <c r="Q423" i="1"/>
  <c r="R423" i="1"/>
  <c r="Q385" i="1"/>
  <c r="R385" i="1"/>
  <c r="Q405" i="1"/>
  <c r="R405" i="1"/>
  <c r="Q445" i="1"/>
  <c r="R445" i="1"/>
  <c r="Q446" i="1"/>
  <c r="R446" i="1"/>
  <c r="Q386" i="1"/>
  <c r="R386" i="1"/>
  <c r="Q387" i="1"/>
  <c r="R387" i="1"/>
  <c r="Q406" i="1"/>
  <c r="R406" i="1"/>
  <c r="Q447" i="1"/>
  <c r="R447" i="1"/>
  <c r="Q448" i="1"/>
  <c r="R448" i="1"/>
  <c r="Q388" i="1"/>
  <c r="R388" i="1"/>
  <c r="Q424" i="1"/>
  <c r="R424" i="1"/>
  <c r="Q407" i="1"/>
  <c r="R407" i="1"/>
  <c r="Q425" i="1"/>
  <c r="R425" i="1"/>
  <c r="Q426" i="1"/>
  <c r="R426" i="1"/>
  <c r="Q408" i="1"/>
  <c r="R408" i="1"/>
  <c r="Q427" i="1"/>
  <c r="R427" i="1"/>
  <c r="Q428" i="1"/>
  <c r="R428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Q650" i="1"/>
  <c r="R650" i="1"/>
  <c r="Q651" i="1"/>
  <c r="R651" i="1"/>
  <c r="Q652" i="1"/>
  <c r="R652" i="1"/>
  <c r="Q653" i="1"/>
  <c r="R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Q860" i="1"/>
  <c r="R860" i="1"/>
  <c r="Q861" i="1"/>
  <c r="R861" i="1"/>
  <c r="Q862" i="1"/>
  <c r="R862" i="1"/>
  <c r="Q863" i="1"/>
  <c r="R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Q1072" i="1"/>
  <c r="R1072" i="1"/>
  <c r="Q1073" i="1"/>
  <c r="R1073" i="1"/>
  <c r="Q1074" i="1"/>
  <c r="R1074" i="1"/>
  <c r="Q1075" i="1"/>
  <c r="R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Q1276" i="1"/>
  <c r="R1276" i="1"/>
  <c r="Q1277" i="1"/>
  <c r="R1277" i="1"/>
  <c r="Q1278" i="1"/>
  <c r="R1278" i="1"/>
  <c r="Q1279" i="1"/>
  <c r="R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Q1379" i="1"/>
  <c r="R1379" i="1"/>
  <c r="Q1380" i="1"/>
  <c r="R1380" i="1"/>
  <c r="Q1381" i="1"/>
  <c r="R1381" i="1"/>
  <c r="Q1382" i="1"/>
  <c r="R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Q1583" i="1"/>
  <c r="R1583" i="1"/>
  <c r="Q1584" i="1"/>
  <c r="R1584" i="1"/>
  <c r="Q1585" i="1"/>
  <c r="R1585" i="1"/>
  <c r="Q1586" i="1"/>
  <c r="R1586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Q1796" i="1"/>
  <c r="R1796" i="1"/>
  <c r="Q1797" i="1"/>
  <c r="R1797" i="1"/>
  <c r="Q1798" i="1"/>
  <c r="R1798" i="1"/>
  <c r="Q1799" i="1"/>
  <c r="R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Q2001" i="1"/>
  <c r="R2001" i="1"/>
  <c r="Q2002" i="1"/>
  <c r="R2002" i="1"/>
  <c r="Q2003" i="1"/>
  <c r="R2003" i="1"/>
  <c r="Q2005" i="1"/>
  <c r="R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Q2206" i="1"/>
  <c r="R2206" i="1"/>
  <c r="Q2208" i="1"/>
  <c r="R2208" i="1"/>
</calcChain>
</file>

<file path=xl/sharedStrings.xml><?xml version="1.0" encoding="utf-8"?>
<sst xmlns="http://schemas.openxmlformats.org/spreadsheetml/2006/main" count="13351" uniqueCount="1782">
  <si>
    <t>#</t>
  </si>
  <si>
    <t>DE</t>
  </si>
  <si>
    <t>Starnet</t>
  </si>
  <si>
    <t>Traverse</t>
  </si>
  <si>
    <t>JobFile:</t>
  </si>
  <si>
    <t>210911JF</t>
  </si>
  <si>
    <t>Date:</t>
  </si>
  <si>
    <t>Time</t>
  </si>
  <si>
    <t>hrs</t>
  </si>
  <si>
    <t>TS16</t>
  </si>
  <si>
    <t>A</t>
  </si>
  <si>
    <t>1"</t>
  </si>
  <si>
    <t>R500</t>
  </si>
  <si>
    <t>Sr</t>
  </si>
  <si>
    <t>No.</t>
  </si>
  <si>
    <t>Operator:</t>
  </si>
  <si>
    <t>Station</t>
  </si>
  <si>
    <t>HZ</t>
  </si>
  <si>
    <t>VA</t>
  </si>
  <si>
    <t>SD</t>
  </si>
  <si>
    <t>HD</t>
  </si>
  <si>
    <t>I_Ht</t>
  </si>
  <si>
    <t>T_Ht</t>
  </si>
  <si>
    <t>Prism-Const</t>
  </si>
  <si>
    <t>ATR</t>
  </si>
  <si>
    <t>Scale-at-Central-Meridian</t>
  </si>
  <si>
    <t>EDM-Meas-Mode</t>
  </si>
  <si>
    <t>Tilt-T"</t>
  </si>
  <si>
    <t>Tilt-L"</t>
  </si>
  <si>
    <t>Temp:</t>
  </si>
  <si>
    <t>Humidity:</t>
  </si>
  <si>
    <t>Pressure:</t>
  </si>
  <si>
    <t>1016.00mbar</t>
  </si>
  <si>
    <t>Atmosph.Correction:</t>
  </si>
  <si>
    <t>6(PPM)</t>
  </si>
  <si>
    <t>Geom.Correction:</t>
  </si>
  <si>
    <t>-159(PPM)</t>
  </si>
  <si>
    <t>0.9998409795(scale)</t>
  </si>
  <si>
    <t>Ref.</t>
  </si>
  <si>
    <t>Coefficient:</t>
  </si>
  <si>
    <t>Atmospheric</t>
  </si>
  <si>
    <t>Correction</t>
  </si>
  <si>
    <t>(ppm):</t>
  </si>
  <si>
    <t>Geometric</t>
  </si>
  <si>
    <t>Correction:</t>
  </si>
  <si>
    <t>Scale</t>
  </si>
  <si>
    <t>DB</t>
  </si>
  <si>
    <t>KA23</t>
  </si>
  <si>
    <t>DM</t>
  </si>
  <si>
    <t>KA22</t>
  </si>
  <si>
    <t>Round</t>
  </si>
  <si>
    <t>Prism</t>
  </si>
  <si>
    <t>On</t>
  </si>
  <si>
    <t>Standard</t>
  </si>
  <si>
    <t>KA19</t>
  </si>
  <si>
    <t>-179(PPM)</t>
  </si>
  <si>
    <t>0.9998212713(scale)</t>
  </si>
  <si>
    <t>KA24A</t>
  </si>
  <si>
    <t>KAR08</t>
  </si>
  <si>
    <t>Tape</t>
  </si>
  <si>
    <t>Off</t>
  </si>
  <si>
    <t>KAR06</t>
  </si>
  <si>
    <t>SHAFTP</t>
  </si>
  <si>
    <t>T1000</t>
  </si>
  <si>
    <t>T5000</t>
  </si>
  <si>
    <t>KA20</t>
  </si>
  <si>
    <t>T1001</t>
  </si>
  <si>
    <t>Unknown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</si>
  <si>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</si>
  <si>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</si>
  <si>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</si>
  <si>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</si>
  <si>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</si>
  <si>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</si>
  <si>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</si>
  <si>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</si>
  <si>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</si>
  <si>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</si>
  <si>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</si>
  <si>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</si>
  <si>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</si>
  <si>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</si>
  <si>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</si>
  <si>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</si>
  <si>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</si>
  <si>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</si>
  <si>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</si>
  <si>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</si>
  <si>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</si>
  <si>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</si>
  <si>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</si>
  <si>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</si>
  <si>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</si>
  <si>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</si>
  <si>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</si>
  <si>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</si>
  <si>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</si>
  <si>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</si>
  <si>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</si>
  <si>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</si>
  <si>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</si>
  <si>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</si>
  <si>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</si>
  <si>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</si>
  <si>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</si>
  <si>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</si>
  <si>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</si>
  <si>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</si>
  <si>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</si>
  <si>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</si>
  <si>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</si>
  <si>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</si>
  <si>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</si>
  <si>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</si>
  <si>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</si>
  <si>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</si>
  <si>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</si>
  <si>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</si>
  <si>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</si>
  <si>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</si>
  <si>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</si>
  <si>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</si>
  <si>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</si>
  <si>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</si>
  <si>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</si>
  <si>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</si>
  <si>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</si>
  <si>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</si>
  <si>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</si>
  <si>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</si>
  <si>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</si>
  <si>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</si>
  <si>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</si>
  <si>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</si>
  <si>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</si>
  <si>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</si>
  <si>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</si>
  <si>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</si>
  <si>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</si>
  <si>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</si>
  <si>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</si>
  <si>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</si>
  <si>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</si>
  <si>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</si>
  <si>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</si>
  <si>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</si>
  <si>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</si>
  <si>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</si>
  <si>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</si>
  <si>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</si>
  <si>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</si>
  <si>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</si>
  <si>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</si>
  <si>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</si>
  <si>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</si>
  <si>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</si>
  <si>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</si>
  <si>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</si>
  <si>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</si>
  <si>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</si>
  <si>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</si>
  <si>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</si>
  <si>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</si>
  <si>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</si>
  <si>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</si>
  <si>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</si>
  <si>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</si>
  <si>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</si>
  <si>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</si>
  <si>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</si>
  <si>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</si>
  <si>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</si>
  <si>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</si>
  <si>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</si>
  <si>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</si>
  <si>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</si>
  <si>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</si>
  <si>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</si>
  <si>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</si>
  <si>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</si>
  <si>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</si>
  <si>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</si>
  <si>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</si>
  <si>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</si>
  <si>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</si>
  <si>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</si>
  <si>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</si>
  <si>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</si>
  <si>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</si>
  <si>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</si>
  <si>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</si>
  <si>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</si>
  <si>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</si>
  <si>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</si>
  <si>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</si>
  <si>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</si>
  <si>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</si>
  <si>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</si>
  <si>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</si>
  <si>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</si>
  <si>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</si>
  <si>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</si>
  <si>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</si>
  <si>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</si>
  <si>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</si>
  <si>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</si>
  <si>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</si>
  <si>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</si>
  <si>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</si>
  <si>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</si>
  <si>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</si>
  <si>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</si>
  <si>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</si>
  <si>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</si>
  <si>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</si>
  <si>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</si>
  <si>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</si>
  <si>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</si>
  <si>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</si>
  <si>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</si>
  <si>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</si>
  <si>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</si>
  <si>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</si>
  <si>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</si>
  <si>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</si>
  <si>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</si>
  <si>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</si>
  <si>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</si>
  <si>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</si>
  <si>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</si>
  <si>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</si>
  <si>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</si>
  <si>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</si>
  <si>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</si>
  <si>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</si>
  <si>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</si>
  <si>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</si>
  <si>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</si>
  <si>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</si>
  <si>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</si>
  <si>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</si>
  <si>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</si>
  <si>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</si>
  <si>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</si>
  <si>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</si>
  <si>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</si>
  <si>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</si>
  <si>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</si>
  <si>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</si>
  <si>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</si>
  <si>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</si>
  <si>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</si>
  <si>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</si>
  <si>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</si>
  <si>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</si>
  <si>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</si>
  <si>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</si>
  <si>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</si>
  <si>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</si>
  <si>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</si>
  <si>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</si>
  <si>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</si>
  <si>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</si>
  <si>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</si>
  <si>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</si>
  <si>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</si>
  <si>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</si>
  <si>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</si>
  <si>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</si>
  <si>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</si>
  <si>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</si>
  <si>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</si>
  <si>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</si>
  <si>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</si>
  <si>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</si>
  <si>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</si>
  <si>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</si>
  <si>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</si>
  <si>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</si>
  <si>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</si>
  <si>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</si>
  <si>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</si>
  <si>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</si>
  <si>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</si>
  <si>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</si>
  <si>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</si>
  <si>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</si>
  <si>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</si>
  <si>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</si>
  <si>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</si>
  <si>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</si>
  <si>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</si>
  <si>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</si>
  <si>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</si>
  <si>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</si>
  <si>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</si>
  <si>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</si>
  <si>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</si>
  <si>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</si>
  <si>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</si>
  <si>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</si>
  <si>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</si>
  <si>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</si>
  <si>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</si>
  <si>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</si>
  <si>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</si>
  <si>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</si>
  <si>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</si>
  <si>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</si>
  <si>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</si>
  <si>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</si>
  <si>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</si>
  <si>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</si>
  <si>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</si>
  <si>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</si>
  <si>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</si>
  <si>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</si>
  <si>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</si>
  <si>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</si>
  <si>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</si>
  <si>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</si>
  <si>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</si>
  <si>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</si>
  <si>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</si>
  <si>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</si>
  <si>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</si>
  <si>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</si>
  <si>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</si>
  <si>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</si>
  <si>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</si>
  <si>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</si>
  <si>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</si>
  <si>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</si>
  <si>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</si>
  <si>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</si>
  <si>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</si>
  <si>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</si>
  <si>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</si>
  <si>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</si>
  <si>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</si>
  <si>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</si>
  <si>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</si>
  <si>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</si>
  <si>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</si>
  <si>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</si>
  <si>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</si>
  <si>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</si>
  <si>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</si>
  <si>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</si>
  <si>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</si>
  <si>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</si>
  <si>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</si>
  <si>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</si>
  <si>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</si>
  <si>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</si>
  <si>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</si>
  <si>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</si>
  <si>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</si>
  <si>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</si>
  <si>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</si>
  <si>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</si>
  <si>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</si>
  <si>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</si>
  <si>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</si>
  <si>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</si>
  <si>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</si>
  <si>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</si>
  <si>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</si>
  <si>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</si>
  <si>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</si>
  <si>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</si>
  <si>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</si>
  <si>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</si>
  <si>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</si>
  <si>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</si>
  <si>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</si>
  <si>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</si>
  <si>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</si>
  <si>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</si>
  <si>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</si>
  <si>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</si>
  <si>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</si>
  <si>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</si>
  <si>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</si>
  <si>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</si>
  <si>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</si>
  <si>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</si>
  <si>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</si>
  <si>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</si>
  <si>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</si>
  <si>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</si>
  <si>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</si>
  <si>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</si>
  <si>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</si>
  <si>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</si>
  <si>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</si>
  <si>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</si>
  <si>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</si>
  <si>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</si>
  <si>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</si>
  <si>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</si>
  <si>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</si>
  <si>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</si>
  <si>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</si>
  <si>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</si>
  <si>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</si>
  <si>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</si>
  <si>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</si>
  <si>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</si>
  <si>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</si>
  <si>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</si>
  <si>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</si>
  <si>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</si>
  <si>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</si>
  <si>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</si>
  <si>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</si>
  <si>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</si>
  <si>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</si>
  <si>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</si>
  <si>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</si>
  <si>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</si>
  <si>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</si>
  <si>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</si>
  <si>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</si>
  <si>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</si>
  <si>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</si>
  <si>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</si>
  <si>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</si>
  <si>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</si>
  <si>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</si>
  <si>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</si>
  <si>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</si>
  <si>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</si>
  <si>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</si>
  <si>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</si>
  <si>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</si>
  <si>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</si>
  <si>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</si>
  <si>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</si>
  <si>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</si>
  <si>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</si>
  <si>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</si>
  <si>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</si>
  <si>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</si>
  <si>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</si>
  <si>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</si>
  <si>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</si>
  <si>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</si>
  <si>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</si>
  <si>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</si>
  <si>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</si>
  <si>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</si>
  <si>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</si>
  <si>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</si>
  <si>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</si>
  <si>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</si>
  <si>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</si>
  <si>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</si>
  <si>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</si>
  <si>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</si>
  <si>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</si>
  <si>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</si>
  <si>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</si>
  <si>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</si>
  <si>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</si>
  <si>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</si>
  <si>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</si>
  <si>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</si>
  <si>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</si>
  <si>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</si>
  <si>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</si>
  <si>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</si>
  <si>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</si>
  <si>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</si>
  <si>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</si>
  <si>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</si>
  <si>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</si>
  <si>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</si>
  <si>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</si>
  <si>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</si>
  <si>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</si>
  <si>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</si>
  <si>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</si>
  <si>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</si>
  <si>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</si>
  <si>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</si>
  <si>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</si>
  <si>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</si>
  <si>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</si>
  <si>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</si>
  <si>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</si>
  <si>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</si>
  <si>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</si>
  <si>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</si>
  <si>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</si>
  <si>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</si>
  <si>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</si>
  <si>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</si>
  <si>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</si>
  <si>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</si>
  <si>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</si>
  <si>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</si>
  <si>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</si>
  <si>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</si>
  <si>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</si>
  <si>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</si>
  <si>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</si>
  <si>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</si>
  <si>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</si>
  <si>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</si>
  <si>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</si>
  <si>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</si>
  <si>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</si>
  <si>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</si>
  <si>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</si>
  <si>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</si>
  <si>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</si>
  <si>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</si>
  <si>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</si>
  <si>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</si>
  <si>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</si>
  <si>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</si>
  <si>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</si>
  <si>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</si>
  <si>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</si>
  <si>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</si>
  <si>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</si>
  <si>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</si>
  <si>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</si>
  <si>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</si>
  <si>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</si>
  <si>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</si>
  <si>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</si>
  <si>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</si>
  <si>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</si>
  <si>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</si>
  <si>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</si>
  <si>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</si>
  <si>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</si>
  <si>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</si>
  <si>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</si>
  <si>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</si>
  <si>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</si>
  <si>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</si>
  <si>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</si>
  <si>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</si>
  <si>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</si>
  <si>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</si>
  <si>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</si>
  <si>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</si>
  <si>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</si>
  <si>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</si>
  <si>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</si>
  <si>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</si>
  <si>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</si>
  <si>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</si>
  <si>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</si>
  <si>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</si>
  <si>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</si>
  <si>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</si>
  <si>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</si>
  <si>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</si>
  <si>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</si>
  <si>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</si>
  <si>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</si>
  <si>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</si>
  <si>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</si>
  <si>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</si>
  <si>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</si>
  <si>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</si>
  <si>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</si>
  <si>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</si>
  <si>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</si>
  <si>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</si>
  <si>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</si>
  <si>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</si>
  <si>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</si>
  <si>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</si>
  <si>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</si>
  <si>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</si>
  <si>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</si>
  <si>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</si>
  <si>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</si>
  <si>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</si>
  <si>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</si>
  <si>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</si>
  <si>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</si>
  <si>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</si>
  <si>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</si>
  <si>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</si>
  <si>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</si>
  <si>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</si>
  <si>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</si>
  <si>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</si>
  <si>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</si>
  <si>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</si>
  <si>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</si>
  <si>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</si>
  <si>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</si>
  <si>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</si>
  <si>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</si>
  <si>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</si>
  <si>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</si>
  <si>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</si>
  <si>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</si>
  <si>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</si>
  <si>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</si>
  <si>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</si>
  <si>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</si>
  <si>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</si>
  <si>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</si>
  <si>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</si>
  <si>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</si>
  <si>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</si>
  <si>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</si>
  <si>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</si>
  <si>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</si>
  <si>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</si>
  <si>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</si>
  <si>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</si>
  <si>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</si>
  <si>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</si>
  <si>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</si>
  <si>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</si>
  <si>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</si>
  <si>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</si>
  <si>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</si>
  <si>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</si>
  <si>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</si>
  <si>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</si>
  <si>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</si>
  <si>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</si>
  <si>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</si>
  <si>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</si>
  <si>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</si>
  <si>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</si>
  <si>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</si>
  <si>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</si>
  <si>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</si>
  <si>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</si>
  <si>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</si>
  <si>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</si>
  <si>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</si>
  <si>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</si>
  <si>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</si>
  <si>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</si>
  <si>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</si>
  <si>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</si>
  <si>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</si>
  <si>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</si>
  <si>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</si>
  <si>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</si>
  <si>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</si>
  <si>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</si>
  <si>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</si>
  <si>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</si>
  <si>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</si>
  <si>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</si>
  <si>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</si>
  <si>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</si>
  <si>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</si>
  <si>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</si>
  <si>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</si>
  <si>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</si>
  <si>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</si>
  <si>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</si>
  <si>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</si>
  <si>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</si>
  <si>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</si>
  <si>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</si>
  <si>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</si>
  <si>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</si>
  <si>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</si>
  <si>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</si>
  <si>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</si>
  <si>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</si>
  <si>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</si>
  <si>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</si>
  <si>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</si>
  <si>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</si>
  <si>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</si>
  <si>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</si>
  <si>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</si>
  <si>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</si>
  <si>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</si>
  <si>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</si>
  <si>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</si>
  <si>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</si>
  <si>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</si>
  <si>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</si>
  <si>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</si>
  <si>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</si>
  <si>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</si>
  <si>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</si>
  <si>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</si>
  <si>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</si>
  <si>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</si>
  <si>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</si>
  <si>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</si>
  <si>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</si>
  <si>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</si>
  <si>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</si>
  <si>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</si>
  <si>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</si>
  <si>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</si>
  <si>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</si>
  <si>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</si>
  <si>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</si>
  <si>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</si>
  <si>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</si>
  <si>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</si>
  <si>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</si>
  <si>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</si>
  <si>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</si>
  <si>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</si>
  <si>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</si>
  <si>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</si>
  <si>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</si>
  <si>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</si>
  <si>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</si>
  <si>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</si>
  <si>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</si>
  <si>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</si>
  <si>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</si>
  <si>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</si>
  <si>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</si>
  <si>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</si>
  <si>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</si>
  <si>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</si>
  <si>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</si>
  <si>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</si>
  <si>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</si>
  <si>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</si>
  <si>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</si>
  <si>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</si>
  <si>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</si>
  <si>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</si>
  <si>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</si>
  <si>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</si>
  <si>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</si>
  <si>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</si>
  <si>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</si>
  <si>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</si>
  <si>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</si>
  <si>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</si>
  <si>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</si>
  <si>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</si>
  <si>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</si>
  <si>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</si>
  <si>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</si>
  <si>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</si>
  <si>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</si>
  <si>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</si>
  <si>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</si>
  <si>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</si>
  <si>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</si>
  <si>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</si>
  <si>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</si>
  <si>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</si>
  <si>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</si>
  <si>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</si>
  <si>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</si>
  <si>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</si>
  <si>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</si>
  <si>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</si>
  <si>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</si>
  <si>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</si>
  <si>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</si>
  <si>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</si>
  <si>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</si>
  <si>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</si>
  <si>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</si>
  <si>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</si>
  <si>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</si>
  <si>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</si>
  <si>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</si>
  <si>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</si>
  <si>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</si>
  <si>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</si>
  <si>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</si>
  <si>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</si>
  <si>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</si>
  <si>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</si>
  <si>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</si>
  <si>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</si>
  <si>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</si>
  <si>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</si>
  <si>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</si>
  <si>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</si>
  <si>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</si>
  <si>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</si>
  <si>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</si>
  <si>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</si>
  <si>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</si>
  <si>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</si>
  <si>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</si>
  <si>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</si>
  <si>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</si>
  <si>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</si>
  <si>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</si>
  <si>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</si>
  <si>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</si>
  <si>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</si>
  <si>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</si>
  <si>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</si>
  <si>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</si>
  <si>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</si>
  <si>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</si>
  <si>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</si>
  <si>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</si>
  <si>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</si>
  <si>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</si>
  <si>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</si>
  <si>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</si>
  <si>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</si>
  <si>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</si>
  <si>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</si>
  <si>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</si>
  <si>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</si>
  <si>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</si>
  <si>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</si>
  <si>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</si>
  <si>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</si>
  <si>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</si>
  <si>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</si>
  <si>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</si>
  <si>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</si>
  <si>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</si>
  <si>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</si>
  <si>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</si>
  <si>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</si>
  <si>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</si>
  <si>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</si>
  <si>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</si>
  <si>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</si>
  <si>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</si>
  <si>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</si>
  <si>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</si>
  <si>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</si>
  <si>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</si>
  <si>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</si>
  <si>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</si>
  <si>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</si>
  <si>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</si>
  <si>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</si>
  <si>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</si>
  <si>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</si>
  <si>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</si>
  <si>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</si>
  <si>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</si>
  <si>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</si>
  <si>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</si>
  <si>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</si>
  <si>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</si>
  <si>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</si>
  <si>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</si>
  <si>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</si>
  <si>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</si>
  <si>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</si>
  <si>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</si>
  <si>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</si>
  <si>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</si>
  <si>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</si>
  <si>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</si>
  <si>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</si>
  <si>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</si>
  <si>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</si>
  <si>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</si>
  <si>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</si>
  <si>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</si>
  <si>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</si>
  <si>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</si>
  <si>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</si>
  <si>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</si>
  <si>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</si>
  <si>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</si>
  <si>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</si>
  <si>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</si>
  <si>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</si>
  <si>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</si>
  <si>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</si>
  <si>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</si>
  <si>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</si>
  <si>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</si>
  <si>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</si>
  <si>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</si>
  <si>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</si>
  <si>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</si>
  <si>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</si>
  <si>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</si>
  <si>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</si>
  <si>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</si>
  <si>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</si>
  <si>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</si>
  <si>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</si>
  <si>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</si>
  <si>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</si>
  <si>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</si>
  <si>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</si>
  <si>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</si>
  <si>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</si>
  <si>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</si>
  <si>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</si>
  <si>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</si>
  <si>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</si>
  <si>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</si>
  <si>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</si>
  <si>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</si>
  <si>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</si>
  <si>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</si>
  <si>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</si>
  <si>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</si>
  <si>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</si>
  <si>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</si>
  <si>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</si>
  <si>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</si>
  <si>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</si>
  <si>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</si>
  <si>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</si>
  <si>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</si>
  <si>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</si>
  <si>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</si>
  <si>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</si>
  <si>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</si>
  <si>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</si>
  <si>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</si>
  <si>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</si>
  <si>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</si>
  <si>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</si>
  <si>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</si>
  <si>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</si>
  <si>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</si>
  <si>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</si>
  <si>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</si>
  <si>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</si>
  <si>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</si>
  <si>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</si>
  <si>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</si>
  <si>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</si>
  <si>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</si>
  <si>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</si>
  <si>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</si>
  <si>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</si>
  <si>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</si>
  <si>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</si>
  <si>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</si>
  <si>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</si>
  <si>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</si>
  <si>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</si>
  <si>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</si>
  <si>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</si>
  <si>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</si>
  <si>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</si>
  <si>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</si>
  <si>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</si>
  <si>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</si>
  <si>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</si>
  <si>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</si>
  <si>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</si>
  <si>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</si>
  <si>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</si>
  <si>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</si>
  <si>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</si>
  <si>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</si>
  <si>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</si>
  <si>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</si>
  <si>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</si>
  <si>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</si>
  <si>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</si>
  <si>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</si>
  <si>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</si>
  <si>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</si>
  <si>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</si>
  <si>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</si>
  <si>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</si>
  <si>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</si>
  <si>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</si>
  <si>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</si>
  <si>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</si>
  <si>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</si>
  <si>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</si>
  <si>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</si>
  <si>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</si>
  <si>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</si>
  <si>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</si>
  <si>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</si>
  <si>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</si>
  <si>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</si>
  <si>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</si>
  <si>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</si>
  <si>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</si>
  <si>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</si>
  <si>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</si>
  <si>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</si>
  <si>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</si>
  <si>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</si>
  <si>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</si>
  <si>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</si>
  <si>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</si>
  <si>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</si>
  <si>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</si>
  <si>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</si>
  <si>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</si>
  <si>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</si>
  <si>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</si>
  <si>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</si>
  <si>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</si>
  <si>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</si>
  <si>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</si>
  <si>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</si>
  <si>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</si>
  <si>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</si>
  <si>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</si>
  <si>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</si>
  <si>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</si>
  <si>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</si>
  <si>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</si>
  <si>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</si>
  <si>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</si>
  <si>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</si>
  <si>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</si>
  <si>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</si>
  <si>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</si>
  <si>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</si>
  <si>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</si>
  <si>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</si>
  <si>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</si>
  <si>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</si>
  <si>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</si>
  <si>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</si>
  <si>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</si>
  <si>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</si>
  <si>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</si>
  <si>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</si>
  <si>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</si>
  <si>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</si>
  <si>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</si>
  <si>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</si>
  <si>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</si>
  <si>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</si>
  <si>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</si>
  <si>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</si>
  <si>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</si>
  <si>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</si>
  <si>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</si>
  <si>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</si>
  <si>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</si>
  <si>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</si>
  <si>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</si>
  <si>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</si>
  <si>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</si>
  <si>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</si>
  <si>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</si>
  <si>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</si>
  <si>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</si>
  <si>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</si>
  <si>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</si>
  <si>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</si>
  <si>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</si>
  <si>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</si>
  <si>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</si>
  <si>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</si>
  <si>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</si>
  <si>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</si>
  <si>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</si>
  <si>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</si>
  <si>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</si>
  <si>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</si>
  <si>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</si>
  <si>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</si>
  <si>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</si>
  <si>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</si>
  <si>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</si>
  <si>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</si>
  <si>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</si>
  <si>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</si>
  <si>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</si>
  <si>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</si>
  <si>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</si>
  <si>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</si>
  <si>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</si>
  <si>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</si>
  <si>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</si>
  <si>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</si>
  <si>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</si>
  <si>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</si>
  <si>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</si>
  <si>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</si>
  <si>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</si>
  <si>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</si>
  <si>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</si>
  <si>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</si>
  <si>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</si>
  <si>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</si>
  <si>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</si>
  <si>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</si>
  <si>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</si>
  <si>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</si>
  <si>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</si>
  <si>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</si>
  <si>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</si>
  <si>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</si>
  <si>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</si>
  <si>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</si>
  <si>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</si>
  <si>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</si>
  <si>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</si>
  <si>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</si>
  <si>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</si>
  <si>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</si>
  <si>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</si>
  <si>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</si>
  <si>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</si>
  <si>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</si>
  <si>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</si>
  <si>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</si>
  <si>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</si>
  <si>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</si>
  <si>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</si>
  <si>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</si>
  <si>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</si>
  <si>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</si>
  <si>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</si>
  <si>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</si>
  <si>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</si>
  <si>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</si>
  <si>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</si>
  <si>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</si>
  <si>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</si>
  <si>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</si>
  <si>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</si>
  <si>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</si>
  <si>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</si>
  <si>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</si>
  <si>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</si>
  <si>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</si>
  <si>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</si>
  <si>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</si>
  <si>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</si>
  <si>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</si>
  <si>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</si>
  <si>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</si>
  <si>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</si>
  <si>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</si>
  <si>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</si>
  <si>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</si>
  <si>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</si>
  <si>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</si>
  <si>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</si>
  <si>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</si>
  <si>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</si>
  <si>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</si>
  <si>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</si>
  <si>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</si>
  <si>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</si>
  <si>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</si>
  <si>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</si>
  <si>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</si>
  <si>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</si>
  <si>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</si>
  <si>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</si>
  <si>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</si>
  <si>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</si>
  <si>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</si>
  <si>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</si>
  <si>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</si>
  <si>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</si>
  <si>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</si>
  <si>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</si>
  <si>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</si>
  <si>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</si>
  <si>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</si>
  <si>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</si>
  <si>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</si>
  <si>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</si>
  <si>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</si>
  <si>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</si>
  <si>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</si>
  <si>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</si>
  <si>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</si>
  <si>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</si>
  <si>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</si>
  <si>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</si>
  <si>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</si>
  <si>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</si>
  <si>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</si>
  <si>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</si>
  <si>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</si>
  <si>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</si>
  <si>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</si>
  <si>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</si>
  <si>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</si>
  <si>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</si>
  <si>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</si>
  <si>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</si>
  <si>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</si>
  <si>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</si>
  <si>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</si>
  <si>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</si>
  <si>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</si>
  <si>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</si>
  <si>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</si>
  <si>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</si>
  <si>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</si>
  <si>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</si>
  <si>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</si>
  <si>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</si>
  <si>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</si>
  <si>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</si>
  <si>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</si>
  <si>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</si>
  <si>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</si>
  <si>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</si>
  <si>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</si>
  <si>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</si>
  <si>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</si>
  <si>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</si>
  <si>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</si>
  <si>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</si>
  <si>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</si>
  <si>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</si>
  <si>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</si>
  <si>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</si>
  <si>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</si>
  <si>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</si>
  <si>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</si>
  <si>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</si>
  <si>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</si>
  <si>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</si>
  <si>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</si>
  <si>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</si>
  <si>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</si>
  <si>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</si>
  <si>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</si>
  <si>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</si>
  <si>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</si>
  <si>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</si>
  <si>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</si>
  <si>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</si>
  <si>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</si>
  <si>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</si>
  <si>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</si>
  <si>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</si>
  <si>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</si>
  <si>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</si>
  <si>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</si>
  <si>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</si>
  <si>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</si>
  <si>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</si>
  <si>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</si>
  <si>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</si>
  <si>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</si>
  <si>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</si>
  <si>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</si>
  <si>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</si>
  <si>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</si>
  <si>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</si>
  <si>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</si>
  <si>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</si>
  <si>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</si>
  <si>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</si>
  <si>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</si>
  <si>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</si>
  <si>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</si>
  <si>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</si>
  <si>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</si>
  <si>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</si>
  <si>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</si>
  <si>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</si>
  <si>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</si>
  <si>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</si>
  <si>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</si>
  <si>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</si>
  <si>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</si>
  <si>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</si>
  <si>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</si>
  <si>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</si>
  <si>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</si>
  <si>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</si>
  <si>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</si>
  <si>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</si>
  <si>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</si>
  <si>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</si>
  <si>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</si>
  <si>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</si>
  <si>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</si>
  <si>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</si>
  <si>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</si>
  <si>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</si>
  <si>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</si>
  <si>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</si>
  <si>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</si>
  <si>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</si>
  <si>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</si>
  <si>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</si>
  <si>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</si>
  <si>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</si>
  <si>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</si>
  <si>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</si>
  <si>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</si>
  <si>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</si>
  <si>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</si>
  <si>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</si>
  <si>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</si>
  <si>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</si>
  <si>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</si>
  <si>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</si>
  <si>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</si>
  <si>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</si>
  <si>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</si>
  <si>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</si>
  <si>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</si>
  <si>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</si>
  <si>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</si>
  <si>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</si>
  <si>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</si>
  <si>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</si>
  <si>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</si>
  <si>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</si>
  <si>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</si>
  <si>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</si>
  <si>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</si>
  <si>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</si>
  <si>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</si>
  <si>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</si>
  <si>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</si>
  <si>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</si>
  <si>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</si>
  <si>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</si>
  <si>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</si>
  <si>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</si>
  <si>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</si>
  <si>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</si>
  <si>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</si>
  <si>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</si>
  <si>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</si>
  <si>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</si>
  <si>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</si>
  <si>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</si>
  <si>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</si>
  <si>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</si>
  <si>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</si>
  <si>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</si>
  <si>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</si>
  <si>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</si>
  <si>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</si>
  <si>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</si>
  <si>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</si>
  <si>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</si>
  <si>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</si>
  <si>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</si>
  <si>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</si>
  <si>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</si>
  <si>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</si>
  <si>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</si>
  <si>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</si>
  <si>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</si>
  <si>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</si>
  <si>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</si>
  <si>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</si>
  <si>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</si>
  <si>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</si>
  <si>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</si>
  <si>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</si>
  <si>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</si>
  <si>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</si>
  <si>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</si>
  <si>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</si>
  <si>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</si>
  <si>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</si>
  <si>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</si>
  <si>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</si>
  <si>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</si>
  <si>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</si>
  <si>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</si>
  <si>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</si>
  <si>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</si>
  <si>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</si>
  <si>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</si>
  <si>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</si>
  <si>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</si>
  <si>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</si>
  <si>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</si>
  <si>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</si>
  <si>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</si>
  <si>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</si>
  <si>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</si>
  <si>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</si>
  <si>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</si>
  <si>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</si>
  <si>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</si>
  <si>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</si>
  <si>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</si>
  <si>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</si>
  <si>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</si>
  <si>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</si>
  <si>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</si>
  <si>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</si>
  <si>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</si>
  <si>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</si>
  <si>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</si>
  <si>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</si>
  <si>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</si>
  <si>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</si>
  <si>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</si>
  <si>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</si>
  <si>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</si>
  <si>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</si>
  <si>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</si>
  <si>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</si>
  <si>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</si>
  <si>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</si>
  <si>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</si>
  <si>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</si>
  <si>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</si>
  <si>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</si>
  <si>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</si>
  <si>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</si>
  <si>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</si>
  <si>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</si>
  <si>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</si>
  <si>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</si>
  <si>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</si>
  <si>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</si>
  <si>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</si>
  <si>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</si>
  <si>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</si>
  <si>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</si>
  <si>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</si>
  <si>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</si>
  <si>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</si>
  <si>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</si>
  <si>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</si>
  <si>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</si>
  <si>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</si>
  <si>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</si>
  <si>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</si>
  <si>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</si>
  <si>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</si>
  <si>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</si>
  <si>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</si>
  <si>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</si>
  <si>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</si>
  <si>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</si>
  <si>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</si>
  <si>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</si>
  <si>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</si>
  <si>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</si>
  <si>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</si>
  <si>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</si>
  <si>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</si>
  <si>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</si>
  <si>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</si>
  <si>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</si>
  <si>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</si>
  <si>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</si>
  <si>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</si>
  <si>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</si>
  <si>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</si>
  <si>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</si>
  <si>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</si>
  <si>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</si>
  <si>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</si>
  <si>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</si>
  <si>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</si>
  <si>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</si>
  <si>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</si>
  <si>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</si>
  <si>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</si>
  <si>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</si>
  <si>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</si>
  <si>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</si>
  <si>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</si>
  <si>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</si>
  <si>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</si>
  <si>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</si>
  <si>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</si>
  <si>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</si>
  <si>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</si>
  <si>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</si>
  <si>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</si>
  <si>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</si>
  <si>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</si>
  <si>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</si>
  <si>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</si>
  <si>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</si>
  <si>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</si>
  <si>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</si>
  <si>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</si>
  <si>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</si>
  <si>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</si>
  <si>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</si>
  <si>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</si>
  <si>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</si>
  <si>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</si>
  <si>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</si>
  <si>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</si>
  <si>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</si>
  <si>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</si>
  <si>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</si>
  <si>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</si>
  <si>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</si>
  <si>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</si>
  <si>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</si>
  <si>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</si>
  <si>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</si>
  <si>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</si>
  <si>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</si>
  <si>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</si>
  <si>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</si>
  <si>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</si>
  <si>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</si>
  <si>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</si>
  <si>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</si>
  <si>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</si>
  <si>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</si>
  <si>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</si>
  <si>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</si>
  <si>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</si>
  <si>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</si>
  <si>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</si>
  <si>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</si>
  <si>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</si>
  <si>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</si>
  <si>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</si>
  <si>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</si>
  <si>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</si>
  <si>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</si>
  <si>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</si>
  <si>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</si>
  <si>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</si>
  <si>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</si>
  <si>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</si>
  <si>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</si>
  <si>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</si>
  <si>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</si>
  <si>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</si>
  <si>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</si>
  <si>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</si>
  <si>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</si>
  <si>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</si>
  <si>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</si>
  <si>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</si>
  <si>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</si>
  <si>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</si>
  <si>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</si>
  <si>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</si>
  <si>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</si>
  <si>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</si>
  <si>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</si>
  <si>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</si>
  <si>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</si>
  <si>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</si>
  <si>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</si>
  <si>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</si>
  <si>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</si>
  <si>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</si>
  <si>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</si>
  <si>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</si>
  <si>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</si>
  <si>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</si>
  <si>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</si>
  <si>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</si>
  <si>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</si>
  <si>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</si>
  <si>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</si>
  <si>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</si>
  <si>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</si>
  <si>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</si>
  <si>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</si>
  <si>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</si>
  <si>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</si>
  <si>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</si>
  <si>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</si>
  <si>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</si>
  <si>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</si>
  <si>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</si>
  <si>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</si>
  <si>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</si>
  <si>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</si>
  <si>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</si>
  <si>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</si>
  <si>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</si>
  <si>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</si>
  <si>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</si>
  <si>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</si>
  <si>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</si>
  <si>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</si>
  <si>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</si>
  <si>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</si>
  <si>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</si>
  <si>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</si>
  <si>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</si>
  <si>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</si>
  <si>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</si>
  <si>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</si>
  <si>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</si>
  <si>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</si>
  <si>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</si>
  <si>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</si>
  <si>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</si>
  <si>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</si>
  <si>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</si>
  <si>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</si>
  <si>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</si>
  <si>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</si>
  <si>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</si>
  <si>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</si>
  <si>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</si>
  <si>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</si>
  <si>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</si>
  <si>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</si>
  <si>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</si>
  <si>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</si>
  <si>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</si>
  <si>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</si>
  <si>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</si>
  <si>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</si>
  <si>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</si>
  <si>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</si>
  <si>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</si>
  <si>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</si>
  <si>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</si>
  <si>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</si>
  <si>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</si>
  <si>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</si>
  <si>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</si>
  <si>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</si>
  <si>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</si>
  <si>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</si>
  <si>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</si>
  <si>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</si>
  <si>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</si>
  <si>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</si>
  <si>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</si>
  <si>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</si>
  <si>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</si>
  <si>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</si>
  <si>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</si>
  <si>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</si>
  <si>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</si>
  <si>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</si>
  <si>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</si>
  <si>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</si>
  <si>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</si>
  <si>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</si>
  <si>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</si>
  <si>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</si>
  <si>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</si>
  <si>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</si>
  <si>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</si>
  <si>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</si>
  <si>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</si>
  <si>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</si>
  <si>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</si>
  <si>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</si>
  <si>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</si>
  <si>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</si>
  <si>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</si>
  <si>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</si>
  <si>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</si>
  <si>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</si>
  <si>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</si>
  <si>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</si>
  <si>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</si>
  <si>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</si>
  <si>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</si>
  <si>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</si>
  <si>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</si>
  <si>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</si>
  <si>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</si>
  <si>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</si>
  <si>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</si>
  <si>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</si>
  <si>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</si>
  <si>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</si>
  <si>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</si>
  <si>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</si>
  <si>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</si>
  <si>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</si>
  <si>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</si>
  <si>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</si>
  <si>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</si>
  <si>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</si>
  <si>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</si>
  <si>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</si>
  <si>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</si>
  <si>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</si>
  <si>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</si>
  <si>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</si>
  <si>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</si>
  <si>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</si>
  <si>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</si>
  <si>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</si>
  <si>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</si>
  <si>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</si>
  <si>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</si>
  <si>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</si>
  <si>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</si>
  <si>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</si>
  <si>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</si>
  <si>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</si>
  <si>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</si>
  <si>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</si>
  <si>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</si>
  <si>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</si>
  <si>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</si>
  <si>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</si>
  <si>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</si>
  <si>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</si>
  <si>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</si>
  <si>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</si>
  <si>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</si>
  <si>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</si>
  <si>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</si>
  <si>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</si>
  <si>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</si>
  <si>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</si>
  <si>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</si>
  <si>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</si>
  <si>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</si>
  <si>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</si>
  <si>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</si>
  <si>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</si>
  <si>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</si>
  <si>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</si>
  <si>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</si>
  <si>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</si>
  <si>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</si>
  <si>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</si>
  <si>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</si>
  <si>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</si>
  <si>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</si>
  <si>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</si>
  <si>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</si>
  <si>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</si>
  <si>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</si>
  <si>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</si>
  <si>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</si>
  <si>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</si>
  <si>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</si>
  <si>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</si>
  <si>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</si>
  <si>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</si>
  <si>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</si>
  <si>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</si>
  <si>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</si>
  <si>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</si>
  <si>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</si>
  <si>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</si>
  <si>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</si>
  <si>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</si>
  <si>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</si>
  <si>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</si>
  <si>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</si>
  <si>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</si>
  <si>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</si>
  <si>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</si>
  <si>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</si>
  <si>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</si>
  <si>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</si>
  <si>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</si>
  <si>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</si>
  <si>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</si>
  <si>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</si>
  <si>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</si>
  <si>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</si>
  <si>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</si>
  <si>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</si>
  <si>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</si>
  <si>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</si>
  <si>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</si>
  <si>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</si>
  <si>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</si>
  <si>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</si>
  <si>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</si>
  <si>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</si>
  <si>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</si>
  <si>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New start after wires were lifted up (ingnore previous data)</t>
  </si>
  <si>
    <t>Followed by survey to the wire</t>
  </si>
  <si>
    <t>sets of angle to main control point and the two wires (20 sets)</t>
  </si>
  <si>
    <t>sets of angles to main control points (10 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</si>
</sst>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8"/>
      <name val="Times New Roman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20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4"/>
  <sheetViews>
    <sheetView tabSelected="1" topLeftCell="A352" workbookViewId="0">
      <selection activeCell="I364" sqref="I364"/>
    </sheetView>
  </sheetViews>
  <sheetFormatPr defaultRowHeight="15.6" x14ac:dyDescent="0.3"/>
  <sheetData>
    <row r="1" spans="1:18" x14ac:dyDescent="0.3">
      <c r="A1" t="s">
        <v>0</v>
      </c>
      <c r="B1" t="s">
        <v>2</v>
      </c>
      <c r="C1" t="s">
        <v>3</v>
      </c>
    </row>
    <row r="3" spans="1:18" x14ac:dyDescent="0.3">
      <c r="A3" t="s">
        <v>0</v>
      </c>
      <c r="B3" t="s">
        <v>4</v>
      </c>
      <c r="C3" t="s">
        <v>5</v>
      </c>
      <c r="D3" t="s">
        <v>6</v>
      </c>
      <c r="E3" s="1">
        <v>44450</v>
      </c>
      <c r="F3" t="s">
        <v>7</v>
      </c>
      <c r="G3" s="2">
        <v>0.33958333333333335</v>
      </c>
      <c r="H3" t="s">
        <v>8</v>
      </c>
    </row>
    <row r="4" spans="1:18" x14ac:dyDescent="0.3">
      <c r="A4" t="s">
        <v>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3219361</v>
      </c>
    </row>
    <row r="5" spans="1:18" x14ac:dyDescent="0.3">
      <c r="A5" t="s">
        <v>0</v>
      </c>
      <c r="B5" t="s">
        <v>15</v>
      </c>
    </row>
    <row r="6" spans="1:18" x14ac:dyDescent="0.3">
      <c r="A6" t="s">
        <v>0</v>
      </c>
    </row>
    <row r="7" spans="1:18" x14ac:dyDescent="0.3">
      <c r="A7" t="s">
        <v>0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0</v>
      </c>
      <c r="J7" t="s">
        <v>0</v>
      </c>
      <c r="K7" t="s">
        <v>0</v>
      </c>
      <c r="L7" t="s">
        <v>23</v>
      </c>
      <c r="M7" t="s">
        <v>24</v>
      </c>
      <c r="N7" t="s">
        <v>25</v>
      </c>
      <c r="O7" t="s">
        <v>26</v>
      </c>
      <c r="P7" t="s">
        <v>7</v>
      </c>
      <c r="Q7" t="s">
        <v>27</v>
      </c>
      <c r="R7" t="s">
        <v>28</v>
      </c>
    </row>
    <row r="8" spans="1:18" x14ac:dyDescent="0.3">
      <c r="A8" t="s">
        <v>0</v>
      </c>
    </row>
    <row r="10" spans="1:18" x14ac:dyDescent="0.3">
      <c r="A10" t="s">
        <v>29</v>
      </c>
      <c r="B10">
        <v>19</v>
      </c>
      <c r="C10" t="s">
        <v>30</v>
      </c>
      <c r="D10" s="3">
        <v>0.7</v>
      </c>
      <c r="E10" t="s">
        <v>31</v>
      </c>
      <c r="F10" t="s">
        <v>32</v>
      </c>
      <c r="G10" t="s">
        <v>33</v>
      </c>
      <c r="H10" t="s">
        <v>34</v>
      </c>
    </row>
    <row r="11" spans="1:18" x14ac:dyDescent="0.3">
      <c r="A11" t="s">
        <v>35</v>
      </c>
      <c r="B11" t="s">
        <v>36</v>
      </c>
      <c r="C11" t="s">
        <v>35</v>
      </c>
      <c r="D11" t="s">
        <v>37</v>
      </c>
    </row>
    <row r="12" spans="1:18" x14ac:dyDescent="0.3">
      <c r="A12" t="s">
        <v>38</v>
      </c>
      <c r="B12" t="s">
        <v>39</v>
      </c>
      <c r="C12">
        <v>0.13</v>
      </c>
    </row>
    <row r="14" spans="1:18" x14ac:dyDescent="0.3">
      <c r="A14" t="s">
        <v>29</v>
      </c>
      <c r="B14">
        <v>19</v>
      </c>
      <c r="C14" t="s">
        <v>30</v>
      </c>
      <c r="D14" s="3">
        <v>0.7</v>
      </c>
      <c r="E14" t="s">
        <v>31</v>
      </c>
      <c r="F14" t="s">
        <v>32</v>
      </c>
      <c r="G14" t="s">
        <v>33</v>
      </c>
      <c r="H14" t="s">
        <v>34</v>
      </c>
    </row>
    <row r="15" spans="1:18" x14ac:dyDescent="0.3">
      <c r="A15" t="s">
        <v>35</v>
      </c>
      <c r="B15" t="s">
        <v>36</v>
      </c>
      <c r="C15" t="s">
        <v>35</v>
      </c>
      <c r="D15" t="s">
        <v>37</v>
      </c>
    </row>
    <row r="16" spans="1:18" x14ac:dyDescent="0.3">
      <c r="A16" t="s">
        <v>38</v>
      </c>
      <c r="B16" t="s">
        <v>39</v>
      </c>
      <c r="C16">
        <v>0.13</v>
      </c>
    </row>
    <row r="18" spans="1:18" x14ac:dyDescent="0.3">
      <c r="A18" t="s">
        <v>0</v>
      </c>
      <c r="B18" t="s">
        <v>40</v>
      </c>
      <c r="C18" t="s">
        <v>41</v>
      </c>
      <c r="D18" t="s">
        <v>42</v>
      </c>
      <c r="E18">
        <v>6</v>
      </c>
    </row>
    <row r="19" spans="1:18" x14ac:dyDescent="0.3">
      <c r="A19" t="s">
        <v>0</v>
      </c>
      <c r="B19" t="s">
        <v>43</v>
      </c>
      <c r="C19" t="s">
        <v>44</v>
      </c>
      <c r="D19">
        <v>-179</v>
      </c>
    </row>
    <row r="20" spans="1:18" x14ac:dyDescent="0.3">
      <c r="A20" t="s">
        <v>0</v>
      </c>
      <c r="B20" t="s">
        <v>43</v>
      </c>
      <c r="C20" t="s">
        <v>45</v>
      </c>
      <c r="D20" t="s">
        <v>44</v>
      </c>
      <c r="E20">
        <v>0.99982127129999998</v>
      </c>
    </row>
    <row r="24" spans="1:18" x14ac:dyDescent="0.3">
      <c r="A24" t="s">
        <v>46</v>
      </c>
      <c r="B24" s="4" t="s">
        <v>47</v>
      </c>
    </row>
    <row r="25" spans="1:18" x14ac:dyDescent="0.3">
      <c r="A25" t="s">
        <v>48</v>
      </c>
      <c r="B25" t="s">
        <v>49</v>
      </c>
      <c r="C25">
        <v>202.35008099999999</v>
      </c>
      <c r="D25">
        <v>99.288184999999999</v>
      </c>
      <c r="E25">
        <v>503</v>
      </c>
      <c r="F25">
        <v>502.87830000000002</v>
      </c>
      <c r="G25">
        <v>0.26100000000000001</v>
      </c>
      <c r="H25">
        <v>0</v>
      </c>
      <c r="I25" t="s">
        <v>0</v>
      </c>
      <c r="J25" t="s">
        <v>50</v>
      </c>
      <c r="K25" t="s">
        <v>51</v>
      </c>
      <c r="L25">
        <v>0</v>
      </c>
      <c r="M25" t="s">
        <v>52</v>
      </c>
      <c r="N25">
        <v>1</v>
      </c>
      <c r="O25" t="s">
        <v>53</v>
      </c>
      <c r="P25" s="2">
        <v>0.35625000000000001</v>
      </c>
      <c r="Q25">
        <f>-0.0007683231*3600</f>
        <v>-2.7659631600000001</v>
      </c>
      <c r="R25">
        <f>0.0000020409*3600</f>
        <v>7.3472399999999997E-3</v>
      </c>
    </row>
    <row r="26" spans="1:18" x14ac:dyDescent="0.3">
      <c r="A26" t="s">
        <v>48</v>
      </c>
      <c r="B26" t="s">
        <v>54</v>
      </c>
      <c r="C26">
        <v>341.80771600000003</v>
      </c>
      <c r="D26">
        <v>104.168617</v>
      </c>
      <c r="E26">
        <v>15.4016</v>
      </c>
      <c r="F26">
        <v>15.3658</v>
      </c>
      <c r="G26">
        <v>0.26100000000000001</v>
      </c>
      <c r="H26">
        <v>1.6479999999999999</v>
      </c>
      <c r="I26" t="s">
        <v>0</v>
      </c>
      <c r="J26" t="s">
        <v>50</v>
      </c>
      <c r="K26" t="s">
        <v>51</v>
      </c>
      <c r="L26">
        <v>0</v>
      </c>
      <c r="M26" t="s">
        <v>52</v>
      </c>
      <c r="N26">
        <v>1</v>
      </c>
      <c r="O26" t="s">
        <v>53</v>
      </c>
      <c r="P26" s="2">
        <v>0.35694444444444445</v>
      </c>
      <c r="Q26">
        <f>-0.0009023507*3600</f>
        <v>-3.2484625199999999</v>
      </c>
      <c r="R26">
        <f>-0.0001206363*3600</f>
        <v>-0.43429067999999998</v>
      </c>
    </row>
    <row r="27" spans="1:18" x14ac:dyDescent="0.3">
      <c r="A27" t="s">
        <v>29</v>
      </c>
      <c r="B27">
        <v>19</v>
      </c>
      <c r="C27" t="s">
        <v>30</v>
      </c>
      <c r="D27" s="3">
        <v>0.7</v>
      </c>
      <c r="E27" t="s">
        <v>31</v>
      </c>
      <c r="F27" t="s">
        <v>32</v>
      </c>
      <c r="G27" t="s">
        <v>33</v>
      </c>
      <c r="H27" t="s">
        <v>34</v>
      </c>
    </row>
    <row r="28" spans="1:18" x14ac:dyDescent="0.3">
      <c r="A28" t="s">
        <v>35</v>
      </c>
      <c r="B28" t="s">
        <v>55</v>
      </c>
      <c r="C28" t="s">
        <v>35</v>
      </c>
      <c r="D28" t="s">
        <v>56</v>
      </c>
    </row>
    <row r="29" spans="1:18" x14ac:dyDescent="0.3">
      <c r="A29" t="s">
        <v>38</v>
      </c>
      <c r="B29" t="s">
        <v>39</v>
      </c>
      <c r="C29">
        <v>0.13</v>
      </c>
    </row>
    <row r="31" spans="1:18" x14ac:dyDescent="0.3">
      <c r="A31" t="s">
        <v>0</v>
      </c>
      <c r="B31" t="s">
        <v>40</v>
      </c>
      <c r="C31" t="s">
        <v>41</v>
      </c>
      <c r="D31" t="s">
        <v>42</v>
      </c>
      <c r="E31">
        <v>6</v>
      </c>
    </row>
    <row r="32" spans="1:18" x14ac:dyDescent="0.3">
      <c r="A32" t="s">
        <v>0</v>
      </c>
      <c r="B32" t="s">
        <v>43</v>
      </c>
      <c r="C32" t="s">
        <v>44</v>
      </c>
      <c r="D32">
        <v>-179</v>
      </c>
    </row>
    <row r="33" spans="1:18" x14ac:dyDescent="0.3">
      <c r="A33" t="s">
        <v>0</v>
      </c>
      <c r="B33" t="s">
        <v>43</v>
      </c>
      <c r="C33" t="s">
        <v>45</v>
      </c>
      <c r="D33" t="s">
        <v>44</v>
      </c>
      <c r="E33">
        <v>0.99982127129999998</v>
      </c>
    </row>
    <row r="36" spans="1:18" s="8" customFormat="1" x14ac:dyDescent="0.3">
      <c r="A36" s="8" t="s">
        <v>1780</v>
      </c>
    </row>
    <row r="37" spans="1:18" x14ac:dyDescent="0.3">
      <c r="A37" t="s">
        <v>46</v>
      </c>
      <c r="B37" s="4" t="s">
        <v>47</v>
      </c>
    </row>
    <row r="38" spans="1:18" x14ac:dyDescent="0.3">
      <c r="A38" s="4" t="s">
        <v>47</v>
      </c>
      <c r="B38" t="s">
        <v>54</v>
      </c>
      <c r="C38">
        <v>341.80810300000002</v>
      </c>
      <c r="D38">
        <v>104.16795399999999</v>
      </c>
      <c r="E38">
        <v>15.4016</v>
      </c>
      <c r="F38">
        <v>15.3659</v>
      </c>
      <c r="G38">
        <v>0.26100000000000001</v>
      </c>
      <c r="H38">
        <v>1.6479999999999999</v>
      </c>
      <c r="I38" t="s">
        <v>0</v>
      </c>
      <c r="J38" t="s">
        <v>50</v>
      </c>
      <c r="K38" t="s">
        <v>51</v>
      </c>
      <c r="L38">
        <v>0</v>
      </c>
      <c r="M38" t="s">
        <v>52</v>
      </c>
      <c r="N38">
        <v>1</v>
      </c>
      <c r="O38" t="s">
        <v>53</v>
      </c>
      <c r="P38" s="2">
        <v>0.36458333333333331</v>
      </c>
      <c r="Q38">
        <f>-0.0001191163*3600</f>
        <v>-0.42881868000000001</v>
      </c>
      <c r="R38">
        <f>0.0000805174*3600</f>
        <v>0.28986264</v>
      </c>
    </row>
    <row r="39" spans="1:18" x14ac:dyDescent="0.3">
      <c r="A39" s="4" t="s">
        <v>47</v>
      </c>
      <c r="B39" t="s">
        <v>54</v>
      </c>
      <c r="C39">
        <v>341.80845599999998</v>
      </c>
      <c r="D39">
        <v>104.16764999999999</v>
      </c>
      <c r="E39">
        <v>15.4015</v>
      </c>
      <c r="F39">
        <v>15.3658</v>
      </c>
      <c r="G39">
        <v>0.26100000000000001</v>
      </c>
      <c r="H39">
        <v>1.6479999999999999</v>
      </c>
      <c r="I39" t="s">
        <v>0</v>
      </c>
      <c r="J39" t="s">
        <v>50</v>
      </c>
      <c r="K39" t="s">
        <v>51</v>
      </c>
      <c r="L39">
        <v>0</v>
      </c>
      <c r="M39" t="s">
        <v>52</v>
      </c>
      <c r="N39">
        <v>1</v>
      </c>
      <c r="O39" t="s">
        <v>53</v>
      </c>
      <c r="P39" s="2">
        <v>0.36805555555555558</v>
      </c>
      <c r="Q39">
        <f>-0.0012613385*3600</f>
        <v>-4.5408185999999997</v>
      </c>
      <c r="R39">
        <f>-0.0000988035*3600</f>
        <v>-0.35569260000000003</v>
      </c>
    </row>
    <row r="40" spans="1:18" x14ac:dyDescent="0.3">
      <c r="A40" s="4" t="s">
        <v>47</v>
      </c>
      <c r="B40" t="s">
        <v>54</v>
      </c>
      <c r="C40">
        <v>141.80738700000001</v>
      </c>
      <c r="D40">
        <v>295.83162800000002</v>
      </c>
      <c r="E40">
        <v>15.4017</v>
      </c>
      <c r="F40">
        <v>15.366</v>
      </c>
      <c r="G40">
        <v>0.26100000000000001</v>
      </c>
      <c r="H40">
        <v>1.6479999999999999</v>
      </c>
      <c r="I40" t="s">
        <v>0</v>
      </c>
      <c r="J40" t="s">
        <v>50</v>
      </c>
      <c r="K40" t="s">
        <v>51</v>
      </c>
      <c r="L40">
        <v>0</v>
      </c>
      <c r="M40" t="s">
        <v>52</v>
      </c>
      <c r="N40">
        <v>1</v>
      </c>
      <c r="O40" t="s">
        <v>53</v>
      </c>
      <c r="P40" s="2">
        <v>0.37083333333333335</v>
      </c>
      <c r="Q40">
        <f>0.0003596917*3600</f>
        <v>1.29489012</v>
      </c>
      <c r="R40">
        <f>-0.0000501571*3600</f>
        <v>-0.18056556000000001</v>
      </c>
    </row>
    <row r="41" spans="1:18" x14ac:dyDescent="0.3">
      <c r="A41" s="4" t="s">
        <v>47</v>
      </c>
      <c r="B41" t="s">
        <v>54</v>
      </c>
      <c r="C41">
        <v>341.80839900000001</v>
      </c>
      <c r="D41">
        <v>104.16799</v>
      </c>
      <c r="E41">
        <v>15.4015</v>
      </c>
      <c r="F41">
        <v>15.3658</v>
      </c>
      <c r="G41">
        <v>0.26100000000000001</v>
      </c>
      <c r="H41">
        <v>1.6479999999999999</v>
      </c>
      <c r="I41" t="s">
        <v>0</v>
      </c>
      <c r="J41" t="s">
        <v>50</v>
      </c>
      <c r="K41" t="s">
        <v>51</v>
      </c>
      <c r="L41">
        <v>0</v>
      </c>
      <c r="M41" t="s">
        <v>52</v>
      </c>
      <c r="N41">
        <v>1</v>
      </c>
      <c r="O41" t="s">
        <v>53</v>
      </c>
      <c r="P41" s="2">
        <v>0.37847222222222227</v>
      </c>
      <c r="Q41">
        <f>-0.0012342925*3600</f>
        <v>-4.4434529999999999</v>
      </c>
      <c r="R41">
        <f>-0.0000643107*3600</f>
        <v>-0.23151851999999998</v>
      </c>
    </row>
    <row r="42" spans="1:18" x14ac:dyDescent="0.3">
      <c r="A42" s="4" t="s">
        <v>47</v>
      </c>
      <c r="B42" t="s">
        <v>54</v>
      </c>
      <c r="C42">
        <v>141.80750699999999</v>
      </c>
      <c r="D42">
        <v>295.83191599999998</v>
      </c>
      <c r="E42">
        <v>15.401400000000001</v>
      </c>
      <c r="F42">
        <v>15.3657</v>
      </c>
      <c r="G42">
        <v>0.26100000000000001</v>
      </c>
      <c r="H42">
        <v>1.6479999999999999</v>
      </c>
      <c r="I42" t="s">
        <v>0</v>
      </c>
      <c r="J42" t="s">
        <v>50</v>
      </c>
      <c r="K42" t="s">
        <v>51</v>
      </c>
      <c r="L42">
        <v>0</v>
      </c>
      <c r="M42" t="s">
        <v>52</v>
      </c>
      <c r="N42">
        <v>1</v>
      </c>
      <c r="O42" t="s">
        <v>53</v>
      </c>
      <c r="P42" s="2">
        <v>0.38194444444444442</v>
      </c>
      <c r="Q42">
        <f>0.0005549845*3600</f>
        <v>1.9979441999999998</v>
      </c>
      <c r="R42">
        <f>-0.0003940707*3600</f>
        <v>-1.41865452</v>
      </c>
    </row>
    <row r="43" spans="1:18" x14ac:dyDescent="0.3">
      <c r="A43" s="4" t="s">
        <v>47</v>
      </c>
      <c r="B43" t="s">
        <v>54</v>
      </c>
      <c r="C43">
        <v>341.80856</v>
      </c>
      <c r="D43">
        <v>104.16779200000001</v>
      </c>
      <c r="E43">
        <v>15.4016</v>
      </c>
      <c r="F43">
        <v>15.3659</v>
      </c>
      <c r="G43">
        <v>0.26100000000000001</v>
      </c>
      <c r="H43">
        <v>1.6479999999999999</v>
      </c>
      <c r="I43" t="s">
        <v>0</v>
      </c>
      <c r="J43" t="s">
        <v>50</v>
      </c>
      <c r="K43" t="s">
        <v>51</v>
      </c>
      <c r="L43">
        <v>0</v>
      </c>
      <c r="M43" t="s">
        <v>52</v>
      </c>
      <c r="N43">
        <v>1</v>
      </c>
      <c r="O43" t="s">
        <v>53</v>
      </c>
      <c r="P43" s="2">
        <v>0.38263888888888892</v>
      </c>
      <c r="Q43">
        <f>-0.0007501772*3600</f>
        <v>-2.7006379200000001</v>
      </c>
      <c r="R43">
        <f>0.0001450277*3600</f>
        <v>0.52209971999999993</v>
      </c>
    </row>
    <row r="44" spans="1:18" x14ac:dyDescent="0.3">
      <c r="A44" s="4" t="s">
        <v>47</v>
      </c>
      <c r="B44" t="s">
        <v>54</v>
      </c>
      <c r="C44">
        <v>141.80773400000001</v>
      </c>
      <c r="D44">
        <v>295.83178600000002</v>
      </c>
      <c r="E44">
        <v>15.4016</v>
      </c>
      <c r="F44">
        <v>15.3659</v>
      </c>
      <c r="G44">
        <v>0.26100000000000001</v>
      </c>
      <c r="H44">
        <v>1.6479999999999999</v>
      </c>
      <c r="I44" t="s">
        <v>0</v>
      </c>
      <c r="J44" t="s">
        <v>50</v>
      </c>
      <c r="K44" t="s">
        <v>51</v>
      </c>
      <c r="L44">
        <v>0</v>
      </c>
      <c r="M44" t="s">
        <v>52</v>
      </c>
      <c r="N44">
        <v>1</v>
      </c>
      <c r="O44" t="s">
        <v>53</v>
      </c>
      <c r="P44" s="2">
        <v>0.38680555555555557</v>
      </c>
      <c r="Q44">
        <f>0.0003181044*3600</f>
        <v>1.1451758400000001</v>
      </c>
      <c r="R44">
        <f>0.0000778722*3600</f>
        <v>0.28033992000000002</v>
      </c>
    </row>
    <row r="45" spans="1:18" x14ac:dyDescent="0.3">
      <c r="A45" s="4" t="s">
        <v>47</v>
      </c>
      <c r="B45" t="s">
        <v>54</v>
      </c>
      <c r="C45">
        <v>341.808494</v>
      </c>
      <c r="D45">
        <v>104.167891</v>
      </c>
      <c r="E45">
        <v>15.401400000000001</v>
      </c>
      <c r="F45">
        <v>15.3657</v>
      </c>
      <c r="G45">
        <v>0.26100000000000001</v>
      </c>
      <c r="H45">
        <v>1.6479999999999999</v>
      </c>
      <c r="I45" t="s">
        <v>0</v>
      </c>
      <c r="J45" t="s">
        <v>50</v>
      </c>
      <c r="K45" t="s">
        <v>51</v>
      </c>
      <c r="L45">
        <v>0</v>
      </c>
      <c r="M45" t="s">
        <v>52</v>
      </c>
      <c r="N45">
        <v>1</v>
      </c>
      <c r="O45" t="s">
        <v>53</v>
      </c>
      <c r="P45" s="2">
        <v>0.38750000000000001</v>
      </c>
      <c r="Q45">
        <f>-0.0006714129*3600</f>
        <v>-2.4170864399999998</v>
      </c>
      <c r="R45">
        <f>-0.0000398243*3600</f>
        <v>-0.14336747999999999</v>
      </c>
    </row>
    <row r="46" spans="1:18" x14ac:dyDescent="0.3">
      <c r="A46" s="4" t="s">
        <v>47</v>
      </c>
      <c r="B46" t="s">
        <v>54</v>
      </c>
      <c r="C46">
        <v>141.807804</v>
      </c>
      <c r="D46">
        <v>295.83157699999998</v>
      </c>
      <c r="E46">
        <v>15.4018</v>
      </c>
      <c r="F46">
        <v>15.366</v>
      </c>
      <c r="G46">
        <v>0.26100000000000001</v>
      </c>
      <c r="H46">
        <v>1.6479999999999999</v>
      </c>
      <c r="I46" t="s">
        <v>0</v>
      </c>
      <c r="J46" t="s">
        <v>50</v>
      </c>
      <c r="K46" t="s">
        <v>51</v>
      </c>
      <c r="L46">
        <v>0</v>
      </c>
      <c r="M46" t="s">
        <v>52</v>
      </c>
      <c r="N46">
        <v>1</v>
      </c>
      <c r="O46" t="s">
        <v>53</v>
      </c>
      <c r="P46" s="2">
        <v>0.39027777777777778</v>
      </c>
      <c r="Q46">
        <f>0.0003641609*3600</f>
        <v>1.31097924</v>
      </c>
      <c r="R46">
        <f>-0.0000338497*3600</f>
        <v>-0.12185892000000001</v>
      </c>
    </row>
    <row r="47" spans="1:18" x14ac:dyDescent="0.3">
      <c r="A47" s="4" t="s">
        <v>47</v>
      </c>
      <c r="B47" t="s">
        <v>54</v>
      </c>
      <c r="C47">
        <v>341.80834199999998</v>
      </c>
      <c r="D47">
        <v>104.168217</v>
      </c>
      <c r="E47">
        <v>15.4017</v>
      </c>
      <c r="F47">
        <v>15.366</v>
      </c>
      <c r="G47">
        <v>0.26100000000000001</v>
      </c>
      <c r="H47">
        <v>1.6479999999999999</v>
      </c>
      <c r="I47" t="s">
        <v>0</v>
      </c>
      <c r="J47" t="s">
        <v>50</v>
      </c>
      <c r="K47" t="s">
        <v>51</v>
      </c>
      <c r="L47">
        <v>0</v>
      </c>
      <c r="M47" t="s">
        <v>52</v>
      </c>
      <c r="N47">
        <v>1</v>
      </c>
      <c r="O47" t="s">
        <v>53</v>
      </c>
      <c r="P47" s="2">
        <v>0.39166666666666666</v>
      </c>
      <c r="Q47">
        <f>-0.0013420843*3600</f>
        <v>-4.8315034800000003</v>
      </c>
      <c r="R47">
        <f>-0.0001820028*3600</f>
        <v>-0.65521008000000003</v>
      </c>
    </row>
    <row r="48" spans="1:18" x14ac:dyDescent="0.3">
      <c r="A48" s="4" t="s">
        <v>47</v>
      </c>
      <c r="B48" t="s">
        <v>54</v>
      </c>
      <c r="C48">
        <v>141.807726</v>
      </c>
      <c r="D48">
        <v>295.831661</v>
      </c>
      <c r="E48">
        <v>15.4017</v>
      </c>
      <c r="F48">
        <v>15.366</v>
      </c>
      <c r="G48">
        <v>0.26100000000000001</v>
      </c>
      <c r="H48">
        <v>1.6479999999999999</v>
      </c>
      <c r="I48" t="s">
        <v>0</v>
      </c>
      <c r="J48" t="s">
        <v>50</v>
      </c>
      <c r="K48" t="s">
        <v>51</v>
      </c>
      <c r="L48">
        <v>0</v>
      </c>
      <c r="M48" t="s">
        <v>52</v>
      </c>
      <c r="N48">
        <v>1</v>
      </c>
      <c r="O48" t="s">
        <v>53</v>
      </c>
      <c r="P48" s="2">
        <v>0.39444444444444443</v>
      </c>
      <c r="Q48">
        <f>0.0007716536*3600</f>
        <v>2.7779529599999999</v>
      </c>
      <c r="R48">
        <f>-0.0003467493*3600</f>
        <v>-1.24829748</v>
      </c>
    </row>
    <row r="49" spans="1:18" x14ac:dyDescent="0.3">
      <c r="A49" s="4" t="s">
        <v>47</v>
      </c>
      <c r="B49" t="s">
        <v>54</v>
      </c>
      <c r="C49">
        <v>341.80848099999997</v>
      </c>
      <c r="D49">
        <v>104.168224</v>
      </c>
      <c r="E49">
        <v>15.4016</v>
      </c>
      <c r="F49">
        <v>15.3659</v>
      </c>
      <c r="G49">
        <v>0.26100000000000001</v>
      </c>
      <c r="H49">
        <v>1.6479999999999999</v>
      </c>
      <c r="I49" t="s">
        <v>0</v>
      </c>
      <c r="J49" t="s">
        <v>50</v>
      </c>
      <c r="K49" t="s">
        <v>51</v>
      </c>
      <c r="L49">
        <v>0</v>
      </c>
      <c r="M49" t="s">
        <v>52</v>
      </c>
      <c r="N49">
        <v>1</v>
      </c>
      <c r="O49" t="s">
        <v>53</v>
      </c>
      <c r="P49" s="2">
        <v>0.39513888888888887</v>
      </c>
      <c r="Q49">
        <f>-0.0013026223*3600</f>
        <v>-4.6894402799999995</v>
      </c>
      <c r="R49">
        <f>-0.0001900199*3600</f>
        <v>-0.68407163999999998</v>
      </c>
    </row>
    <row r="50" spans="1:18" x14ac:dyDescent="0.3">
      <c r="A50" s="4" t="s">
        <v>47</v>
      </c>
      <c r="B50" t="s">
        <v>54</v>
      </c>
      <c r="C50">
        <v>141.80802399999999</v>
      </c>
      <c r="D50">
        <v>295.831771</v>
      </c>
      <c r="E50">
        <v>15.4017</v>
      </c>
      <c r="F50">
        <v>15.366</v>
      </c>
      <c r="G50">
        <v>0.26100000000000001</v>
      </c>
      <c r="H50">
        <v>1.6479999999999999</v>
      </c>
      <c r="I50" t="s">
        <v>0</v>
      </c>
      <c r="J50" t="s">
        <v>50</v>
      </c>
      <c r="K50" t="s">
        <v>51</v>
      </c>
      <c r="L50">
        <v>0</v>
      </c>
      <c r="M50" t="s">
        <v>52</v>
      </c>
      <c r="N50">
        <v>1</v>
      </c>
      <c r="O50" t="s">
        <v>53</v>
      </c>
      <c r="P50" s="2">
        <v>0.3979166666666667</v>
      </c>
      <c r="Q50">
        <f>0.0007333538*3600</f>
        <v>2.64007368</v>
      </c>
      <c r="R50">
        <f>-0.0003456518*3600</f>
        <v>-1.2443464799999999</v>
      </c>
    </row>
    <row r="51" spans="1:18" x14ac:dyDescent="0.3">
      <c r="A51" s="4" t="s">
        <v>47</v>
      </c>
      <c r="B51" t="s">
        <v>54</v>
      </c>
      <c r="C51">
        <v>341.80860799999999</v>
      </c>
      <c r="D51">
        <v>104.167886</v>
      </c>
      <c r="E51">
        <v>15.401400000000001</v>
      </c>
      <c r="F51">
        <v>15.3657</v>
      </c>
      <c r="G51">
        <v>0.26100000000000001</v>
      </c>
      <c r="H51">
        <v>1.6479999999999999</v>
      </c>
      <c r="I51" t="s">
        <v>0</v>
      </c>
      <c r="J51" t="s">
        <v>50</v>
      </c>
      <c r="K51" t="s">
        <v>51</v>
      </c>
      <c r="L51">
        <v>0</v>
      </c>
      <c r="M51" t="s">
        <v>52</v>
      </c>
      <c r="N51">
        <v>1</v>
      </c>
      <c r="O51" t="s">
        <v>53</v>
      </c>
      <c r="P51" s="2">
        <v>0.39861111111111108</v>
      </c>
      <c r="Q51">
        <f>-0.001332512*3600</f>
        <v>-4.7970432000000001</v>
      </c>
      <c r="R51">
        <f>-0.0002370344*3600</f>
        <v>-0.85332384000000006</v>
      </c>
    </row>
    <row r="52" spans="1:18" x14ac:dyDescent="0.3">
      <c r="A52" s="4" t="s">
        <v>47</v>
      </c>
      <c r="B52" t="s">
        <v>54</v>
      </c>
      <c r="C52">
        <v>141.807671</v>
      </c>
      <c r="D52">
        <v>295.83177699999999</v>
      </c>
      <c r="E52">
        <v>15.4015</v>
      </c>
      <c r="F52">
        <v>15.3658</v>
      </c>
      <c r="G52">
        <v>0.26100000000000001</v>
      </c>
      <c r="H52">
        <v>1.6479999999999999</v>
      </c>
      <c r="I52" t="s">
        <v>0</v>
      </c>
      <c r="J52" t="s">
        <v>50</v>
      </c>
      <c r="K52" t="s">
        <v>51</v>
      </c>
      <c r="L52">
        <v>0</v>
      </c>
      <c r="M52" t="s">
        <v>52</v>
      </c>
      <c r="N52">
        <v>1</v>
      </c>
      <c r="O52" t="s">
        <v>53</v>
      </c>
      <c r="P52" s="2">
        <v>0.40138888888888885</v>
      </c>
      <c r="Q52">
        <f>0.0007845048*3600</f>
        <v>2.8242172800000001</v>
      </c>
      <c r="R52">
        <f>-0.0003686444*3600</f>
        <v>-1.3271198399999999</v>
      </c>
    </row>
    <row r="53" spans="1:18" x14ac:dyDescent="0.3">
      <c r="A53" s="4" t="s">
        <v>47</v>
      </c>
      <c r="B53" t="s">
        <v>54</v>
      </c>
      <c r="C53">
        <v>141.80757</v>
      </c>
      <c r="D53">
        <v>295.83179100000001</v>
      </c>
      <c r="E53">
        <v>15.4017</v>
      </c>
      <c r="F53">
        <v>15.366</v>
      </c>
      <c r="G53">
        <v>0.26100000000000001</v>
      </c>
      <c r="H53">
        <v>1.6479999999999999</v>
      </c>
      <c r="I53" t="s">
        <v>0</v>
      </c>
      <c r="J53" t="s">
        <v>50</v>
      </c>
      <c r="K53" t="s">
        <v>51</v>
      </c>
      <c r="L53">
        <v>0</v>
      </c>
      <c r="M53" t="s">
        <v>52</v>
      </c>
      <c r="N53">
        <v>1</v>
      </c>
      <c r="O53" t="s">
        <v>53</v>
      </c>
      <c r="P53" s="2">
        <v>0.4055555555555555</v>
      </c>
      <c r="Q53">
        <f>0.0004690289*3600</f>
        <v>1.68850404</v>
      </c>
      <c r="R53">
        <f>-0.0001779786*3600</f>
        <v>-0.64072296000000006</v>
      </c>
    </row>
    <row r="54" spans="1:18" x14ac:dyDescent="0.3">
      <c r="A54" s="4" t="s">
        <v>47</v>
      </c>
      <c r="B54" t="s">
        <v>54</v>
      </c>
      <c r="C54">
        <v>341.80846700000001</v>
      </c>
      <c r="D54">
        <v>104.167958</v>
      </c>
      <c r="E54">
        <v>15.4016</v>
      </c>
      <c r="F54">
        <v>15.3659</v>
      </c>
      <c r="G54">
        <v>0.26100000000000001</v>
      </c>
      <c r="H54">
        <v>1.6479999999999999</v>
      </c>
      <c r="I54" t="s">
        <v>0</v>
      </c>
      <c r="J54" t="s">
        <v>50</v>
      </c>
      <c r="K54" t="s">
        <v>51</v>
      </c>
      <c r="L54">
        <v>0</v>
      </c>
      <c r="M54" t="s">
        <v>52</v>
      </c>
      <c r="N54">
        <v>1</v>
      </c>
      <c r="O54" t="s">
        <v>53</v>
      </c>
      <c r="P54" s="2">
        <v>0.40625</v>
      </c>
      <c r="Q54">
        <f>-0.0010821962*3600</f>
        <v>-3.8959063199999999</v>
      </c>
      <c r="R54">
        <f>0.0001074746*3600</f>
        <v>0.38690856000000001</v>
      </c>
    </row>
    <row r="55" spans="1:18" x14ac:dyDescent="0.3">
      <c r="A55" s="4" t="s">
        <v>47</v>
      </c>
      <c r="B55" t="s">
        <v>54</v>
      </c>
      <c r="C55">
        <v>141.80769599999999</v>
      </c>
      <c r="D55">
        <v>295.83175599999998</v>
      </c>
      <c r="E55">
        <v>15.4016</v>
      </c>
      <c r="F55">
        <v>15.3659</v>
      </c>
      <c r="G55">
        <v>0.26100000000000001</v>
      </c>
      <c r="H55">
        <v>1.6479999999999999</v>
      </c>
      <c r="I55" t="s">
        <v>0</v>
      </c>
      <c r="J55" t="s">
        <v>50</v>
      </c>
      <c r="K55" t="s">
        <v>51</v>
      </c>
      <c r="L55">
        <v>0</v>
      </c>
      <c r="M55" t="s">
        <v>52</v>
      </c>
      <c r="N55">
        <v>1</v>
      </c>
      <c r="O55" t="s">
        <v>53</v>
      </c>
      <c r="P55" s="2">
        <v>0.40833333333333338</v>
      </c>
      <c r="Q55">
        <f>0.0004713726*3600</f>
        <v>1.6969413600000001</v>
      </c>
      <c r="R55">
        <f>-0.0000271623*3600</f>
        <v>-9.7784280000000001E-2</v>
      </c>
    </row>
    <row r="56" spans="1:18" x14ac:dyDescent="0.3">
      <c r="A56" s="4" t="s">
        <v>47</v>
      </c>
      <c r="B56" t="s">
        <v>54</v>
      </c>
      <c r="C56">
        <v>341.80847999999997</v>
      </c>
      <c r="D56">
        <v>104.167744</v>
      </c>
      <c r="E56">
        <v>15.4017</v>
      </c>
      <c r="F56">
        <v>15.366</v>
      </c>
      <c r="G56">
        <v>0.26100000000000001</v>
      </c>
      <c r="H56">
        <v>1.6479999999999999</v>
      </c>
      <c r="I56" t="s">
        <v>0</v>
      </c>
      <c r="J56" t="s">
        <v>50</v>
      </c>
      <c r="K56" t="s">
        <v>51</v>
      </c>
      <c r="L56">
        <v>0</v>
      </c>
      <c r="M56" t="s">
        <v>52</v>
      </c>
      <c r="N56">
        <v>1</v>
      </c>
      <c r="O56" t="s">
        <v>53</v>
      </c>
      <c r="P56" s="2">
        <v>0.40902777777777777</v>
      </c>
      <c r="Q56">
        <f>-0.0014152061*3600</f>
        <v>-5.0947419600000003</v>
      </c>
      <c r="R56">
        <f>-0.000210765*3600</f>
        <v>-0.75875399999999993</v>
      </c>
    </row>
    <row r="57" spans="1:18" x14ac:dyDescent="0.3">
      <c r="A57" s="4" t="s">
        <v>47</v>
      </c>
      <c r="B57" t="s">
        <v>54</v>
      </c>
      <c r="C57">
        <v>141.807727</v>
      </c>
      <c r="D57">
        <v>295.831703</v>
      </c>
      <c r="E57">
        <v>15.4017</v>
      </c>
      <c r="F57">
        <v>15.366</v>
      </c>
      <c r="G57">
        <v>0.26100000000000001</v>
      </c>
      <c r="H57">
        <v>1.6479999999999999</v>
      </c>
      <c r="I57" t="s">
        <v>0</v>
      </c>
      <c r="J57" t="s">
        <v>50</v>
      </c>
      <c r="K57" t="s">
        <v>51</v>
      </c>
      <c r="L57">
        <v>0</v>
      </c>
      <c r="M57" t="s">
        <v>52</v>
      </c>
      <c r="N57">
        <v>1</v>
      </c>
      <c r="O57" t="s">
        <v>53</v>
      </c>
      <c r="P57" s="2">
        <v>0.41111111111111115</v>
      </c>
      <c r="Q57">
        <f>0.00044813*3600</f>
        <v>1.6132679999999999</v>
      </c>
      <c r="R57">
        <f>-0.0001402001*3600</f>
        <v>-0.50472035999999998</v>
      </c>
    </row>
    <row r="58" spans="1:18" x14ac:dyDescent="0.3">
      <c r="A58" s="4" t="s">
        <v>47</v>
      </c>
      <c r="B58" t="s">
        <v>54</v>
      </c>
      <c r="C58">
        <v>341.808424</v>
      </c>
      <c r="D58">
        <v>104.16816</v>
      </c>
      <c r="E58">
        <v>15.4018</v>
      </c>
      <c r="F58">
        <v>15.366099999999999</v>
      </c>
      <c r="G58">
        <v>0.26100000000000001</v>
      </c>
      <c r="H58">
        <v>1.6479999999999999</v>
      </c>
      <c r="I58" t="s">
        <v>0</v>
      </c>
      <c r="J58" t="s">
        <v>50</v>
      </c>
      <c r="K58" t="s">
        <v>51</v>
      </c>
      <c r="L58">
        <v>0</v>
      </c>
      <c r="M58" t="s">
        <v>52</v>
      </c>
      <c r="N58">
        <v>1</v>
      </c>
      <c r="O58" t="s">
        <v>53</v>
      </c>
      <c r="P58" s="2">
        <v>0.41180555555555554</v>
      </c>
      <c r="Q58">
        <f>-0.0011545745*3600</f>
        <v>-4.1564681999999999</v>
      </c>
      <c r="R58">
        <f>0.0001526818*3600</f>
        <v>0.54965447999999995</v>
      </c>
    </row>
    <row r="59" spans="1:18" x14ac:dyDescent="0.3">
      <c r="A59" s="4" t="s">
        <v>47</v>
      </c>
      <c r="B59" t="s">
        <v>54</v>
      </c>
      <c r="C59">
        <v>141.80777900000001</v>
      </c>
      <c r="D59">
        <v>295.83156300000002</v>
      </c>
      <c r="E59">
        <v>15.4016</v>
      </c>
      <c r="F59">
        <v>15.3658</v>
      </c>
      <c r="G59">
        <v>0.26100000000000001</v>
      </c>
      <c r="H59">
        <v>1.6479999999999999</v>
      </c>
      <c r="I59" t="s">
        <v>0</v>
      </c>
      <c r="J59" t="s">
        <v>50</v>
      </c>
      <c r="K59" t="s">
        <v>51</v>
      </c>
      <c r="L59">
        <v>0</v>
      </c>
      <c r="M59" t="s">
        <v>52</v>
      </c>
      <c r="N59">
        <v>1</v>
      </c>
      <c r="O59" t="s">
        <v>53</v>
      </c>
      <c r="P59" s="2">
        <v>0.4145833333333333</v>
      </c>
      <c r="Q59">
        <f>0.000518132*3600</f>
        <v>1.8652752000000001</v>
      </c>
      <c r="R59">
        <f>-0.000032372*3600</f>
        <v>-0.11653920000000001</v>
      </c>
    </row>
    <row r="60" spans="1:18" x14ac:dyDescent="0.3">
      <c r="A60" s="4" t="s">
        <v>47</v>
      </c>
      <c r="B60" t="s">
        <v>54</v>
      </c>
      <c r="C60">
        <v>341.80831499999999</v>
      </c>
      <c r="D60">
        <v>104.167984</v>
      </c>
      <c r="E60">
        <v>15.401400000000001</v>
      </c>
      <c r="F60">
        <v>15.3657</v>
      </c>
      <c r="G60">
        <v>0.26100000000000001</v>
      </c>
      <c r="H60">
        <v>1.6479999999999999</v>
      </c>
      <c r="I60" t="s">
        <v>0</v>
      </c>
      <c r="J60" t="s">
        <v>50</v>
      </c>
      <c r="K60" t="s">
        <v>51</v>
      </c>
      <c r="L60">
        <v>0</v>
      </c>
      <c r="M60" t="s">
        <v>52</v>
      </c>
      <c r="N60">
        <v>1</v>
      </c>
      <c r="O60" t="s">
        <v>53</v>
      </c>
      <c r="P60" s="2">
        <v>0.41597222222222219</v>
      </c>
      <c r="Q60">
        <f>-0.0010665231*3600</f>
        <v>-3.8394831599999999</v>
      </c>
      <c r="R60">
        <f>0.00010228*3600</f>
        <v>0.36820800000000004</v>
      </c>
    </row>
    <row r="61" spans="1:18" x14ac:dyDescent="0.3">
      <c r="A61" s="4" t="s">
        <v>47</v>
      </c>
      <c r="B61" t="s">
        <v>54</v>
      </c>
      <c r="C61">
        <v>141.807917</v>
      </c>
      <c r="D61">
        <v>295.83173099999999</v>
      </c>
      <c r="E61">
        <v>15.4015</v>
      </c>
      <c r="F61">
        <v>15.3658</v>
      </c>
      <c r="G61">
        <v>0.26100000000000001</v>
      </c>
      <c r="H61">
        <v>1.6479999999999999</v>
      </c>
      <c r="I61" t="s">
        <v>0</v>
      </c>
      <c r="J61" t="s">
        <v>50</v>
      </c>
      <c r="K61" t="s">
        <v>51</v>
      </c>
      <c r="L61">
        <v>0</v>
      </c>
      <c r="M61" t="s">
        <v>52</v>
      </c>
      <c r="N61">
        <v>1</v>
      </c>
      <c r="O61" t="s">
        <v>53</v>
      </c>
      <c r="P61" s="2">
        <v>0.41875000000000001</v>
      </c>
      <c r="Q61">
        <f>0.0009332716*3600</f>
        <v>3.3597777600000001</v>
      </c>
      <c r="R61">
        <f>-0.0004218601*3600</f>
        <v>-1.5186963600000001</v>
      </c>
    </row>
    <row r="62" spans="1:18" x14ac:dyDescent="0.3">
      <c r="A62" s="4" t="s">
        <v>47</v>
      </c>
      <c r="B62" t="s">
        <v>54</v>
      </c>
      <c r="C62">
        <v>341.80822999999998</v>
      </c>
      <c r="D62">
        <v>104.168066</v>
      </c>
      <c r="E62">
        <v>15.4016</v>
      </c>
      <c r="F62">
        <v>15.3659</v>
      </c>
      <c r="G62">
        <v>0.26100000000000001</v>
      </c>
      <c r="H62">
        <v>1.6479999999999999</v>
      </c>
      <c r="I62" t="s">
        <v>0</v>
      </c>
      <c r="J62" t="s">
        <v>50</v>
      </c>
      <c r="K62" t="s">
        <v>51</v>
      </c>
      <c r="L62">
        <v>0</v>
      </c>
      <c r="M62" t="s">
        <v>52</v>
      </c>
      <c r="N62">
        <v>1</v>
      </c>
      <c r="O62" t="s">
        <v>53</v>
      </c>
      <c r="P62" s="2">
        <v>0.4201388888888889</v>
      </c>
      <c r="Q62">
        <f>-0.0015659401*3600</f>
        <v>-5.6373843600000004</v>
      </c>
      <c r="R62">
        <f>-0.0001928045*3600</f>
        <v>-0.69409619999999994</v>
      </c>
    </row>
    <row r="63" spans="1:18" x14ac:dyDescent="0.3">
      <c r="A63" s="4" t="s">
        <v>47</v>
      </c>
      <c r="B63" t="s">
        <v>54</v>
      </c>
      <c r="C63">
        <v>141.80785399999999</v>
      </c>
      <c r="D63">
        <v>295.83151400000003</v>
      </c>
      <c r="E63">
        <v>15.4017</v>
      </c>
      <c r="F63">
        <v>15.3659</v>
      </c>
      <c r="G63">
        <v>0.26100000000000001</v>
      </c>
      <c r="H63">
        <v>1.6479999999999999</v>
      </c>
      <c r="I63" t="s">
        <v>0</v>
      </c>
      <c r="J63" t="s">
        <v>50</v>
      </c>
      <c r="K63" t="s">
        <v>51</v>
      </c>
      <c r="L63">
        <v>0</v>
      </c>
      <c r="M63" t="s">
        <v>52</v>
      </c>
      <c r="N63">
        <v>1</v>
      </c>
      <c r="O63" t="s">
        <v>53</v>
      </c>
      <c r="P63" s="2">
        <v>0.42222222222222222</v>
      </c>
      <c r="Q63">
        <f>0.0006845799*3600</f>
        <v>2.4644876400000002</v>
      </c>
      <c r="R63">
        <f>0.0000190711*3600</f>
        <v>6.8655960000000002E-2</v>
      </c>
    </row>
    <row r="64" spans="1:18" x14ac:dyDescent="0.3">
      <c r="A64" s="4" t="s">
        <v>47</v>
      </c>
      <c r="B64" t="s">
        <v>54</v>
      </c>
      <c r="C64">
        <v>341.80856999999997</v>
      </c>
      <c r="D64">
        <v>104.168076</v>
      </c>
      <c r="E64">
        <v>15.401400000000001</v>
      </c>
      <c r="F64">
        <v>15.3657</v>
      </c>
      <c r="G64">
        <v>0.26100000000000001</v>
      </c>
      <c r="H64">
        <v>1.6479999999999999</v>
      </c>
      <c r="I64" t="s">
        <v>0</v>
      </c>
      <c r="J64" t="s">
        <v>50</v>
      </c>
      <c r="K64" t="s">
        <v>51</v>
      </c>
      <c r="L64">
        <v>0</v>
      </c>
      <c r="M64" t="s">
        <v>52</v>
      </c>
      <c r="N64">
        <v>1</v>
      </c>
      <c r="O64" t="s">
        <v>53</v>
      </c>
      <c r="P64" s="2">
        <v>0.42569444444444443</v>
      </c>
      <c r="Q64">
        <f>-0.0011214146*3600</f>
        <v>-4.0370925600000005</v>
      </c>
      <c r="R64">
        <f>0.0000289092*3600</f>
        <v>0.10407312000000001</v>
      </c>
    </row>
    <row r="65" spans="1:18" x14ac:dyDescent="0.3">
      <c r="A65" s="4" t="s">
        <v>47</v>
      </c>
      <c r="B65" t="s">
        <v>54</v>
      </c>
      <c r="C65">
        <v>141.80795900000001</v>
      </c>
      <c r="D65">
        <v>295.83164799999997</v>
      </c>
      <c r="E65">
        <v>15.4015</v>
      </c>
      <c r="F65">
        <v>15.3658</v>
      </c>
      <c r="G65">
        <v>0.26100000000000001</v>
      </c>
      <c r="H65">
        <v>1.6479999999999999</v>
      </c>
      <c r="I65" t="s">
        <v>0</v>
      </c>
      <c r="J65" t="s">
        <v>50</v>
      </c>
      <c r="K65" t="s">
        <v>51</v>
      </c>
      <c r="L65">
        <v>0</v>
      </c>
      <c r="M65" t="s">
        <v>52</v>
      </c>
      <c r="N65">
        <v>1</v>
      </c>
      <c r="O65" t="s">
        <v>53</v>
      </c>
      <c r="P65" s="2">
        <v>0.42777777777777781</v>
      </c>
      <c r="Q65">
        <f>0.0008246515*3600</f>
        <v>2.9687454</v>
      </c>
      <c r="R65">
        <f>-0.0003292865*3600</f>
        <v>-1.1854313999999999</v>
      </c>
    </row>
    <row r="66" spans="1:18" x14ac:dyDescent="0.3">
      <c r="A66" s="4" t="s">
        <v>47</v>
      </c>
      <c r="B66" t="s">
        <v>54</v>
      </c>
      <c r="C66">
        <v>341.80846500000001</v>
      </c>
      <c r="D66">
        <v>104.167815</v>
      </c>
      <c r="E66">
        <v>15.4016</v>
      </c>
      <c r="F66">
        <v>15.3659</v>
      </c>
      <c r="G66">
        <v>0.26100000000000001</v>
      </c>
      <c r="H66">
        <v>1.6479999999999999</v>
      </c>
      <c r="I66" t="s">
        <v>0</v>
      </c>
      <c r="J66" t="s">
        <v>50</v>
      </c>
      <c r="K66" t="s">
        <v>51</v>
      </c>
      <c r="L66">
        <v>0</v>
      </c>
      <c r="M66" t="s">
        <v>52</v>
      </c>
      <c r="N66">
        <v>1</v>
      </c>
      <c r="O66" t="s">
        <v>53</v>
      </c>
      <c r="P66" s="2">
        <v>0.4284722222222222</v>
      </c>
      <c r="Q66">
        <f>-0.0017260114*3600</f>
        <v>-6.2136410400000006</v>
      </c>
      <c r="R66">
        <f>-0.00011492*3600</f>
        <v>-0.41371200000000002</v>
      </c>
    </row>
    <row r="67" spans="1:18" x14ac:dyDescent="0.3">
      <c r="A67" s="4" t="s">
        <v>47</v>
      </c>
      <c r="B67" t="s">
        <v>54</v>
      </c>
      <c r="C67">
        <v>141.80766499999999</v>
      </c>
      <c r="D67">
        <v>295.831501</v>
      </c>
      <c r="E67">
        <v>15.4016</v>
      </c>
      <c r="F67">
        <v>15.3658</v>
      </c>
      <c r="G67">
        <v>0.26100000000000001</v>
      </c>
      <c r="H67">
        <v>1.6479999999999999</v>
      </c>
      <c r="I67" t="s">
        <v>0</v>
      </c>
      <c r="J67" t="s">
        <v>50</v>
      </c>
      <c r="K67" t="s">
        <v>51</v>
      </c>
      <c r="L67">
        <v>0</v>
      </c>
      <c r="M67" t="s">
        <v>52</v>
      </c>
      <c r="N67">
        <v>1</v>
      </c>
      <c r="O67" t="s">
        <v>53</v>
      </c>
      <c r="P67" s="2">
        <v>0.43055555555555558</v>
      </c>
      <c r="Q67">
        <f>0.0008312325*3600</f>
        <v>2.9924369999999998</v>
      </c>
      <c r="R67">
        <f>-0.0005949392*3600</f>
        <v>-2.1417811200000001</v>
      </c>
    </row>
    <row r="68" spans="1:18" x14ac:dyDescent="0.3">
      <c r="A68" s="4" t="s">
        <v>47</v>
      </c>
      <c r="B68" t="s">
        <v>54</v>
      </c>
      <c r="C68">
        <v>341.80845699999998</v>
      </c>
      <c r="D68">
        <v>104.16789900000001</v>
      </c>
      <c r="E68">
        <v>15.4017</v>
      </c>
      <c r="F68">
        <v>15.366</v>
      </c>
      <c r="G68">
        <v>0.26100000000000001</v>
      </c>
      <c r="H68">
        <v>1.6479999999999999</v>
      </c>
      <c r="I68" t="s">
        <v>0</v>
      </c>
      <c r="J68" t="s">
        <v>50</v>
      </c>
      <c r="K68" t="s">
        <v>51</v>
      </c>
      <c r="L68">
        <v>0</v>
      </c>
      <c r="M68" t="s">
        <v>52</v>
      </c>
      <c r="N68">
        <v>1</v>
      </c>
      <c r="O68" t="s">
        <v>53</v>
      </c>
      <c r="P68" s="2">
        <v>0.43124999999999997</v>
      </c>
      <c r="Q68">
        <f>-0.0017356758*3600</f>
        <v>-6.2484328800000002</v>
      </c>
      <c r="R68">
        <f>-0.0000141854*3600</f>
        <v>-5.1067439999999999E-2</v>
      </c>
    </row>
    <row r="69" spans="1:18" x14ac:dyDescent="0.3">
      <c r="A69" s="4" t="s">
        <v>47</v>
      </c>
      <c r="B69" t="s">
        <v>54</v>
      </c>
      <c r="C69">
        <v>141.807816</v>
      </c>
      <c r="D69">
        <v>295.83162099999998</v>
      </c>
      <c r="E69">
        <v>15.4015</v>
      </c>
      <c r="F69">
        <v>15.3658</v>
      </c>
      <c r="G69">
        <v>0.26100000000000001</v>
      </c>
      <c r="H69">
        <v>1.6479999999999999</v>
      </c>
      <c r="I69" t="s">
        <v>0</v>
      </c>
      <c r="J69" t="s">
        <v>50</v>
      </c>
      <c r="K69" t="s">
        <v>51</v>
      </c>
      <c r="L69">
        <v>0</v>
      </c>
      <c r="M69" t="s">
        <v>52</v>
      </c>
      <c r="N69">
        <v>1</v>
      </c>
      <c r="O69" t="s">
        <v>53</v>
      </c>
      <c r="P69" s="2">
        <v>0.43333333333333335</v>
      </c>
      <c r="Q69">
        <f>0.00079013*3600</f>
        <v>2.844468</v>
      </c>
      <c r="R69">
        <f>0.0000811107*3600</f>
        <v>0.29199851999999998</v>
      </c>
    </row>
    <row r="70" spans="1:18" x14ac:dyDescent="0.3">
      <c r="A70" s="4" t="s">
        <v>47</v>
      </c>
      <c r="B70" t="s">
        <v>54</v>
      </c>
      <c r="C70">
        <v>341.808244</v>
      </c>
      <c r="D70">
        <v>104.167721</v>
      </c>
      <c r="E70">
        <v>15.401899999999999</v>
      </c>
      <c r="F70">
        <v>15.366199999999999</v>
      </c>
      <c r="G70">
        <v>0.26100000000000001</v>
      </c>
      <c r="H70">
        <v>1.6479999999999999</v>
      </c>
      <c r="I70" t="s">
        <v>0</v>
      </c>
      <c r="J70" t="s">
        <v>50</v>
      </c>
      <c r="K70" t="s">
        <v>51</v>
      </c>
      <c r="L70">
        <v>0</v>
      </c>
      <c r="M70" t="s">
        <v>52</v>
      </c>
      <c r="N70">
        <v>1</v>
      </c>
      <c r="O70" t="s">
        <v>53</v>
      </c>
      <c r="P70" s="2">
        <v>0.43402777777777773</v>
      </c>
      <c r="Q70">
        <f>-0.0018279497*3600</f>
        <v>-6.58061892</v>
      </c>
      <c r="R70">
        <f>-0.0000549557*3600</f>
        <v>-0.19784051999999999</v>
      </c>
    </row>
    <row r="71" spans="1:18" x14ac:dyDescent="0.3">
      <c r="A71" s="4" t="s">
        <v>47</v>
      </c>
      <c r="B71" t="s">
        <v>54</v>
      </c>
      <c r="C71">
        <v>141.80803900000001</v>
      </c>
      <c r="D71">
        <v>295.83126299999998</v>
      </c>
      <c r="E71">
        <v>15.4016</v>
      </c>
      <c r="F71">
        <v>15.3658</v>
      </c>
      <c r="G71">
        <v>0.26100000000000001</v>
      </c>
      <c r="H71">
        <v>1.6479999999999999</v>
      </c>
      <c r="I71" t="s">
        <v>0</v>
      </c>
      <c r="J71" t="s">
        <v>50</v>
      </c>
      <c r="K71" t="s">
        <v>51</v>
      </c>
      <c r="L71">
        <v>0</v>
      </c>
      <c r="M71" t="s">
        <v>52</v>
      </c>
      <c r="N71">
        <v>1</v>
      </c>
      <c r="O71" t="s">
        <v>53</v>
      </c>
      <c r="P71" s="2">
        <v>0.43541666666666662</v>
      </c>
      <c r="Q71">
        <f>0.0008481488*3600</f>
        <v>3.05333568</v>
      </c>
      <c r="R71">
        <f>-0.0004302387*3600</f>
        <v>-1.54885932</v>
      </c>
    </row>
    <row r="72" spans="1:18" x14ac:dyDescent="0.3">
      <c r="A72" s="4" t="s">
        <v>47</v>
      </c>
      <c r="B72" t="s">
        <v>54</v>
      </c>
      <c r="C72">
        <v>341.80844300000001</v>
      </c>
      <c r="D72">
        <v>104.167889</v>
      </c>
      <c r="E72">
        <v>15.4017</v>
      </c>
      <c r="F72">
        <v>15.366</v>
      </c>
      <c r="G72">
        <v>0.26100000000000001</v>
      </c>
      <c r="H72">
        <v>1.6479999999999999</v>
      </c>
      <c r="I72" t="s">
        <v>0</v>
      </c>
      <c r="J72" t="s">
        <v>50</v>
      </c>
      <c r="K72" t="s">
        <v>51</v>
      </c>
      <c r="L72">
        <v>0</v>
      </c>
      <c r="M72" t="s">
        <v>52</v>
      </c>
      <c r="N72">
        <v>1</v>
      </c>
      <c r="O72" t="s">
        <v>53</v>
      </c>
      <c r="P72" s="2">
        <v>0.43611111111111112</v>
      </c>
      <c r="Q72">
        <f>-0.001888629*3600</f>
        <v>-6.7990643999999998</v>
      </c>
      <c r="R72">
        <f>-0.0001073948*3600</f>
        <v>-0.38662128000000001</v>
      </c>
    </row>
    <row r="73" spans="1:18" x14ac:dyDescent="0.3">
      <c r="A73" s="4" t="s">
        <v>47</v>
      </c>
      <c r="B73" t="s">
        <v>54</v>
      </c>
      <c r="C73">
        <v>141.80758</v>
      </c>
      <c r="D73">
        <v>295.83132699999999</v>
      </c>
      <c r="E73">
        <v>15.4018</v>
      </c>
      <c r="F73">
        <v>15.366</v>
      </c>
      <c r="G73">
        <v>0.26100000000000001</v>
      </c>
      <c r="H73">
        <v>1.6479999999999999</v>
      </c>
      <c r="I73" t="s">
        <v>0</v>
      </c>
      <c r="J73" t="s">
        <v>50</v>
      </c>
      <c r="K73" t="s">
        <v>51</v>
      </c>
      <c r="L73">
        <v>0</v>
      </c>
      <c r="M73" t="s">
        <v>52</v>
      </c>
      <c r="N73">
        <v>1</v>
      </c>
      <c r="O73" t="s">
        <v>53</v>
      </c>
      <c r="P73" s="2">
        <v>0.4381944444444445</v>
      </c>
      <c r="Q73">
        <f>0.0007559675*3600</f>
        <v>2.7214830000000001</v>
      </c>
      <c r="R73">
        <f>-0.0006123797*3600</f>
        <v>-2.20456692</v>
      </c>
    </row>
    <row r="74" spans="1:18" x14ac:dyDescent="0.3">
      <c r="A74" s="4" t="s">
        <v>47</v>
      </c>
      <c r="B74" t="s">
        <v>54</v>
      </c>
      <c r="C74">
        <v>341.80836599999998</v>
      </c>
      <c r="D74">
        <v>104.167936</v>
      </c>
      <c r="E74">
        <v>15.4016</v>
      </c>
      <c r="F74">
        <v>15.3659</v>
      </c>
      <c r="G74">
        <v>0.26100000000000001</v>
      </c>
      <c r="H74">
        <v>1.6479999999999999</v>
      </c>
      <c r="I74" t="s">
        <v>0</v>
      </c>
      <c r="J74" t="s">
        <v>50</v>
      </c>
      <c r="K74" t="s">
        <v>51</v>
      </c>
      <c r="L74">
        <v>0</v>
      </c>
      <c r="M74" t="s">
        <v>52</v>
      </c>
      <c r="N74">
        <v>1</v>
      </c>
      <c r="O74" t="s">
        <v>53</v>
      </c>
      <c r="P74" s="2">
        <v>0.44097222222222227</v>
      </c>
      <c r="Q74">
        <f>-0.002198404*3600</f>
        <v>-7.9142544000000008</v>
      </c>
      <c r="R74">
        <f>-0.0000377975*3600</f>
        <v>-0.136071</v>
      </c>
    </row>
    <row r="75" spans="1:18" x14ac:dyDescent="0.3">
      <c r="A75" s="4" t="s">
        <v>47</v>
      </c>
      <c r="B75" t="s">
        <v>54</v>
      </c>
      <c r="C75">
        <v>141.80767</v>
      </c>
      <c r="D75">
        <v>295.83162600000003</v>
      </c>
      <c r="E75">
        <v>15.4017</v>
      </c>
      <c r="F75">
        <v>15.366</v>
      </c>
      <c r="G75">
        <v>0.26100000000000001</v>
      </c>
      <c r="H75">
        <v>1.6479999999999999</v>
      </c>
      <c r="I75" t="s">
        <v>0</v>
      </c>
      <c r="J75" t="s">
        <v>50</v>
      </c>
      <c r="K75" t="s">
        <v>51</v>
      </c>
      <c r="L75">
        <v>0</v>
      </c>
      <c r="M75" t="s">
        <v>52</v>
      </c>
      <c r="N75">
        <v>1</v>
      </c>
      <c r="O75" t="s">
        <v>53</v>
      </c>
      <c r="P75" s="2">
        <v>0.44236111111111115</v>
      </c>
      <c r="Q75">
        <f>0.0008497861*3600</f>
        <v>3.0592299600000001</v>
      </c>
      <c r="R75">
        <f>-0.0006231216*3600</f>
        <v>-2.24323776</v>
      </c>
    </row>
    <row r="76" spans="1:18" x14ac:dyDescent="0.3">
      <c r="A76" s="4" t="s">
        <v>47</v>
      </c>
      <c r="B76" t="s">
        <v>54</v>
      </c>
      <c r="C76">
        <v>341.808446</v>
      </c>
      <c r="D76">
        <v>104.168131</v>
      </c>
      <c r="E76">
        <v>15.4018</v>
      </c>
      <c r="F76">
        <v>15.366099999999999</v>
      </c>
      <c r="G76">
        <v>0.26100000000000001</v>
      </c>
      <c r="H76">
        <v>1.6479999999999999</v>
      </c>
      <c r="I76" t="s">
        <v>0</v>
      </c>
      <c r="J76" t="s">
        <v>50</v>
      </c>
      <c r="K76" t="s">
        <v>51</v>
      </c>
      <c r="L76">
        <v>0</v>
      </c>
      <c r="M76" t="s">
        <v>52</v>
      </c>
      <c r="N76">
        <v>1</v>
      </c>
      <c r="O76" t="s">
        <v>53</v>
      </c>
      <c r="P76" s="2">
        <v>0.44305555555555554</v>
      </c>
      <c r="Q76">
        <f>-0.002056519*3600</f>
        <v>-7.4034684000000004</v>
      </c>
      <c r="R76">
        <f>0.0000136495*3600</f>
        <v>4.91382E-2</v>
      </c>
    </row>
    <row r="77" spans="1:18" x14ac:dyDescent="0.3">
      <c r="A77" s="4" t="s">
        <v>47</v>
      </c>
      <c r="B77" t="s">
        <v>54</v>
      </c>
      <c r="C77">
        <v>141.80766600000001</v>
      </c>
      <c r="D77">
        <v>295.83140600000002</v>
      </c>
      <c r="E77">
        <v>15.4016</v>
      </c>
      <c r="F77">
        <v>15.3658</v>
      </c>
      <c r="G77">
        <v>0.26100000000000001</v>
      </c>
      <c r="H77">
        <v>1.6479999999999999</v>
      </c>
      <c r="I77" t="s">
        <v>0</v>
      </c>
      <c r="J77" t="s">
        <v>50</v>
      </c>
      <c r="K77" t="s">
        <v>51</v>
      </c>
      <c r="L77">
        <v>0</v>
      </c>
      <c r="M77" t="s">
        <v>52</v>
      </c>
      <c r="N77">
        <v>1</v>
      </c>
      <c r="O77" t="s">
        <v>53</v>
      </c>
      <c r="P77" s="2">
        <v>0.44513888888888892</v>
      </c>
      <c r="Q77">
        <f>0.0007782229*3600</f>
        <v>2.8016024400000004</v>
      </c>
      <c r="R77">
        <f>-0.0007052255*3600</f>
        <v>-2.5388118</v>
      </c>
    </row>
    <row r="78" spans="1:18" x14ac:dyDescent="0.3">
      <c r="A78" s="4" t="s">
        <v>47</v>
      </c>
      <c r="B78" t="s">
        <v>54</v>
      </c>
      <c r="C78">
        <v>341.80771199999998</v>
      </c>
      <c r="D78">
        <v>104.167801</v>
      </c>
      <c r="E78">
        <v>15.4015</v>
      </c>
      <c r="F78">
        <v>15.3658</v>
      </c>
      <c r="G78">
        <v>0.26100000000000001</v>
      </c>
      <c r="H78">
        <v>1.6479999999999999</v>
      </c>
      <c r="I78" t="s">
        <v>0</v>
      </c>
      <c r="J78" t="s">
        <v>50</v>
      </c>
      <c r="K78" t="s">
        <v>51</v>
      </c>
      <c r="L78">
        <v>0</v>
      </c>
      <c r="M78" t="s">
        <v>52</v>
      </c>
      <c r="N78">
        <v>1</v>
      </c>
      <c r="O78" t="s">
        <v>53</v>
      </c>
      <c r="P78" s="2">
        <v>0.4465277777777778</v>
      </c>
      <c r="Q78">
        <f>-0.0023057688*3600</f>
        <v>-8.3007676799999999</v>
      </c>
      <c r="R78">
        <f>0.0001434342*3600</f>
        <v>0.51636311999999995</v>
      </c>
    </row>
    <row r="79" spans="1:18" x14ac:dyDescent="0.3">
      <c r="A79" s="4" t="s">
        <v>47</v>
      </c>
      <c r="B79" t="s">
        <v>49</v>
      </c>
      <c r="C79">
        <v>202.35007999999999</v>
      </c>
      <c r="D79">
        <v>99.287700999999998</v>
      </c>
      <c r="E79">
        <v>502.99990000000003</v>
      </c>
      <c r="F79">
        <v>502.87810000000002</v>
      </c>
      <c r="G79">
        <v>0.26100000000000001</v>
      </c>
      <c r="H79">
        <v>1.746</v>
      </c>
      <c r="I79" t="s">
        <v>0</v>
      </c>
      <c r="J79" t="s">
        <v>50</v>
      </c>
      <c r="K79" t="s">
        <v>51</v>
      </c>
      <c r="L79">
        <v>0</v>
      </c>
      <c r="M79" t="s">
        <v>52</v>
      </c>
      <c r="N79">
        <v>1</v>
      </c>
      <c r="O79" t="s">
        <v>53</v>
      </c>
      <c r="P79" s="2">
        <v>0.36388888888888887</v>
      </c>
      <c r="Q79">
        <f>-0.0001623108*3600</f>
        <v>-0.5843188800000001</v>
      </c>
      <c r="R79">
        <f>0.0000831539*3600</f>
        <v>0.29935403999999999</v>
      </c>
    </row>
    <row r="80" spans="1:18" x14ac:dyDescent="0.3">
      <c r="A80" s="4" t="s">
        <v>47</v>
      </c>
      <c r="B80" t="s">
        <v>49</v>
      </c>
      <c r="C80">
        <v>202.350176</v>
      </c>
      <c r="D80">
        <v>99.288132000000004</v>
      </c>
      <c r="E80">
        <v>502.99979999999999</v>
      </c>
      <c r="F80">
        <v>502.87799999999999</v>
      </c>
      <c r="G80">
        <v>0.26100000000000001</v>
      </c>
      <c r="H80">
        <v>1.746</v>
      </c>
      <c r="I80" t="s">
        <v>0</v>
      </c>
      <c r="J80" t="s">
        <v>50</v>
      </c>
      <c r="K80" t="s">
        <v>51</v>
      </c>
      <c r="L80">
        <v>0</v>
      </c>
      <c r="M80" t="s">
        <v>52</v>
      </c>
      <c r="N80">
        <v>1</v>
      </c>
      <c r="O80" t="s">
        <v>53</v>
      </c>
      <c r="P80" s="2">
        <v>0.36736111111111108</v>
      </c>
      <c r="Q80">
        <f>0.0001832537*3600</f>
        <v>0.65971331999999994</v>
      </c>
      <c r="R80">
        <f>0.0004756127*3600</f>
        <v>1.71220572</v>
      </c>
    </row>
    <row r="81" spans="1:18" x14ac:dyDescent="0.3">
      <c r="A81" s="4" t="s">
        <v>47</v>
      </c>
      <c r="B81" t="s">
        <v>49</v>
      </c>
      <c r="C81">
        <v>2.3500190000000001</v>
      </c>
      <c r="D81">
        <v>300.711656</v>
      </c>
      <c r="E81">
        <v>503</v>
      </c>
      <c r="F81">
        <v>502.87830000000002</v>
      </c>
      <c r="G81">
        <v>0.26100000000000001</v>
      </c>
      <c r="H81">
        <v>1.746</v>
      </c>
      <c r="I81" t="s">
        <v>0</v>
      </c>
      <c r="J81" t="s">
        <v>50</v>
      </c>
      <c r="K81" t="s">
        <v>51</v>
      </c>
      <c r="L81">
        <v>0</v>
      </c>
      <c r="M81" t="s">
        <v>52</v>
      </c>
      <c r="N81">
        <v>1</v>
      </c>
      <c r="O81" t="s">
        <v>53</v>
      </c>
      <c r="P81" s="2">
        <v>0.3743055555555555</v>
      </c>
      <c r="Q81">
        <f>-0.0006982263*3600</f>
        <v>-2.5136146799999999</v>
      </c>
      <c r="R81">
        <f>-0.0003027589*3600</f>
        <v>-1.0899320400000001</v>
      </c>
    </row>
    <row r="82" spans="1:18" x14ac:dyDescent="0.3">
      <c r="A82" s="4" t="s">
        <v>47</v>
      </c>
      <c r="B82" t="s">
        <v>49</v>
      </c>
      <c r="C82">
        <v>202.35006799999999</v>
      </c>
      <c r="D82">
        <v>99.288280999999998</v>
      </c>
      <c r="E82">
        <v>502.99970000000002</v>
      </c>
      <c r="F82">
        <v>502.87799999999999</v>
      </c>
      <c r="G82">
        <v>0.26100000000000001</v>
      </c>
      <c r="H82">
        <v>1.746</v>
      </c>
      <c r="I82" t="s">
        <v>0</v>
      </c>
      <c r="J82" t="s">
        <v>50</v>
      </c>
      <c r="K82" t="s">
        <v>51</v>
      </c>
      <c r="L82">
        <v>0</v>
      </c>
      <c r="M82" t="s">
        <v>52</v>
      </c>
      <c r="N82">
        <v>1</v>
      </c>
      <c r="O82" t="s">
        <v>53</v>
      </c>
      <c r="P82" s="2">
        <v>0.37847222222222227</v>
      </c>
      <c r="Q82">
        <f>0.000285774*3600</f>
        <v>1.0287864</v>
      </c>
      <c r="R82">
        <f>0.0005238371*3600</f>
        <v>1.8858135600000001</v>
      </c>
    </row>
    <row r="83" spans="1:18" x14ac:dyDescent="0.3">
      <c r="A83" s="4" t="s">
        <v>47</v>
      </c>
      <c r="B83" t="s">
        <v>49</v>
      </c>
      <c r="C83">
        <v>2.3500350000000001</v>
      </c>
      <c r="D83">
        <v>300.711814</v>
      </c>
      <c r="E83">
        <v>503.00080000000003</v>
      </c>
      <c r="F83">
        <v>502.87909999999999</v>
      </c>
      <c r="G83">
        <v>0.26100000000000001</v>
      </c>
      <c r="H83">
        <v>1.746</v>
      </c>
      <c r="I83" t="s">
        <v>0</v>
      </c>
      <c r="J83" t="s">
        <v>50</v>
      </c>
      <c r="K83" t="s">
        <v>51</v>
      </c>
      <c r="L83">
        <v>0</v>
      </c>
      <c r="M83" t="s">
        <v>52</v>
      </c>
      <c r="N83">
        <v>1</v>
      </c>
      <c r="O83" t="s">
        <v>53</v>
      </c>
      <c r="P83" s="2">
        <v>0.38263888888888892</v>
      </c>
      <c r="Q83">
        <f>-0.0009753866*3600</f>
        <v>-3.51139176</v>
      </c>
      <c r="R83">
        <f>-0.00080794*3600</f>
        <v>-2.9085840000000003</v>
      </c>
    </row>
    <row r="84" spans="1:18" x14ac:dyDescent="0.3">
      <c r="A84" s="4" t="s">
        <v>47</v>
      </c>
      <c r="B84" t="s">
        <v>49</v>
      </c>
      <c r="C84">
        <v>202.34975800000001</v>
      </c>
      <c r="D84">
        <v>99.288276999999994</v>
      </c>
      <c r="E84">
        <v>502.99990000000003</v>
      </c>
      <c r="F84">
        <v>502.87819999999999</v>
      </c>
      <c r="G84">
        <v>0.26100000000000001</v>
      </c>
      <c r="H84">
        <v>1.746</v>
      </c>
      <c r="I84" t="s">
        <v>0</v>
      </c>
      <c r="J84" t="s">
        <v>50</v>
      </c>
      <c r="K84" t="s">
        <v>51</v>
      </c>
      <c r="L84">
        <v>0</v>
      </c>
      <c r="M84" t="s">
        <v>52</v>
      </c>
      <c r="N84">
        <v>1</v>
      </c>
      <c r="O84" t="s">
        <v>53</v>
      </c>
      <c r="P84" s="2">
        <v>0.38263888888888892</v>
      </c>
      <c r="Q84">
        <f>0.0006117474*3600</f>
        <v>2.2022906399999997</v>
      </c>
      <c r="R84">
        <f>0.0002195808*3600</f>
        <v>0.79049088000000001</v>
      </c>
    </row>
    <row r="85" spans="1:18" x14ac:dyDescent="0.3">
      <c r="A85" s="4" t="s">
        <v>47</v>
      </c>
      <c r="B85" t="s">
        <v>49</v>
      </c>
      <c r="C85">
        <v>202.35029499999999</v>
      </c>
      <c r="D85">
        <v>99.287779999999998</v>
      </c>
      <c r="E85">
        <v>503</v>
      </c>
      <c r="F85">
        <v>502.87819999999999</v>
      </c>
      <c r="G85">
        <v>0.26100000000000001</v>
      </c>
      <c r="H85">
        <v>1.746</v>
      </c>
      <c r="I85" t="s">
        <v>0</v>
      </c>
      <c r="J85" t="s">
        <v>50</v>
      </c>
      <c r="K85" t="s">
        <v>51</v>
      </c>
      <c r="L85">
        <v>0</v>
      </c>
      <c r="M85" t="s">
        <v>52</v>
      </c>
      <c r="N85">
        <v>1</v>
      </c>
      <c r="O85" t="s">
        <v>53</v>
      </c>
      <c r="P85" s="2">
        <v>0.38750000000000001</v>
      </c>
      <c r="Q85">
        <f>0.0006805814*3600</f>
        <v>2.4500930400000001</v>
      </c>
      <c r="R85">
        <f>0.0003545659*3600</f>
        <v>1.2764372400000001</v>
      </c>
    </row>
    <row r="86" spans="1:18" x14ac:dyDescent="0.3">
      <c r="A86" s="4" t="s">
        <v>47</v>
      </c>
      <c r="B86" t="s">
        <v>49</v>
      </c>
      <c r="C86">
        <v>2.350257</v>
      </c>
      <c r="D86">
        <v>300.71151700000001</v>
      </c>
      <c r="E86">
        <v>503.00020000000001</v>
      </c>
      <c r="F86">
        <v>502.87849999999997</v>
      </c>
      <c r="G86">
        <v>0.26100000000000001</v>
      </c>
      <c r="H86">
        <v>1.746</v>
      </c>
      <c r="I86" t="s">
        <v>0</v>
      </c>
      <c r="J86" t="s">
        <v>50</v>
      </c>
      <c r="K86" t="s">
        <v>51</v>
      </c>
      <c r="L86">
        <v>0</v>
      </c>
      <c r="M86" t="s">
        <v>52</v>
      </c>
      <c r="N86">
        <v>1</v>
      </c>
      <c r="O86" t="s">
        <v>53</v>
      </c>
      <c r="P86" s="2">
        <v>0.39097222222222222</v>
      </c>
      <c r="Q86">
        <f>-0.0007570444*3600</f>
        <v>-2.7253598400000003</v>
      </c>
      <c r="R86">
        <f>-0.0004882278*3600</f>
        <v>-1.7576200799999999</v>
      </c>
    </row>
    <row r="87" spans="1:18" x14ac:dyDescent="0.3">
      <c r="A87" s="4" t="s">
        <v>47</v>
      </c>
      <c r="B87" t="s">
        <v>49</v>
      </c>
      <c r="C87">
        <v>202.349988</v>
      </c>
      <c r="D87">
        <v>99.288005999999996</v>
      </c>
      <c r="E87">
        <v>503.00009999999997</v>
      </c>
      <c r="F87">
        <v>502.87830000000002</v>
      </c>
      <c r="G87">
        <v>0.26100000000000001</v>
      </c>
      <c r="H87">
        <v>1.746</v>
      </c>
      <c r="I87" t="s">
        <v>0</v>
      </c>
      <c r="J87" t="s">
        <v>50</v>
      </c>
      <c r="K87" t="s">
        <v>51</v>
      </c>
      <c r="L87">
        <v>0</v>
      </c>
      <c r="M87" t="s">
        <v>52</v>
      </c>
      <c r="N87">
        <v>1</v>
      </c>
      <c r="O87" t="s">
        <v>53</v>
      </c>
      <c r="P87" s="2">
        <v>0.39097222222222222</v>
      </c>
      <c r="Q87">
        <f>0.0001697824*3600</f>
        <v>0.61121663999999998</v>
      </c>
      <c r="R87">
        <f>0.0005479036*3600</f>
        <v>1.9724529599999998</v>
      </c>
    </row>
    <row r="88" spans="1:18" x14ac:dyDescent="0.3">
      <c r="A88" s="4" t="s">
        <v>47</v>
      </c>
      <c r="B88" t="s">
        <v>49</v>
      </c>
      <c r="C88">
        <v>2.3497840000000001</v>
      </c>
      <c r="D88">
        <v>300.71139699999998</v>
      </c>
      <c r="E88">
        <v>503.00009999999997</v>
      </c>
      <c r="F88">
        <v>502.8784</v>
      </c>
      <c r="G88">
        <v>0.26100000000000001</v>
      </c>
      <c r="H88">
        <v>1.746</v>
      </c>
      <c r="I88" t="s">
        <v>0</v>
      </c>
      <c r="J88" t="s">
        <v>50</v>
      </c>
      <c r="K88" t="s">
        <v>51</v>
      </c>
      <c r="L88">
        <v>0</v>
      </c>
      <c r="M88" t="s">
        <v>52</v>
      </c>
      <c r="N88">
        <v>1</v>
      </c>
      <c r="O88" t="s">
        <v>53</v>
      </c>
      <c r="P88" s="2">
        <v>0.39513888888888887</v>
      </c>
      <c r="Q88">
        <f>-0.000849106*3600</f>
        <v>-3.0567815999999999</v>
      </c>
      <c r="R88">
        <f>-0.0009386245*3600</f>
        <v>-3.3790482000000002</v>
      </c>
    </row>
    <row r="89" spans="1:18" x14ac:dyDescent="0.3">
      <c r="A89" s="4" t="s">
        <v>47</v>
      </c>
      <c r="B89" t="s">
        <v>49</v>
      </c>
      <c r="C89">
        <v>202.34995900000001</v>
      </c>
      <c r="D89">
        <v>99.288087000000004</v>
      </c>
      <c r="E89">
        <v>503.00009999999997</v>
      </c>
      <c r="F89">
        <v>502.87830000000002</v>
      </c>
      <c r="G89">
        <v>0.26100000000000001</v>
      </c>
      <c r="H89">
        <v>1.746</v>
      </c>
      <c r="I89" t="s">
        <v>0</v>
      </c>
      <c r="J89" t="s">
        <v>50</v>
      </c>
      <c r="K89" t="s">
        <v>51</v>
      </c>
      <c r="L89">
        <v>0</v>
      </c>
      <c r="M89" t="s">
        <v>52</v>
      </c>
      <c r="N89">
        <v>1</v>
      </c>
      <c r="O89" t="s">
        <v>53</v>
      </c>
      <c r="P89" s="2">
        <v>0.39513888888888887</v>
      </c>
      <c r="Q89">
        <f>0.0002626192*3600</f>
        <v>0.9454291199999999</v>
      </c>
      <c r="R89">
        <f>0.0005061258*3600</f>
        <v>1.82205288</v>
      </c>
    </row>
    <row r="90" spans="1:18" x14ac:dyDescent="0.3">
      <c r="A90" s="4" t="s">
        <v>47</v>
      </c>
      <c r="B90" t="s">
        <v>49</v>
      </c>
      <c r="C90">
        <v>2.3504350000000001</v>
      </c>
      <c r="D90">
        <v>300.71198199999998</v>
      </c>
      <c r="E90">
        <v>503.00020000000001</v>
      </c>
      <c r="F90">
        <v>502.8784</v>
      </c>
      <c r="G90">
        <v>0.26100000000000001</v>
      </c>
      <c r="H90">
        <v>1.746</v>
      </c>
      <c r="I90" t="s">
        <v>0</v>
      </c>
      <c r="J90" t="s">
        <v>50</v>
      </c>
      <c r="K90" t="s">
        <v>51</v>
      </c>
      <c r="L90">
        <v>0</v>
      </c>
      <c r="M90" t="s">
        <v>52</v>
      </c>
      <c r="N90">
        <v>1</v>
      </c>
      <c r="O90" t="s">
        <v>53</v>
      </c>
      <c r="P90" s="2">
        <v>0.3979166666666667</v>
      </c>
      <c r="Q90">
        <f>-0.0010110672*3600</f>
        <v>-3.6398419199999994</v>
      </c>
      <c r="R90">
        <f>-0.0009675318*3600</f>
        <v>-3.4831144800000002</v>
      </c>
    </row>
    <row r="91" spans="1:18" x14ac:dyDescent="0.3">
      <c r="A91" s="4" t="s">
        <v>47</v>
      </c>
      <c r="B91" t="s">
        <v>49</v>
      </c>
      <c r="C91">
        <v>202.349974</v>
      </c>
      <c r="D91">
        <v>99.287789000000004</v>
      </c>
      <c r="E91">
        <v>503.00020000000001</v>
      </c>
      <c r="F91">
        <v>502.8784</v>
      </c>
      <c r="G91">
        <v>0.26100000000000001</v>
      </c>
      <c r="H91">
        <v>1.746</v>
      </c>
      <c r="I91" t="s">
        <v>0</v>
      </c>
      <c r="J91" t="s">
        <v>50</v>
      </c>
      <c r="K91" t="s">
        <v>51</v>
      </c>
      <c r="L91">
        <v>0</v>
      </c>
      <c r="M91" t="s">
        <v>52</v>
      </c>
      <c r="N91">
        <v>1</v>
      </c>
      <c r="O91" t="s">
        <v>53</v>
      </c>
      <c r="P91" s="2">
        <v>0.39861111111111108</v>
      </c>
      <c r="Q91">
        <f>0.0005489225*3600</f>
        <v>1.976121</v>
      </c>
      <c r="R91">
        <f>0.0005787275*3600</f>
        <v>2.0834189999999997</v>
      </c>
    </row>
    <row r="92" spans="1:18" x14ac:dyDescent="0.3">
      <c r="A92" s="4" t="s">
        <v>47</v>
      </c>
      <c r="B92" t="s">
        <v>49</v>
      </c>
      <c r="C92">
        <v>2.3499370000000002</v>
      </c>
      <c r="D92">
        <v>300.71181799999999</v>
      </c>
      <c r="E92">
        <v>503.00029999999998</v>
      </c>
      <c r="F92">
        <v>502.87860000000001</v>
      </c>
      <c r="G92">
        <v>0.26100000000000001</v>
      </c>
      <c r="H92">
        <v>1.746</v>
      </c>
      <c r="I92" t="s">
        <v>0</v>
      </c>
      <c r="J92" t="s">
        <v>50</v>
      </c>
      <c r="K92" t="s">
        <v>51</v>
      </c>
      <c r="L92">
        <v>0</v>
      </c>
      <c r="M92" t="s">
        <v>52</v>
      </c>
      <c r="N92">
        <v>1</v>
      </c>
      <c r="O92" t="s">
        <v>53</v>
      </c>
      <c r="P92" s="2">
        <v>0.40208333333333335</v>
      </c>
      <c r="Q92">
        <f>-0.0011139409*3600</f>
        <v>-4.0101872399999996</v>
      </c>
      <c r="R92">
        <f>-0.0010345674*3600</f>
        <v>-3.7244426400000004</v>
      </c>
    </row>
    <row r="93" spans="1:18" x14ac:dyDescent="0.3">
      <c r="A93" s="4" t="s">
        <v>47</v>
      </c>
      <c r="B93" t="s">
        <v>49</v>
      </c>
      <c r="C93">
        <v>202.34958399999999</v>
      </c>
      <c r="D93">
        <v>99.288460999999998</v>
      </c>
      <c r="E93">
        <v>502.99979999999999</v>
      </c>
      <c r="F93">
        <v>502.87810000000002</v>
      </c>
      <c r="G93">
        <v>0.26100000000000001</v>
      </c>
      <c r="H93">
        <v>1.746</v>
      </c>
      <c r="I93" t="s">
        <v>0</v>
      </c>
      <c r="J93" t="s">
        <v>50</v>
      </c>
      <c r="K93" t="s">
        <v>51</v>
      </c>
      <c r="L93">
        <v>0</v>
      </c>
      <c r="M93" t="s">
        <v>52</v>
      </c>
      <c r="N93">
        <v>1</v>
      </c>
      <c r="O93" t="s">
        <v>53</v>
      </c>
      <c r="P93" s="2">
        <v>0.40208333333333335</v>
      </c>
      <c r="Q93">
        <f>0.0008103896*3600</f>
        <v>2.9174025600000002</v>
      </c>
      <c r="R93">
        <f>0.000534907*3600</f>
        <v>1.9256652000000001</v>
      </c>
    </row>
    <row r="94" spans="1:18" x14ac:dyDescent="0.3">
      <c r="A94" s="4" t="s">
        <v>47</v>
      </c>
      <c r="B94" t="s">
        <v>49</v>
      </c>
      <c r="C94">
        <v>2.3508810000000002</v>
      </c>
      <c r="D94">
        <v>300.711994</v>
      </c>
      <c r="E94">
        <v>503.00029999999998</v>
      </c>
      <c r="F94">
        <v>502.87849999999997</v>
      </c>
      <c r="G94">
        <v>0.26100000000000001</v>
      </c>
      <c r="H94">
        <v>1.746</v>
      </c>
      <c r="I94" t="s">
        <v>0</v>
      </c>
      <c r="J94" t="s">
        <v>50</v>
      </c>
      <c r="K94" t="s">
        <v>51</v>
      </c>
      <c r="L94">
        <v>0</v>
      </c>
      <c r="M94" t="s">
        <v>52</v>
      </c>
      <c r="N94">
        <v>1</v>
      </c>
      <c r="O94" t="s">
        <v>53</v>
      </c>
      <c r="P94" s="2">
        <v>0.4055555555555555</v>
      </c>
      <c r="Q94">
        <f>-0.0009486234*3600</f>
        <v>-3.4150442400000003</v>
      </c>
      <c r="R94">
        <f>-0.0005134177*3600</f>
        <v>-1.8483037199999999</v>
      </c>
    </row>
    <row r="95" spans="1:18" x14ac:dyDescent="0.3">
      <c r="A95" s="4" t="s">
        <v>47</v>
      </c>
      <c r="B95" t="s">
        <v>49</v>
      </c>
      <c r="C95">
        <v>202.349785</v>
      </c>
      <c r="D95">
        <v>99.287616</v>
      </c>
      <c r="E95">
        <v>503</v>
      </c>
      <c r="F95">
        <v>502.87819999999999</v>
      </c>
      <c r="G95">
        <v>0.26100000000000001</v>
      </c>
      <c r="H95">
        <v>1.746</v>
      </c>
      <c r="I95" t="s">
        <v>0</v>
      </c>
      <c r="J95" t="s">
        <v>50</v>
      </c>
      <c r="K95" t="s">
        <v>51</v>
      </c>
      <c r="L95">
        <v>0</v>
      </c>
      <c r="M95" t="s">
        <v>52</v>
      </c>
      <c r="N95">
        <v>1</v>
      </c>
      <c r="O95" t="s">
        <v>53</v>
      </c>
      <c r="P95" s="2">
        <v>0.4055555555555555</v>
      </c>
      <c r="Q95">
        <f>0.000625814*3600</f>
        <v>2.2529304000000003</v>
      </c>
      <c r="R95">
        <f>0.000432609*3600</f>
        <v>1.5573923999999999</v>
      </c>
    </row>
    <row r="96" spans="1:18" x14ac:dyDescent="0.3">
      <c r="A96" s="4" t="s">
        <v>47</v>
      </c>
      <c r="B96" t="s">
        <v>49</v>
      </c>
      <c r="C96">
        <v>2.3504610000000001</v>
      </c>
      <c r="D96">
        <v>300.71206999999998</v>
      </c>
      <c r="E96">
        <v>503.00049999999999</v>
      </c>
      <c r="F96">
        <v>502.87869999999998</v>
      </c>
      <c r="G96">
        <v>0.26100000000000001</v>
      </c>
      <c r="H96">
        <v>1.746</v>
      </c>
      <c r="I96" t="s">
        <v>0</v>
      </c>
      <c r="J96" t="s">
        <v>50</v>
      </c>
      <c r="K96" t="s">
        <v>51</v>
      </c>
      <c r="L96">
        <v>0</v>
      </c>
      <c r="M96" t="s">
        <v>52</v>
      </c>
      <c r="N96">
        <v>1</v>
      </c>
      <c r="O96" t="s">
        <v>53</v>
      </c>
      <c r="P96" s="2">
        <v>0.40902777777777777</v>
      </c>
      <c r="Q96">
        <f>-0.0009577565*3600</f>
        <v>-3.4479234000000001</v>
      </c>
      <c r="R96">
        <f>-0.0005427839*3600</f>
        <v>-1.9540220400000001</v>
      </c>
    </row>
    <row r="97" spans="1:18" x14ac:dyDescent="0.3">
      <c r="A97" s="4" t="s">
        <v>47</v>
      </c>
      <c r="B97" t="s">
        <v>49</v>
      </c>
      <c r="C97">
        <v>202.34970100000001</v>
      </c>
      <c r="D97">
        <v>99.287926999999996</v>
      </c>
      <c r="E97">
        <v>503.00009999999997</v>
      </c>
      <c r="F97">
        <v>502.87830000000002</v>
      </c>
      <c r="G97">
        <v>0.26100000000000001</v>
      </c>
      <c r="H97">
        <v>1.746</v>
      </c>
      <c r="I97" t="s">
        <v>0</v>
      </c>
      <c r="J97" t="s">
        <v>50</v>
      </c>
      <c r="K97" t="s">
        <v>51</v>
      </c>
      <c r="L97">
        <v>0</v>
      </c>
      <c r="M97" t="s">
        <v>52</v>
      </c>
      <c r="N97">
        <v>1</v>
      </c>
      <c r="O97" t="s">
        <v>53</v>
      </c>
      <c r="P97" s="2">
        <v>0.40902777777777777</v>
      </c>
      <c r="Q97">
        <f>0.0002172441*3600</f>
        <v>0.78207875999999998</v>
      </c>
      <c r="R97">
        <f>0.0006655702*3600</f>
        <v>2.3960527200000001</v>
      </c>
    </row>
    <row r="98" spans="1:18" x14ac:dyDescent="0.3">
      <c r="A98" s="4" t="s">
        <v>47</v>
      </c>
      <c r="B98" t="s">
        <v>49</v>
      </c>
      <c r="C98">
        <v>2.3499110000000001</v>
      </c>
      <c r="D98">
        <v>300.71178200000003</v>
      </c>
      <c r="E98">
        <v>503.00029999999998</v>
      </c>
      <c r="F98">
        <v>502.87860000000001</v>
      </c>
      <c r="G98">
        <v>0.26100000000000001</v>
      </c>
      <c r="H98">
        <v>1.746</v>
      </c>
      <c r="I98" t="s">
        <v>0</v>
      </c>
      <c r="J98" t="s">
        <v>50</v>
      </c>
      <c r="K98" t="s">
        <v>51</v>
      </c>
      <c r="L98">
        <v>0</v>
      </c>
      <c r="M98" t="s">
        <v>52</v>
      </c>
      <c r="N98">
        <v>1</v>
      </c>
      <c r="O98" t="s">
        <v>53</v>
      </c>
      <c r="P98" s="2">
        <v>0.41180555555555554</v>
      </c>
      <c r="Q98">
        <f>-0.0009611475*3600</f>
        <v>-3.4601310000000001</v>
      </c>
      <c r="R98">
        <f>-0.0005576406*3600</f>
        <v>-2.0075061599999997</v>
      </c>
    </row>
    <row r="99" spans="1:18" x14ac:dyDescent="0.3">
      <c r="A99" s="4" t="s">
        <v>47</v>
      </c>
      <c r="B99" t="s">
        <v>49</v>
      </c>
      <c r="C99">
        <v>202.349763</v>
      </c>
      <c r="D99">
        <v>99.288314999999997</v>
      </c>
      <c r="E99">
        <v>503.00020000000001</v>
      </c>
      <c r="F99">
        <v>502.87849999999997</v>
      </c>
      <c r="G99">
        <v>0.26100000000000001</v>
      </c>
      <c r="H99">
        <v>1.746</v>
      </c>
      <c r="I99" t="s">
        <v>0</v>
      </c>
      <c r="J99" t="s">
        <v>50</v>
      </c>
      <c r="K99" t="s">
        <v>51</v>
      </c>
      <c r="L99">
        <v>0</v>
      </c>
      <c r="M99" t="s">
        <v>52</v>
      </c>
      <c r="N99">
        <v>1</v>
      </c>
      <c r="O99" t="s">
        <v>53</v>
      </c>
      <c r="P99" s="2">
        <v>0.41180555555555554</v>
      </c>
      <c r="Q99">
        <f>0.0006139861*3600</f>
        <v>2.2103499599999998</v>
      </c>
      <c r="R99">
        <f>0.0004215312*3600</f>
        <v>1.51751232</v>
      </c>
    </row>
    <row r="100" spans="1:18" x14ac:dyDescent="0.3">
      <c r="A100" s="4" t="s">
        <v>47</v>
      </c>
      <c r="B100" t="s">
        <v>49</v>
      </c>
      <c r="C100">
        <v>202.350313</v>
      </c>
      <c r="D100">
        <v>99.289167000000006</v>
      </c>
      <c r="E100">
        <v>503</v>
      </c>
      <c r="F100">
        <v>502.87830000000002</v>
      </c>
      <c r="G100">
        <v>0.26100000000000001</v>
      </c>
      <c r="H100">
        <v>1.746</v>
      </c>
      <c r="I100" t="s">
        <v>0</v>
      </c>
      <c r="J100" t="s">
        <v>50</v>
      </c>
      <c r="K100" t="s">
        <v>51</v>
      </c>
      <c r="L100">
        <v>0</v>
      </c>
      <c r="M100" t="s">
        <v>52</v>
      </c>
      <c r="N100">
        <v>1</v>
      </c>
      <c r="O100" t="s">
        <v>53</v>
      </c>
      <c r="P100" s="2">
        <v>0.41597222222222219</v>
      </c>
      <c r="Q100">
        <f>0.0007702843*3600</f>
        <v>2.77302348</v>
      </c>
      <c r="R100">
        <f>0.0005717403*3600</f>
        <v>2.05826508</v>
      </c>
    </row>
    <row r="101" spans="1:18" x14ac:dyDescent="0.3">
      <c r="A101" s="4" t="s">
        <v>47</v>
      </c>
      <c r="B101" t="s">
        <v>49</v>
      </c>
      <c r="C101">
        <v>202.350528</v>
      </c>
      <c r="D101">
        <v>99.288308999999998</v>
      </c>
      <c r="E101">
        <v>503.00009999999997</v>
      </c>
      <c r="F101">
        <v>502.8784</v>
      </c>
      <c r="G101">
        <v>0.26100000000000001</v>
      </c>
      <c r="H101">
        <v>1.746</v>
      </c>
      <c r="I101" t="s">
        <v>0</v>
      </c>
      <c r="J101" t="s">
        <v>50</v>
      </c>
      <c r="K101" t="s">
        <v>51</v>
      </c>
      <c r="L101">
        <v>0</v>
      </c>
      <c r="M101" t="s">
        <v>52</v>
      </c>
      <c r="N101">
        <v>1</v>
      </c>
      <c r="O101" t="s">
        <v>53</v>
      </c>
      <c r="P101" s="2">
        <v>0.41944444444444445</v>
      </c>
      <c r="Q101">
        <f>0.0002096405*3600</f>
        <v>0.75470580000000009</v>
      </c>
      <c r="R101">
        <f>0.0007914517*3600</f>
        <v>2.84922612</v>
      </c>
    </row>
    <row r="102" spans="1:18" x14ac:dyDescent="0.3">
      <c r="A102" s="4" t="s">
        <v>47</v>
      </c>
      <c r="B102" t="s">
        <v>49</v>
      </c>
      <c r="C102">
        <v>2.349942</v>
      </c>
      <c r="D102">
        <v>300.711097</v>
      </c>
      <c r="E102">
        <v>503.00009999999997</v>
      </c>
      <c r="F102">
        <v>502.8784</v>
      </c>
      <c r="G102">
        <v>0.26100000000000001</v>
      </c>
      <c r="H102">
        <v>1.746</v>
      </c>
      <c r="I102" t="s">
        <v>0</v>
      </c>
      <c r="J102" t="s">
        <v>50</v>
      </c>
      <c r="K102" t="s">
        <v>51</v>
      </c>
      <c r="L102">
        <v>0</v>
      </c>
      <c r="M102" t="s">
        <v>52</v>
      </c>
      <c r="N102">
        <v>1</v>
      </c>
      <c r="O102" t="s">
        <v>53</v>
      </c>
      <c r="P102" s="2">
        <v>0.42569444444444443</v>
      </c>
      <c r="Q102">
        <f>-0.0008537163*3600</f>
        <v>-3.0733786800000003</v>
      </c>
      <c r="R102">
        <f>-0.0007227602*3600</f>
        <v>-2.6019367199999999</v>
      </c>
    </row>
    <row r="103" spans="1:18" x14ac:dyDescent="0.3">
      <c r="A103" s="4" t="s">
        <v>47</v>
      </c>
      <c r="B103" t="s">
        <v>49</v>
      </c>
      <c r="C103">
        <v>202.349752</v>
      </c>
      <c r="D103">
        <v>99.289410000000004</v>
      </c>
      <c r="E103">
        <v>502.99979999999999</v>
      </c>
      <c r="F103">
        <v>502.87819999999999</v>
      </c>
      <c r="G103">
        <v>0.26100000000000001</v>
      </c>
      <c r="H103">
        <v>1.746</v>
      </c>
      <c r="I103" t="s">
        <v>0</v>
      </c>
      <c r="J103" t="s">
        <v>50</v>
      </c>
      <c r="K103" t="s">
        <v>51</v>
      </c>
      <c r="L103">
        <v>0</v>
      </c>
      <c r="M103" t="s">
        <v>52</v>
      </c>
      <c r="N103">
        <v>1</v>
      </c>
      <c r="O103" t="s">
        <v>53</v>
      </c>
      <c r="P103" s="2">
        <v>0.42569444444444443</v>
      </c>
      <c r="Q103">
        <f>0.0008744749*3600</f>
        <v>3.1481096399999999</v>
      </c>
      <c r="R103">
        <f>0.0004637911*3600</f>
        <v>1.66964796</v>
      </c>
    </row>
    <row r="104" spans="1:18" x14ac:dyDescent="0.3">
      <c r="A104" s="4" t="s">
        <v>47</v>
      </c>
      <c r="B104" t="s">
        <v>49</v>
      </c>
      <c r="C104">
        <v>2.350403</v>
      </c>
      <c r="D104">
        <v>300.71120300000001</v>
      </c>
      <c r="E104">
        <v>503.00049999999999</v>
      </c>
      <c r="F104">
        <v>502.87880000000001</v>
      </c>
      <c r="G104">
        <v>0.26100000000000001</v>
      </c>
      <c r="H104">
        <v>1.746</v>
      </c>
      <c r="I104" t="s">
        <v>0</v>
      </c>
      <c r="J104" t="s">
        <v>50</v>
      </c>
      <c r="K104" t="s">
        <v>51</v>
      </c>
      <c r="L104">
        <v>0</v>
      </c>
      <c r="M104" t="s">
        <v>52</v>
      </c>
      <c r="N104">
        <v>1</v>
      </c>
      <c r="O104" t="s">
        <v>53</v>
      </c>
      <c r="P104" s="2">
        <v>0.4284722222222222</v>
      </c>
      <c r="Q104">
        <f>-0.0012636135*3600</f>
        <v>-4.5490085999999996</v>
      </c>
      <c r="R104">
        <f>-0.0011103561*3600</f>
        <v>-3.9972819600000005</v>
      </c>
    </row>
    <row r="105" spans="1:18" x14ac:dyDescent="0.3">
      <c r="A105" s="4" t="s">
        <v>47</v>
      </c>
      <c r="B105" t="s">
        <v>49</v>
      </c>
      <c r="C105">
        <v>202.34965800000001</v>
      </c>
      <c r="D105">
        <v>99.288377999999994</v>
      </c>
      <c r="E105">
        <v>502.99979999999999</v>
      </c>
      <c r="F105">
        <v>502.87810000000002</v>
      </c>
      <c r="G105">
        <v>0.26100000000000001</v>
      </c>
      <c r="H105">
        <v>1.746</v>
      </c>
      <c r="I105" t="s">
        <v>0</v>
      </c>
      <c r="J105" t="s">
        <v>50</v>
      </c>
      <c r="K105" t="s">
        <v>51</v>
      </c>
      <c r="L105">
        <v>0</v>
      </c>
      <c r="M105" t="s">
        <v>52</v>
      </c>
      <c r="N105">
        <v>1</v>
      </c>
      <c r="O105" t="s">
        <v>53</v>
      </c>
      <c r="P105" s="2">
        <v>0.4284722222222222</v>
      </c>
      <c r="Q105">
        <f>0.000469522*3600</f>
        <v>1.6902792</v>
      </c>
      <c r="R105">
        <f>0.0008710293*3600</f>
        <v>3.1357054800000004</v>
      </c>
    </row>
    <row r="106" spans="1:18" x14ac:dyDescent="0.3">
      <c r="A106" s="4" t="s">
        <v>47</v>
      </c>
      <c r="B106" t="s">
        <v>49</v>
      </c>
      <c r="C106">
        <v>2.3503810000000001</v>
      </c>
      <c r="D106">
        <v>300.711771</v>
      </c>
      <c r="E106">
        <v>503</v>
      </c>
      <c r="F106">
        <v>502.87830000000002</v>
      </c>
      <c r="G106">
        <v>0.26100000000000001</v>
      </c>
      <c r="H106">
        <v>1.746</v>
      </c>
      <c r="I106" t="s">
        <v>0</v>
      </c>
      <c r="J106" t="s">
        <v>50</v>
      </c>
      <c r="K106" t="s">
        <v>51</v>
      </c>
      <c r="L106">
        <v>0</v>
      </c>
      <c r="M106" t="s">
        <v>52</v>
      </c>
      <c r="N106">
        <v>1</v>
      </c>
      <c r="O106" t="s">
        <v>53</v>
      </c>
      <c r="P106" s="2">
        <v>0.43055555555555558</v>
      </c>
      <c r="Q106">
        <f>-0.0013872083*3600</f>
        <v>-4.9939498799999997</v>
      </c>
      <c r="R106">
        <f>-0.0011135295*3600</f>
        <v>-4.0087061999999998</v>
      </c>
    </row>
    <row r="107" spans="1:18" x14ac:dyDescent="0.3">
      <c r="A107" s="4" t="s">
        <v>47</v>
      </c>
      <c r="B107" t="s">
        <v>49</v>
      </c>
      <c r="C107">
        <v>202.35030499999999</v>
      </c>
      <c r="D107">
        <v>99.287514000000002</v>
      </c>
      <c r="E107">
        <v>503.00020000000001</v>
      </c>
      <c r="F107">
        <v>502.8784</v>
      </c>
      <c r="G107">
        <v>0.26100000000000001</v>
      </c>
      <c r="H107">
        <v>1.746</v>
      </c>
      <c r="I107" t="s">
        <v>0</v>
      </c>
      <c r="J107" t="s">
        <v>50</v>
      </c>
      <c r="K107" t="s">
        <v>51</v>
      </c>
      <c r="L107">
        <v>0</v>
      </c>
      <c r="M107" t="s">
        <v>52</v>
      </c>
      <c r="N107">
        <v>1</v>
      </c>
      <c r="O107" t="s">
        <v>53</v>
      </c>
      <c r="P107" s="2">
        <v>0.43124999999999997</v>
      </c>
      <c r="Q107">
        <f>0.0003694547*3600</f>
        <v>1.33003692</v>
      </c>
      <c r="R107">
        <f>0.0008652143*3600</f>
        <v>3.1147714799999999</v>
      </c>
    </row>
    <row r="108" spans="1:18" x14ac:dyDescent="0.3">
      <c r="A108" s="4" t="s">
        <v>47</v>
      </c>
      <c r="B108" t="s">
        <v>49</v>
      </c>
      <c r="C108">
        <v>2.3504160000000001</v>
      </c>
      <c r="D108">
        <v>300.71200800000003</v>
      </c>
      <c r="E108">
        <v>503.00029999999998</v>
      </c>
      <c r="F108">
        <v>502.87849999999997</v>
      </c>
      <c r="G108">
        <v>0.26100000000000001</v>
      </c>
      <c r="H108">
        <v>1.746</v>
      </c>
      <c r="I108" t="s">
        <v>0</v>
      </c>
      <c r="J108" t="s">
        <v>50</v>
      </c>
      <c r="K108" t="s">
        <v>51</v>
      </c>
      <c r="L108">
        <v>0</v>
      </c>
      <c r="M108" t="s">
        <v>52</v>
      </c>
      <c r="N108">
        <v>1</v>
      </c>
      <c r="O108" t="s">
        <v>53</v>
      </c>
      <c r="P108" s="2">
        <v>0.43333333333333335</v>
      </c>
      <c r="Q108">
        <f>-0.000830866*3600</f>
        <v>-2.9911175999999999</v>
      </c>
      <c r="R108">
        <f>-0.0007529076*3600</f>
        <v>-2.71046736</v>
      </c>
    </row>
    <row r="109" spans="1:18" x14ac:dyDescent="0.3">
      <c r="A109" s="4" t="s">
        <v>47</v>
      </c>
      <c r="B109" t="s">
        <v>49</v>
      </c>
      <c r="C109">
        <v>202.35021499999999</v>
      </c>
      <c r="D109">
        <v>99.287889000000007</v>
      </c>
      <c r="E109">
        <v>503.00009999999997</v>
      </c>
      <c r="F109">
        <v>502.87830000000002</v>
      </c>
      <c r="G109">
        <v>0.26100000000000001</v>
      </c>
      <c r="H109">
        <v>1.746</v>
      </c>
      <c r="I109" t="s">
        <v>0</v>
      </c>
      <c r="J109" t="s">
        <v>50</v>
      </c>
      <c r="K109" t="s">
        <v>51</v>
      </c>
      <c r="L109">
        <v>0</v>
      </c>
      <c r="M109" t="s">
        <v>52</v>
      </c>
      <c r="N109">
        <v>1</v>
      </c>
      <c r="O109" t="s">
        <v>53</v>
      </c>
      <c r="P109" s="2">
        <v>0.43402777777777773</v>
      </c>
      <c r="Q109">
        <f>0.0005266246*3600</f>
        <v>1.8958485600000001</v>
      </c>
      <c r="R109">
        <f>0.0009072847*3600</f>
        <v>3.26622492</v>
      </c>
    </row>
    <row r="110" spans="1:18" x14ac:dyDescent="0.3">
      <c r="A110" s="4" t="s">
        <v>47</v>
      </c>
      <c r="B110" t="s">
        <v>49</v>
      </c>
      <c r="C110">
        <v>2.3502860000000001</v>
      </c>
      <c r="D110">
        <v>300.71208300000001</v>
      </c>
      <c r="E110">
        <v>503.00040000000001</v>
      </c>
      <c r="F110">
        <v>502.87860000000001</v>
      </c>
      <c r="G110">
        <v>0.26100000000000001</v>
      </c>
      <c r="H110">
        <v>1.746</v>
      </c>
      <c r="I110" t="s">
        <v>0</v>
      </c>
      <c r="J110" t="s">
        <v>50</v>
      </c>
      <c r="K110" t="s">
        <v>51</v>
      </c>
      <c r="L110">
        <v>0</v>
      </c>
      <c r="M110" t="s">
        <v>52</v>
      </c>
      <c r="N110">
        <v>1</v>
      </c>
      <c r="O110" t="s">
        <v>53</v>
      </c>
      <c r="P110" s="2">
        <v>0.43541666666666662</v>
      </c>
      <c r="Q110">
        <f>-0.0015067687*3600</f>
        <v>-5.42436732</v>
      </c>
      <c r="R110">
        <f>-0.0011873733*3600</f>
        <v>-4.2745438799999995</v>
      </c>
    </row>
    <row r="111" spans="1:18" x14ac:dyDescent="0.3">
      <c r="A111" s="4" t="s">
        <v>47</v>
      </c>
      <c r="B111" t="s">
        <v>49</v>
      </c>
      <c r="C111">
        <v>202.34952799999999</v>
      </c>
      <c r="D111">
        <v>99.287916999999993</v>
      </c>
      <c r="E111">
        <v>502.99990000000003</v>
      </c>
      <c r="F111">
        <v>502.87810000000002</v>
      </c>
      <c r="G111">
        <v>0.26100000000000001</v>
      </c>
      <c r="H111">
        <v>1.746</v>
      </c>
      <c r="I111" t="s">
        <v>0</v>
      </c>
      <c r="J111" t="s">
        <v>50</v>
      </c>
      <c r="K111" t="s">
        <v>51</v>
      </c>
      <c r="L111">
        <v>0</v>
      </c>
      <c r="M111" t="s">
        <v>52</v>
      </c>
      <c r="N111">
        <v>1</v>
      </c>
      <c r="O111" t="s">
        <v>53</v>
      </c>
      <c r="P111" s="2">
        <v>0.43611111111111112</v>
      </c>
      <c r="Q111">
        <f>0.0004319048*3600</f>
        <v>1.55485728</v>
      </c>
      <c r="R111">
        <f>0.0008901444*3600</f>
        <v>3.2045198399999997</v>
      </c>
    </row>
    <row r="112" spans="1:18" x14ac:dyDescent="0.3">
      <c r="A112" s="4" t="s">
        <v>47</v>
      </c>
      <c r="B112" t="s">
        <v>49</v>
      </c>
      <c r="C112">
        <v>2.3491900000000001</v>
      </c>
      <c r="D112">
        <v>300.71142099999997</v>
      </c>
      <c r="E112">
        <v>503.00020000000001</v>
      </c>
      <c r="F112">
        <v>502.87849999999997</v>
      </c>
      <c r="G112">
        <v>0.26100000000000001</v>
      </c>
      <c r="H112">
        <v>1.746</v>
      </c>
      <c r="I112" t="s">
        <v>0</v>
      </c>
      <c r="J112" t="s">
        <v>50</v>
      </c>
      <c r="K112" t="s">
        <v>51</v>
      </c>
      <c r="L112">
        <v>0</v>
      </c>
      <c r="M112" t="s">
        <v>52</v>
      </c>
      <c r="N112">
        <v>1</v>
      </c>
      <c r="O112" t="s">
        <v>53</v>
      </c>
      <c r="P112" s="2">
        <v>0.44027777777777777</v>
      </c>
      <c r="Q112">
        <f>-0.0015552879*3600</f>
        <v>-5.5990364399999999</v>
      </c>
      <c r="R112">
        <f>-0.001341093*3600</f>
        <v>-4.8279348000000004</v>
      </c>
    </row>
    <row r="113" spans="1:18" x14ac:dyDescent="0.3">
      <c r="A113" s="4" t="s">
        <v>47</v>
      </c>
      <c r="B113" t="s">
        <v>49</v>
      </c>
      <c r="C113">
        <v>202.34985499999999</v>
      </c>
      <c r="D113">
        <v>99.288160000000005</v>
      </c>
      <c r="E113">
        <v>502.99979999999999</v>
      </c>
      <c r="F113">
        <v>502.87799999999999</v>
      </c>
      <c r="G113">
        <v>0.26100000000000001</v>
      </c>
      <c r="H113">
        <v>1.746</v>
      </c>
      <c r="I113" t="s">
        <v>0</v>
      </c>
      <c r="J113" t="s">
        <v>50</v>
      </c>
      <c r="K113" t="s">
        <v>51</v>
      </c>
      <c r="L113">
        <v>0</v>
      </c>
      <c r="M113" t="s">
        <v>52</v>
      </c>
      <c r="N113">
        <v>1</v>
      </c>
      <c r="O113" t="s">
        <v>53</v>
      </c>
      <c r="P113" s="2">
        <v>0.44027777777777777</v>
      </c>
      <c r="Q113">
        <f>0.0000851542*3600</f>
        <v>0.30655512000000001</v>
      </c>
      <c r="R113">
        <f>0.0009884331*3600</f>
        <v>3.5583591599999997</v>
      </c>
    </row>
    <row r="114" spans="1:18" x14ac:dyDescent="0.3">
      <c r="A114" s="4" t="s">
        <v>47</v>
      </c>
      <c r="B114" t="s">
        <v>49</v>
      </c>
      <c r="C114">
        <v>2.350492</v>
      </c>
      <c r="D114">
        <v>300.71201000000002</v>
      </c>
      <c r="E114">
        <v>503.00029999999998</v>
      </c>
      <c r="F114">
        <v>502.87849999999997</v>
      </c>
      <c r="G114">
        <v>0.26100000000000001</v>
      </c>
      <c r="H114">
        <v>1.746</v>
      </c>
      <c r="I114" t="s">
        <v>0</v>
      </c>
      <c r="J114" t="s">
        <v>50</v>
      </c>
      <c r="K114" t="s">
        <v>51</v>
      </c>
      <c r="L114">
        <v>0</v>
      </c>
      <c r="M114" t="s">
        <v>52</v>
      </c>
      <c r="N114">
        <v>1</v>
      </c>
      <c r="O114" t="s">
        <v>53</v>
      </c>
      <c r="P114" s="2">
        <v>0.44305555555555554</v>
      </c>
      <c r="Q114">
        <f>-0.0016330013*3600</f>
        <v>-5.87880468</v>
      </c>
      <c r="R114">
        <f>-0.0012852118*3600</f>
        <v>-4.62676248</v>
      </c>
    </row>
    <row r="115" spans="1:18" x14ac:dyDescent="0.3">
      <c r="A115" s="4" t="s">
        <v>47</v>
      </c>
      <c r="B115" t="s">
        <v>49</v>
      </c>
      <c r="C115">
        <v>202.34998300000001</v>
      </c>
      <c r="D115">
        <v>99.287734</v>
      </c>
      <c r="E115">
        <v>503</v>
      </c>
      <c r="F115">
        <v>502.87819999999999</v>
      </c>
      <c r="G115">
        <v>0.26100000000000001</v>
      </c>
      <c r="H115">
        <v>1.746</v>
      </c>
      <c r="I115" t="s">
        <v>0</v>
      </c>
      <c r="J115" t="s">
        <v>50</v>
      </c>
      <c r="K115" t="s">
        <v>51</v>
      </c>
      <c r="L115">
        <v>0</v>
      </c>
      <c r="M115" t="s">
        <v>52</v>
      </c>
      <c r="N115">
        <v>1</v>
      </c>
      <c r="O115" t="s">
        <v>53</v>
      </c>
      <c r="P115" s="2">
        <v>0.44305555555555554</v>
      </c>
      <c r="Q115">
        <f>0.0003991894*3600</f>
        <v>1.4370818400000001</v>
      </c>
      <c r="R115">
        <f>0.0009605908*3600</f>
        <v>3.45812688</v>
      </c>
    </row>
    <row r="116" spans="1:18" x14ac:dyDescent="0.3">
      <c r="A116" s="4" t="s">
        <v>47</v>
      </c>
      <c r="B116" t="s">
        <v>49</v>
      </c>
      <c r="C116">
        <v>2.3501829999999999</v>
      </c>
      <c r="D116">
        <v>300.71134899999998</v>
      </c>
      <c r="E116">
        <v>503.00029999999998</v>
      </c>
      <c r="F116">
        <v>502.87860000000001</v>
      </c>
      <c r="G116">
        <v>0.26100000000000001</v>
      </c>
      <c r="H116">
        <v>1.746</v>
      </c>
      <c r="I116" t="s">
        <v>0</v>
      </c>
      <c r="J116" t="s">
        <v>50</v>
      </c>
      <c r="K116" t="s">
        <v>51</v>
      </c>
      <c r="L116">
        <v>0</v>
      </c>
      <c r="M116" t="s">
        <v>52</v>
      </c>
      <c r="N116">
        <v>1</v>
      </c>
      <c r="O116" t="s">
        <v>53</v>
      </c>
      <c r="P116" s="2">
        <v>0.44513888888888892</v>
      </c>
      <c r="Q116">
        <f>-0.0017078815*3600</f>
        <v>-6.1483733999999997</v>
      </c>
      <c r="R116">
        <f>-0.0012459428*3600</f>
        <v>-4.4853940799999998</v>
      </c>
    </row>
    <row r="117" spans="1:18" x14ac:dyDescent="0.3">
      <c r="A117" s="4" t="s">
        <v>47</v>
      </c>
      <c r="B117" t="s">
        <v>49</v>
      </c>
      <c r="C117">
        <v>2.350196</v>
      </c>
      <c r="D117">
        <v>300.71104700000001</v>
      </c>
      <c r="E117">
        <v>503.00009999999997</v>
      </c>
      <c r="F117">
        <v>502.8784</v>
      </c>
      <c r="G117">
        <v>0.26100000000000001</v>
      </c>
      <c r="H117">
        <v>1.746</v>
      </c>
      <c r="I117" t="s">
        <v>0</v>
      </c>
      <c r="J117" t="s">
        <v>50</v>
      </c>
      <c r="K117" t="s">
        <v>51</v>
      </c>
      <c r="L117">
        <v>0</v>
      </c>
      <c r="M117" t="s">
        <v>52</v>
      </c>
      <c r="N117">
        <v>1</v>
      </c>
      <c r="O117" t="s">
        <v>53</v>
      </c>
      <c r="P117" s="2">
        <v>0.4458333333333333</v>
      </c>
      <c r="Q117">
        <f>-0.0019032735*3600</f>
        <v>-6.8517846000000002</v>
      </c>
      <c r="R117">
        <f>-0.0012261533*3600</f>
        <v>-4.4141518799999995</v>
      </c>
    </row>
    <row r="118" spans="1:18" x14ac:dyDescent="0.3">
      <c r="A118" s="4" t="s">
        <v>47</v>
      </c>
      <c r="B118" t="s">
        <v>49</v>
      </c>
      <c r="C118">
        <v>2.3505560000000001</v>
      </c>
      <c r="D118">
        <v>300.71159599999999</v>
      </c>
      <c r="E118">
        <v>503.00029999999998</v>
      </c>
      <c r="F118">
        <v>502.87860000000001</v>
      </c>
      <c r="G118">
        <v>0.26100000000000001</v>
      </c>
      <c r="H118">
        <v>1.746</v>
      </c>
      <c r="I118" t="s">
        <v>0</v>
      </c>
      <c r="J118" t="s">
        <v>50</v>
      </c>
      <c r="K118" t="s">
        <v>51</v>
      </c>
      <c r="L118">
        <v>0</v>
      </c>
      <c r="M118" t="s">
        <v>52</v>
      </c>
      <c r="N118">
        <v>1</v>
      </c>
      <c r="O118" t="s">
        <v>53</v>
      </c>
      <c r="P118" s="2">
        <v>0.4465277777777778</v>
      </c>
      <c r="Q118">
        <f>-0.002145814*3600</f>
        <v>-7.724930399999999</v>
      </c>
      <c r="R118">
        <f>-0.0011639065*3600</f>
        <v>-4.1900634000000005</v>
      </c>
    </row>
    <row r="119" spans="1:18" x14ac:dyDescent="0.3">
      <c r="A119" s="4" t="s">
        <v>47</v>
      </c>
      <c r="B119" t="s">
        <v>49</v>
      </c>
      <c r="C119">
        <v>2.3501219999999998</v>
      </c>
      <c r="D119">
        <v>300.711547</v>
      </c>
      <c r="E119">
        <v>503</v>
      </c>
      <c r="F119">
        <v>502.87830000000002</v>
      </c>
      <c r="G119">
        <v>0.26100000000000001</v>
      </c>
      <c r="H119">
        <v>1.746</v>
      </c>
      <c r="I119" t="s">
        <v>0</v>
      </c>
      <c r="J119" t="s">
        <v>50</v>
      </c>
      <c r="K119" t="s">
        <v>51</v>
      </c>
      <c r="L119">
        <v>0</v>
      </c>
      <c r="M119" t="s">
        <v>52</v>
      </c>
      <c r="N119">
        <v>1</v>
      </c>
      <c r="O119" t="s">
        <v>53</v>
      </c>
      <c r="P119" s="2">
        <v>0.4465277777777778</v>
      </c>
      <c r="Q119">
        <f>-0.0019180233*3600</f>
        <v>-6.9048838799999999</v>
      </c>
      <c r="R119">
        <f>-0.0012190642*3600</f>
        <v>-4.3886311200000003</v>
      </c>
    </row>
    <row r="120" spans="1:18" x14ac:dyDescent="0.3">
      <c r="A120" s="4" t="s">
        <v>47</v>
      </c>
      <c r="B120" t="s">
        <v>57</v>
      </c>
      <c r="C120">
        <v>1.2865930000000001</v>
      </c>
      <c r="D120">
        <v>99.158032000000006</v>
      </c>
      <c r="E120">
        <v>37.385300000000001</v>
      </c>
      <c r="F120">
        <v>37.375399999999999</v>
      </c>
      <c r="G120">
        <v>0.26100000000000001</v>
      </c>
      <c r="H120">
        <v>0</v>
      </c>
      <c r="I120" t="s">
        <v>0</v>
      </c>
      <c r="J120" t="s">
        <v>50</v>
      </c>
      <c r="K120" t="s">
        <v>51</v>
      </c>
      <c r="L120">
        <v>0</v>
      </c>
      <c r="M120" t="s">
        <v>52</v>
      </c>
      <c r="N120">
        <v>1</v>
      </c>
      <c r="O120" t="s">
        <v>53</v>
      </c>
      <c r="P120" s="2">
        <v>0.36874999999999997</v>
      </c>
      <c r="Q120">
        <f>-0.0009732916*3600</f>
        <v>-3.50384976</v>
      </c>
      <c r="R120">
        <f>-0.000724901*3600</f>
        <v>-2.6096436000000001</v>
      </c>
    </row>
    <row r="121" spans="1:18" x14ac:dyDescent="0.3">
      <c r="A121" s="4" t="s">
        <v>47</v>
      </c>
      <c r="B121" t="s">
        <v>57</v>
      </c>
      <c r="C121">
        <v>201.286416</v>
      </c>
      <c r="D121">
        <v>300.84163899999999</v>
      </c>
      <c r="E121">
        <v>37.3857</v>
      </c>
      <c r="F121">
        <v>37.375799999999998</v>
      </c>
      <c r="G121">
        <v>0.26100000000000001</v>
      </c>
      <c r="H121">
        <v>0</v>
      </c>
      <c r="I121" t="s">
        <v>0</v>
      </c>
      <c r="J121" t="s">
        <v>50</v>
      </c>
      <c r="K121" t="s">
        <v>51</v>
      </c>
      <c r="L121">
        <v>0</v>
      </c>
      <c r="M121" t="s">
        <v>52</v>
      </c>
      <c r="N121">
        <v>1</v>
      </c>
      <c r="O121" t="s">
        <v>53</v>
      </c>
      <c r="P121" s="2">
        <v>0.37083333333333335</v>
      </c>
      <c r="Q121">
        <f>0.0002801746*3600</f>
        <v>1.00862856</v>
      </c>
      <c r="R121">
        <f>0.0004513393*3600</f>
        <v>1.6248214799999998</v>
      </c>
    </row>
    <row r="122" spans="1:18" x14ac:dyDescent="0.3">
      <c r="A122" s="4" t="s">
        <v>47</v>
      </c>
      <c r="B122" t="s">
        <v>57</v>
      </c>
      <c r="C122">
        <v>1.2867679999999999</v>
      </c>
      <c r="D122">
        <v>99.157747000000001</v>
      </c>
      <c r="E122">
        <v>37.385300000000001</v>
      </c>
      <c r="F122">
        <v>37.375399999999999</v>
      </c>
      <c r="G122">
        <v>0.26100000000000001</v>
      </c>
      <c r="H122">
        <v>0</v>
      </c>
      <c r="I122" t="s">
        <v>0</v>
      </c>
      <c r="J122" t="s">
        <v>50</v>
      </c>
      <c r="K122" t="s">
        <v>51</v>
      </c>
      <c r="L122">
        <v>0</v>
      </c>
      <c r="M122" t="s">
        <v>52</v>
      </c>
      <c r="N122">
        <v>1</v>
      </c>
      <c r="O122" t="s">
        <v>53</v>
      </c>
      <c r="P122" s="2">
        <v>0.37847222222222227</v>
      </c>
      <c r="Q122">
        <f>-0.0009794716*3600</f>
        <v>-3.5260977599999999</v>
      </c>
      <c r="R122">
        <f>-0.0008720555*3600</f>
        <v>-3.1393998000000001</v>
      </c>
    </row>
    <row r="123" spans="1:18" x14ac:dyDescent="0.3">
      <c r="A123" s="4" t="s">
        <v>47</v>
      </c>
      <c r="B123" t="s">
        <v>57</v>
      </c>
      <c r="C123">
        <v>201.286269</v>
      </c>
      <c r="D123">
        <v>300.84149000000002</v>
      </c>
      <c r="E123">
        <v>37.3855</v>
      </c>
      <c r="F123">
        <v>37.375599999999999</v>
      </c>
      <c r="G123">
        <v>0.26100000000000001</v>
      </c>
      <c r="H123">
        <v>0</v>
      </c>
      <c r="I123" t="s">
        <v>0</v>
      </c>
      <c r="J123" t="s">
        <v>50</v>
      </c>
      <c r="K123" t="s">
        <v>51</v>
      </c>
      <c r="L123">
        <v>0</v>
      </c>
      <c r="M123" t="s">
        <v>52</v>
      </c>
      <c r="N123">
        <v>1</v>
      </c>
      <c r="O123" t="s">
        <v>53</v>
      </c>
      <c r="P123" s="2">
        <v>0.38194444444444442</v>
      </c>
      <c r="Q123">
        <f>0.0006599514*3600</f>
        <v>2.3758250400000001</v>
      </c>
      <c r="R123">
        <f>0.0002546809*3600</f>
        <v>0.91685123999999996</v>
      </c>
    </row>
    <row r="124" spans="1:18" x14ac:dyDescent="0.3">
      <c r="A124" s="4" t="s">
        <v>47</v>
      </c>
      <c r="B124" t="s">
        <v>57</v>
      </c>
      <c r="C124">
        <v>1.2867170000000001</v>
      </c>
      <c r="D124">
        <v>99.158555000000007</v>
      </c>
      <c r="E124">
        <v>37.3855</v>
      </c>
      <c r="F124">
        <v>37.375599999999999</v>
      </c>
      <c r="G124">
        <v>0.26100000000000001</v>
      </c>
      <c r="H124">
        <v>0</v>
      </c>
      <c r="I124" t="s">
        <v>0</v>
      </c>
      <c r="J124" t="s">
        <v>50</v>
      </c>
      <c r="K124" t="s">
        <v>51</v>
      </c>
      <c r="L124">
        <v>0</v>
      </c>
      <c r="M124" t="s">
        <v>52</v>
      </c>
      <c r="N124">
        <v>1</v>
      </c>
      <c r="O124" t="s">
        <v>53</v>
      </c>
      <c r="P124" s="2">
        <v>0.38263888888888892</v>
      </c>
      <c r="Q124">
        <f>-0.0005825278*3600</f>
        <v>-2.0971000799999997</v>
      </c>
      <c r="R124">
        <f>-0.0004156438*3600</f>
        <v>-1.49631768</v>
      </c>
    </row>
    <row r="125" spans="1:18" x14ac:dyDescent="0.3">
      <c r="A125" s="4" t="s">
        <v>47</v>
      </c>
      <c r="B125" t="s">
        <v>57</v>
      </c>
      <c r="C125">
        <v>201.28669500000001</v>
      </c>
      <c r="D125">
        <v>300.84132599999998</v>
      </c>
      <c r="E125">
        <v>37.385800000000003</v>
      </c>
      <c r="F125">
        <v>37.375900000000001</v>
      </c>
      <c r="G125">
        <v>0.26100000000000001</v>
      </c>
      <c r="H125">
        <v>0</v>
      </c>
      <c r="I125" t="s">
        <v>0</v>
      </c>
      <c r="J125" t="s">
        <v>50</v>
      </c>
      <c r="K125" t="s">
        <v>51</v>
      </c>
      <c r="L125">
        <v>0</v>
      </c>
      <c r="M125" t="s">
        <v>52</v>
      </c>
      <c r="N125">
        <v>1</v>
      </c>
      <c r="O125" t="s">
        <v>53</v>
      </c>
      <c r="P125" s="2">
        <v>0.38541666666666669</v>
      </c>
      <c r="Q125">
        <f>0.0002436028*3600</f>
        <v>0.87697007999999999</v>
      </c>
      <c r="R125">
        <f>0.0005526843*3600</f>
        <v>1.9896634799999999</v>
      </c>
    </row>
    <row r="126" spans="1:18" x14ac:dyDescent="0.3">
      <c r="A126" s="4" t="s">
        <v>47</v>
      </c>
      <c r="B126" t="s">
        <v>57</v>
      </c>
      <c r="C126">
        <v>1.2869079999999999</v>
      </c>
      <c r="D126">
        <v>99.158434</v>
      </c>
      <c r="E126">
        <v>37.385599999999997</v>
      </c>
      <c r="F126">
        <v>37.375700000000002</v>
      </c>
      <c r="G126">
        <v>0.26100000000000001</v>
      </c>
      <c r="H126">
        <v>0</v>
      </c>
      <c r="I126" t="s">
        <v>0</v>
      </c>
      <c r="J126" t="s">
        <v>50</v>
      </c>
      <c r="K126" t="s">
        <v>51</v>
      </c>
      <c r="L126">
        <v>0</v>
      </c>
      <c r="M126" t="s">
        <v>52</v>
      </c>
      <c r="N126">
        <v>1</v>
      </c>
      <c r="O126" t="s">
        <v>53</v>
      </c>
      <c r="P126" s="2">
        <v>0.38750000000000001</v>
      </c>
      <c r="Q126">
        <f>-0.0005747912*3600</f>
        <v>-2.0692483200000003</v>
      </c>
      <c r="R126">
        <f>-0.0005076209*3600</f>
        <v>-1.8274352399999998</v>
      </c>
    </row>
    <row r="127" spans="1:18" x14ac:dyDescent="0.3">
      <c r="A127" s="4" t="s">
        <v>47</v>
      </c>
      <c r="B127" t="s">
        <v>57</v>
      </c>
      <c r="C127">
        <v>201.28650500000001</v>
      </c>
      <c r="D127">
        <v>300.84132699999998</v>
      </c>
      <c r="E127">
        <v>37.3857</v>
      </c>
      <c r="F127">
        <v>37.375799999999998</v>
      </c>
      <c r="G127">
        <v>0.26100000000000001</v>
      </c>
      <c r="H127">
        <v>0</v>
      </c>
      <c r="I127" t="s">
        <v>0</v>
      </c>
      <c r="J127" t="s">
        <v>50</v>
      </c>
      <c r="K127" t="s">
        <v>51</v>
      </c>
      <c r="L127">
        <v>0</v>
      </c>
      <c r="M127" t="s">
        <v>52</v>
      </c>
      <c r="N127">
        <v>1</v>
      </c>
      <c r="O127" t="s">
        <v>53</v>
      </c>
      <c r="P127" s="2">
        <v>0.39027777777777778</v>
      </c>
      <c r="Q127">
        <f>0.0001400119*3600</f>
        <v>0.50404283999999999</v>
      </c>
      <c r="R127">
        <f>0.0005523326*3600</f>
        <v>1.98839736</v>
      </c>
    </row>
    <row r="128" spans="1:18" x14ac:dyDescent="0.3">
      <c r="A128" s="4" t="s">
        <v>47</v>
      </c>
      <c r="B128" t="s">
        <v>57</v>
      </c>
      <c r="C128">
        <v>1.2865629999999999</v>
      </c>
      <c r="D128">
        <v>99.158412999999996</v>
      </c>
      <c r="E128">
        <v>37.3855</v>
      </c>
      <c r="F128">
        <v>37.375599999999999</v>
      </c>
      <c r="G128">
        <v>0.26100000000000001</v>
      </c>
      <c r="H128">
        <v>0</v>
      </c>
      <c r="I128" t="s">
        <v>0</v>
      </c>
      <c r="J128" t="s">
        <v>50</v>
      </c>
      <c r="K128" t="s">
        <v>51</v>
      </c>
      <c r="L128">
        <v>0</v>
      </c>
      <c r="M128" t="s">
        <v>52</v>
      </c>
      <c r="N128">
        <v>1</v>
      </c>
      <c r="O128" t="s">
        <v>53</v>
      </c>
      <c r="P128" s="2">
        <v>0.39166666666666666</v>
      </c>
      <c r="Q128">
        <f>-0.0009001398*3600</f>
        <v>-3.24050328</v>
      </c>
      <c r="R128">
        <f>-0.0009945435*3600</f>
        <v>-3.5803566</v>
      </c>
    </row>
    <row r="129" spans="1:18" x14ac:dyDescent="0.3">
      <c r="A129" s="4" t="s">
        <v>47</v>
      </c>
      <c r="B129" t="s">
        <v>57</v>
      </c>
      <c r="C129">
        <v>201.28632400000001</v>
      </c>
      <c r="D129">
        <v>300.841767</v>
      </c>
      <c r="E129">
        <v>37.3857</v>
      </c>
      <c r="F129">
        <v>37.375799999999998</v>
      </c>
      <c r="G129">
        <v>0.26100000000000001</v>
      </c>
      <c r="H129">
        <v>0</v>
      </c>
      <c r="I129" t="s">
        <v>0</v>
      </c>
      <c r="J129" t="s">
        <v>50</v>
      </c>
      <c r="K129" t="s">
        <v>51</v>
      </c>
      <c r="L129">
        <v>0</v>
      </c>
      <c r="M129" t="s">
        <v>52</v>
      </c>
      <c r="N129">
        <v>1</v>
      </c>
      <c r="O129" t="s">
        <v>53</v>
      </c>
      <c r="P129" s="2">
        <v>0.39444444444444443</v>
      </c>
      <c r="Q129">
        <f>0.0006613856*3600</f>
        <v>2.3809881599999998</v>
      </c>
      <c r="R129">
        <f>0.0003905619*3600</f>
        <v>1.4060228400000001</v>
      </c>
    </row>
    <row r="130" spans="1:18" x14ac:dyDescent="0.3">
      <c r="A130" s="4" t="s">
        <v>47</v>
      </c>
      <c r="B130" t="s">
        <v>57</v>
      </c>
      <c r="C130">
        <v>1.286589</v>
      </c>
      <c r="D130">
        <v>99.158651000000006</v>
      </c>
      <c r="E130">
        <v>37.385399999999997</v>
      </c>
      <c r="F130">
        <v>37.375500000000002</v>
      </c>
      <c r="G130">
        <v>0.26100000000000001</v>
      </c>
      <c r="H130">
        <v>0</v>
      </c>
      <c r="I130" t="s">
        <v>0</v>
      </c>
      <c r="J130" t="s">
        <v>50</v>
      </c>
      <c r="K130" t="s">
        <v>51</v>
      </c>
      <c r="L130">
        <v>0</v>
      </c>
      <c r="M130" t="s">
        <v>52</v>
      </c>
      <c r="N130">
        <v>1</v>
      </c>
      <c r="O130" t="s">
        <v>53</v>
      </c>
      <c r="P130" s="2">
        <v>0.39513888888888887</v>
      </c>
      <c r="Q130">
        <f>-0.000832421*3600</f>
        <v>-2.9967155999999999</v>
      </c>
      <c r="R130">
        <f>-0.001033429*3600</f>
        <v>-3.7203444000000001</v>
      </c>
    </row>
    <row r="131" spans="1:18" x14ac:dyDescent="0.3">
      <c r="A131" s="4" t="s">
        <v>47</v>
      </c>
      <c r="B131" t="s">
        <v>57</v>
      </c>
      <c r="C131">
        <v>201.28660099999999</v>
      </c>
      <c r="D131">
        <v>300.84180800000001</v>
      </c>
      <c r="E131">
        <v>37.3855</v>
      </c>
      <c r="F131">
        <v>37.375599999999999</v>
      </c>
      <c r="G131">
        <v>0.26100000000000001</v>
      </c>
      <c r="H131">
        <v>0</v>
      </c>
      <c r="I131" t="s">
        <v>0</v>
      </c>
      <c r="J131" t="s">
        <v>50</v>
      </c>
      <c r="K131" t="s">
        <v>51</v>
      </c>
      <c r="L131">
        <v>0</v>
      </c>
      <c r="M131" t="s">
        <v>52</v>
      </c>
      <c r="N131">
        <v>1</v>
      </c>
      <c r="O131" t="s">
        <v>53</v>
      </c>
      <c r="P131" s="2">
        <v>0.3972222222222222</v>
      </c>
      <c r="Q131">
        <f>0.0006267892*3600</f>
        <v>2.2564411199999999</v>
      </c>
      <c r="R131">
        <f>0.0004938351*3600</f>
        <v>1.77780636</v>
      </c>
    </row>
    <row r="132" spans="1:18" x14ac:dyDescent="0.3">
      <c r="A132" s="4" t="s">
        <v>47</v>
      </c>
      <c r="B132" t="s">
        <v>57</v>
      </c>
      <c r="C132">
        <v>1.2867690000000001</v>
      </c>
      <c r="D132">
        <v>99.158562000000003</v>
      </c>
      <c r="E132">
        <v>37.3855</v>
      </c>
      <c r="F132">
        <v>37.375599999999999</v>
      </c>
      <c r="G132">
        <v>0.26100000000000001</v>
      </c>
      <c r="H132">
        <v>0</v>
      </c>
      <c r="I132" t="s">
        <v>0</v>
      </c>
      <c r="J132" t="s">
        <v>50</v>
      </c>
      <c r="K132" t="s">
        <v>51</v>
      </c>
      <c r="L132">
        <v>0</v>
      </c>
      <c r="M132" t="s">
        <v>52</v>
      </c>
      <c r="N132">
        <v>1</v>
      </c>
      <c r="O132" t="s">
        <v>53</v>
      </c>
      <c r="P132" s="2">
        <v>0.39861111111111108</v>
      </c>
      <c r="Q132">
        <f>-0.001013301*3600</f>
        <v>-3.6478836000000001</v>
      </c>
      <c r="R132">
        <f>-0.0009943858*3600</f>
        <v>-3.5797888800000002</v>
      </c>
    </row>
    <row r="133" spans="1:18" x14ac:dyDescent="0.3">
      <c r="A133" s="4" t="s">
        <v>47</v>
      </c>
      <c r="B133" t="s">
        <v>57</v>
      </c>
      <c r="C133">
        <v>201.28639999999999</v>
      </c>
      <c r="D133">
        <v>300.84161399999999</v>
      </c>
      <c r="E133">
        <v>37.3855</v>
      </c>
      <c r="F133">
        <v>37.375599999999999</v>
      </c>
      <c r="G133">
        <v>0.26100000000000001</v>
      </c>
      <c r="H133">
        <v>0</v>
      </c>
      <c r="I133" t="s">
        <v>0</v>
      </c>
      <c r="J133" t="s">
        <v>50</v>
      </c>
      <c r="K133" t="s">
        <v>51</v>
      </c>
      <c r="L133">
        <v>0</v>
      </c>
      <c r="M133" t="s">
        <v>52</v>
      </c>
      <c r="N133">
        <v>1</v>
      </c>
      <c r="O133" t="s">
        <v>53</v>
      </c>
      <c r="P133" s="2">
        <v>0.40138888888888885</v>
      </c>
      <c r="Q133">
        <f>0.0005515493*3600</f>
        <v>1.9855774800000001</v>
      </c>
      <c r="R133">
        <f>0.0004814412*3600</f>
        <v>1.73318832</v>
      </c>
    </row>
    <row r="134" spans="1:18" x14ac:dyDescent="0.3">
      <c r="A134" s="4" t="s">
        <v>47</v>
      </c>
      <c r="B134" t="s">
        <v>57</v>
      </c>
      <c r="C134">
        <v>1.286899</v>
      </c>
      <c r="D134">
        <v>99.158533000000006</v>
      </c>
      <c r="E134">
        <v>37.385399999999997</v>
      </c>
      <c r="F134">
        <v>37.375500000000002</v>
      </c>
      <c r="G134">
        <v>0.26100000000000001</v>
      </c>
      <c r="H134">
        <v>0</v>
      </c>
      <c r="I134" t="s">
        <v>0</v>
      </c>
      <c r="J134" t="s">
        <v>50</v>
      </c>
      <c r="K134" t="s">
        <v>51</v>
      </c>
      <c r="L134">
        <v>0</v>
      </c>
      <c r="M134" t="s">
        <v>52</v>
      </c>
      <c r="N134">
        <v>1</v>
      </c>
      <c r="O134" t="s">
        <v>53</v>
      </c>
      <c r="P134" s="2">
        <v>0.40277777777777773</v>
      </c>
      <c r="Q134">
        <f>-0.0009048284*3600</f>
        <v>-3.2573822400000001</v>
      </c>
      <c r="R134">
        <f>-0.0006537784*3600</f>
        <v>-2.3536022399999998</v>
      </c>
    </row>
    <row r="135" spans="1:18" x14ac:dyDescent="0.3">
      <c r="A135" s="4" t="s">
        <v>47</v>
      </c>
      <c r="B135" t="s">
        <v>57</v>
      </c>
      <c r="C135">
        <v>201.28636399999999</v>
      </c>
      <c r="D135">
        <v>300.84142200000002</v>
      </c>
      <c r="E135">
        <v>37.385599999999997</v>
      </c>
      <c r="F135">
        <v>37.375700000000002</v>
      </c>
      <c r="G135">
        <v>0.26100000000000001</v>
      </c>
      <c r="H135">
        <v>0</v>
      </c>
      <c r="I135" t="s">
        <v>0</v>
      </c>
      <c r="J135" t="s">
        <v>50</v>
      </c>
      <c r="K135" t="s">
        <v>51</v>
      </c>
      <c r="L135">
        <v>0</v>
      </c>
      <c r="M135" t="s">
        <v>52</v>
      </c>
      <c r="N135">
        <v>1</v>
      </c>
      <c r="O135" t="s">
        <v>53</v>
      </c>
      <c r="P135" s="2">
        <v>0.40486111111111112</v>
      </c>
      <c r="Q135">
        <f>0.0001691284*3600</f>
        <v>0.60886224</v>
      </c>
      <c r="R135">
        <f>0.0006304337*3600</f>
        <v>2.2695613200000002</v>
      </c>
    </row>
    <row r="136" spans="1:18" x14ac:dyDescent="0.3">
      <c r="A136" s="4" t="s">
        <v>47</v>
      </c>
      <c r="B136" t="s">
        <v>57</v>
      </c>
      <c r="C136">
        <v>1.2867409999999999</v>
      </c>
      <c r="D136">
        <v>99.158477000000005</v>
      </c>
      <c r="E136">
        <v>37.385599999999997</v>
      </c>
      <c r="F136">
        <v>37.375700000000002</v>
      </c>
      <c r="G136">
        <v>0.26100000000000001</v>
      </c>
      <c r="H136">
        <v>0</v>
      </c>
      <c r="I136" t="s">
        <v>0</v>
      </c>
      <c r="J136" t="s">
        <v>50</v>
      </c>
      <c r="K136" t="s">
        <v>51</v>
      </c>
      <c r="L136">
        <v>0</v>
      </c>
      <c r="M136" t="s">
        <v>52</v>
      </c>
      <c r="N136">
        <v>1</v>
      </c>
      <c r="O136" t="s">
        <v>53</v>
      </c>
      <c r="P136" s="2">
        <v>0.40625</v>
      </c>
      <c r="Q136">
        <f>-0.0008618002*3600</f>
        <v>-3.10248072</v>
      </c>
      <c r="R136">
        <f>-0.0006674189*3600</f>
        <v>-2.4027080399999998</v>
      </c>
    </row>
    <row r="137" spans="1:18" x14ac:dyDescent="0.3">
      <c r="A137" s="4" t="s">
        <v>47</v>
      </c>
      <c r="B137" t="s">
        <v>57</v>
      </c>
      <c r="C137">
        <v>201.28658100000001</v>
      </c>
      <c r="D137">
        <v>300.84151100000003</v>
      </c>
      <c r="E137">
        <v>37.3855</v>
      </c>
      <c r="F137">
        <v>37.375599999999999</v>
      </c>
      <c r="G137">
        <v>0.26100000000000001</v>
      </c>
      <c r="H137">
        <v>0</v>
      </c>
      <c r="I137" t="s">
        <v>0</v>
      </c>
      <c r="J137" t="s">
        <v>50</v>
      </c>
      <c r="K137" t="s">
        <v>51</v>
      </c>
      <c r="L137">
        <v>0</v>
      </c>
      <c r="M137" t="s">
        <v>52</v>
      </c>
      <c r="N137">
        <v>1</v>
      </c>
      <c r="O137" t="s">
        <v>53</v>
      </c>
      <c r="P137" s="2">
        <v>0.40833333333333338</v>
      </c>
      <c r="Q137">
        <f>0.0002602699*3600</f>
        <v>0.93697164000000011</v>
      </c>
      <c r="R137">
        <f>0.0006602863*3600</f>
        <v>2.3770306800000003</v>
      </c>
    </row>
    <row r="138" spans="1:18" x14ac:dyDescent="0.3">
      <c r="A138" s="4" t="s">
        <v>47</v>
      </c>
      <c r="B138" t="s">
        <v>57</v>
      </c>
      <c r="C138">
        <v>1.2865</v>
      </c>
      <c r="D138">
        <v>99.158557999999999</v>
      </c>
      <c r="E138">
        <v>37.3857</v>
      </c>
      <c r="F138">
        <v>37.375799999999998</v>
      </c>
      <c r="G138">
        <v>0.26100000000000001</v>
      </c>
      <c r="H138">
        <v>0</v>
      </c>
      <c r="I138" t="s">
        <v>0</v>
      </c>
      <c r="J138" t="s">
        <v>50</v>
      </c>
      <c r="K138" t="s">
        <v>51</v>
      </c>
      <c r="L138">
        <v>0</v>
      </c>
      <c r="M138" t="s">
        <v>52</v>
      </c>
      <c r="N138">
        <v>1</v>
      </c>
      <c r="O138" t="s">
        <v>53</v>
      </c>
      <c r="P138" s="2">
        <v>0.40902777777777777</v>
      </c>
      <c r="Q138">
        <f>-0.0009692137*3600</f>
        <v>-3.4891693200000002</v>
      </c>
      <c r="R138">
        <f>-0.0010385424*3600</f>
        <v>-3.7387526400000004</v>
      </c>
    </row>
    <row r="139" spans="1:18" x14ac:dyDescent="0.3">
      <c r="A139" s="4" t="s">
        <v>47</v>
      </c>
      <c r="B139" t="s">
        <v>57</v>
      </c>
      <c r="C139">
        <v>201.28656100000001</v>
      </c>
      <c r="D139">
        <v>300.841387</v>
      </c>
      <c r="E139">
        <v>37.3857</v>
      </c>
      <c r="F139">
        <v>37.375799999999998</v>
      </c>
      <c r="G139">
        <v>0.26100000000000001</v>
      </c>
      <c r="H139">
        <v>0</v>
      </c>
      <c r="I139" t="s">
        <v>0</v>
      </c>
      <c r="J139" t="s">
        <v>50</v>
      </c>
      <c r="K139" t="s">
        <v>51</v>
      </c>
      <c r="L139">
        <v>0</v>
      </c>
      <c r="M139" t="s">
        <v>52</v>
      </c>
      <c r="N139">
        <v>1</v>
      </c>
      <c r="O139" t="s">
        <v>53</v>
      </c>
      <c r="P139" s="2">
        <v>0.41111111111111115</v>
      </c>
      <c r="Q139">
        <f>0.0002223754*3600</f>
        <v>0.80055144</v>
      </c>
      <c r="R139">
        <f>0.0006384995*3600</f>
        <v>2.2985981999999998</v>
      </c>
    </row>
    <row r="140" spans="1:18" x14ac:dyDescent="0.3">
      <c r="A140" s="4" t="s">
        <v>47</v>
      </c>
      <c r="B140" t="s">
        <v>57</v>
      </c>
      <c r="C140">
        <v>1.2867</v>
      </c>
      <c r="D140">
        <v>99.158640000000005</v>
      </c>
      <c r="E140">
        <v>37.385800000000003</v>
      </c>
      <c r="F140">
        <v>37.375900000000001</v>
      </c>
      <c r="G140">
        <v>0.26100000000000001</v>
      </c>
      <c r="H140">
        <v>0</v>
      </c>
      <c r="I140" t="s">
        <v>0</v>
      </c>
      <c r="J140" t="s">
        <v>50</v>
      </c>
      <c r="K140" t="s">
        <v>51</v>
      </c>
      <c r="L140">
        <v>0</v>
      </c>
      <c r="M140" t="s">
        <v>52</v>
      </c>
      <c r="N140">
        <v>1</v>
      </c>
      <c r="O140" t="s">
        <v>53</v>
      </c>
      <c r="P140" s="2">
        <v>0.41180555555555554</v>
      </c>
      <c r="Q140">
        <f>-0.0010434687*3600</f>
        <v>-3.7564873200000002</v>
      </c>
      <c r="R140">
        <f>-0.0006042615*3600</f>
        <v>-2.1753413999999998</v>
      </c>
    </row>
    <row r="141" spans="1:18" x14ac:dyDescent="0.3">
      <c r="A141" s="4" t="s">
        <v>47</v>
      </c>
      <c r="B141" t="s">
        <v>57</v>
      </c>
      <c r="C141">
        <v>201.28653600000001</v>
      </c>
      <c r="D141">
        <v>300.84132899999997</v>
      </c>
      <c r="E141">
        <v>37.385599999999997</v>
      </c>
      <c r="F141">
        <v>37.375700000000002</v>
      </c>
      <c r="G141">
        <v>0.26100000000000001</v>
      </c>
      <c r="H141">
        <v>0</v>
      </c>
      <c r="I141" t="s">
        <v>0</v>
      </c>
      <c r="J141" t="s">
        <v>50</v>
      </c>
      <c r="K141" t="s">
        <v>51</v>
      </c>
      <c r="L141">
        <v>0</v>
      </c>
      <c r="M141" t="s">
        <v>52</v>
      </c>
      <c r="N141">
        <v>1</v>
      </c>
      <c r="O141" t="s">
        <v>53</v>
      </c>
      <c r="P141" s="2">
        <v>0.4145833333333333</v>
      </c>
      <c r="Q141">
        <f>0.0002083634*3600</f>
        <v>0.75010824000000009</v>
      </c>
      <c r="R141">
        <f>0.0006332812*3600</f>
        <v>2.27981232</v>
      </c>
    </row>
    <row r="142" spans="1:18" x14ac:dyDescent="0.3">
      <c r="A142" s="4" t="s">
        <v>47</v>
      </c>
      <c r="B142" t="s">
        <v>57</v>
      </c>
      <c r="C142">
        <v>1.286597</v>
      </c>
      <c r="D142">
        <v>99.158529999999999</v>
      </c>
      <c r="E142">
        <v>37.3855</v>
      </c>
      <c r="F142">
        <v>37.375599999999999</v>
      </c>
      <c r="G142">
        <v>0.26100000000000001</v>
      </c>
      <c r="H142">
        <v>0</v>
      </c>
      <c r="I142" t="s">
        <v>0</v>
      </c>
      <c r="J142" t="s">
        <v>50</v>
      </c>
      <c r="K142" t="s">
        <v>51</v>
      </c>
      <c r="L142">
        <v>0</v>
      </c>
      <c r="M142" t="s">
        <v>52</v>
      </c>
      <c r="N142">
        <v>1</v>
      </c>
      <c r="O142" t="s">
        <v>53</v>
      </c>
      <c r="P142" s="2">
        <v>0.41666666666666669</v>
      </c>
      <c r="Q142">
        <f>-0.0008321371*3600</f>
        <v>-2.9956935599999999</v>
      </c>
      <c r="R142">
        <f>-0.0006540091*3600</f>
        <v>-2.3544327599999999</v>
      </c>
    </row>
    <row r="143" spans="1:18" x14ac:dyDescent="0.3">
      <c r="A143" s="4" t="s">
        <v>47</v>
      </c>
      <c r="B143" t="s">
        <v>57</v>
      </c>
      <c r="C143">
        <v>201.28628599999999</v>
      </c>
      <c r="D143">
        <v>300.84135700000002</v>
      </c>
      <c r="E143">
        <v>37.385599999999997</v>
      </c>
      <c r="F143">
        <v>37.375700000000002</v>
      </c>
      <c r="G143">
        <v>0.26100000000000001</v>
      </c>
      <c r="H143">
        <v>0</v>
      </c>
      <c r="I143" t="s">
        <v>0</v>
      </c>
      <c r="J143" t="s">
        <v>50</v>
      </c>
      <c r="K143" t="s">
        <v>51</v>
      </c>
      <c r="L143">
        <v>0</v>
      </c>
      <c r="M143" t="s">
        <v>52</v>
      </c>
      <c r="N143">
        <v>1</v>
      </c>
      <c r="O143" t="s">
        <v>53</v>
      </c>
      <c r="P143" s="2">
        <v>0.41875000000000001</v>
      </c>
      <c r="Q143">
        <f>0.0008064617*3600</f>
        <v>2.9032621199999999</v>
      </c>
      <c r="R143">
        <f>0.0004842914*3600</f>
        <v>1.74344904</v>
      </c>
    </row>
    <row r="144" spans="1:18" x14ac:dyDescent="0.3">
      <c r="A144" s="4" t="s">
        <v>47</v>
      </c>
      <c r="B144" t="s">
        <v>57</v>
      </c>
      <c r="C144">
        <v>1.286816</v>
      </c>
      <c r="D144">
        <v>99.158625000000001</v>
      </c>
      <c r="E144">
        <v>37.385300000000001</v>
      </c>
      <c r="F144">
        <v>37.375399999999999</v>
      </c>
      <c r="G144">
        <v>0.26100000000000001</v>
      </c>
      <c r="H144">
        <v>0</v>
      </c>
      <c r="I144" t="s">
        <v>0</v>
      </c>
      <c r="J144" t="s">
        <v>50</v>
      </c>
      <c r="K144" t="s">
        <v>51</v>
      </c>
      <c r="L144">
        <v>0</v>
      </c>
      <c r="M144" t="s">
        <v>52</v>
      </c>
      <c r="N144">
        <v>1</v>
      </c>
      <c r="O144" t="s">
        <v>53</v>
      </c>
      <c r="P144" s="2">
        <v>0.4201388888888889</v>
      </c>
      <c r="Q144">
        <f>-0.0011447785*3600</f>
        <v>-4.1212025999999993</v>
      </c>
      <c r="R144">
        <f>-0.0010990286*3600</f>
        <v>-3.9565029599999999</v>
      </c>
    </row>
    <row r="145" spans="1:18" x14ac:dyDescent="0.3">
      <c r="A145" s="4" t="s">
        <v>47</v>
      </c>
      <c r="B145" t="s">
        <v>57</v>
      </c>
      <c r="C145">
        <v>201.286688</v>
      </c>
      <c r="D145">
        <v>300.84129300000001</v>
      </c>
      <c r="E145">
        <v>37.3855</v>
      </c>
      <c r="F145">
        <v>37.375599999999999</v>
      </c>
      <c r="G145">
        <v>0.26100000000000001</v>
      </c>
      <c r="H145">
        <v>0</v>
      </c>
      <c r="I145" t="s">
        <v>0</v>
      </c>
      <c r="J145" t="s">
        <v>50</v>
      </c>
      <c r="K145" t="s">
        <v>51</v>
      </c>
      <c r="L145">
        <v>0</v>
      </c>
      <c r="M145" t="s">
        <v>52</v>
      </c>
      <c r="N145">
        <v>1</v>
      </c>
      <c r="O145" t="s">
        <v>53</v>
      </c>
      <c r="P145" s="2">
        <v>0.42222222222222222</v>
      </c>
      <c r="Q145">
        <f>0.0004407963*3600</f>
        <v>1.58686668</v>
      </c>
      <c r="R145">
        <f>0.0008123544*3600</f>
        <v>2.9244758399999999</v>
      </c>
    </row>
    <row r="146" spans="1:18" x14ac:dyDescent="0.3">
      <c r="A146" s="4" t="s">
        <v>47</v>
      </c>
      <c r="B146" t="s">
        <v>57</v>
      </c>
      <c r="C146">
        <v>1.286724</v>
      </c>
      <c r="D146">
        <v>99.157960000000003</v>
      </c>
      <c r="E146">
        <v>37.3855</v>
      </c>
      <c r="F146">
        <v>37.375599999999999</v>
      </c>
      <c r="G146">
        <v>0.26100000000000001</v>
      </c>
      <c r="H146">
        <v>0</v>
      </c>
      <c r="I146" t="s">
        <v>0</v>
      </c>
      <c r="J146" t="s">
        <v>50</v>
      </c>
      <c r="K146" t="s">
        <v>51</v>
      </c>
      <c r="L146">
        <v>0</v>
      </c>
      <c r="M146" t="s">
        <v>52</v>
      </c>
      <c r="N146">
        <v>1</v>
      </c>
      <c r="O146" t="s">
        <v>53</v>
      </c>
      <c r="P146" s="2">
        <v>0.42569444444444443</v>
      </c>
      <c r="Q146">
        <f>-0.0008387341*3600</f>
        <v>-3.01944276</v>
      </c>
      <c r="R146">
        <f>-0.000761885*3600</f>
        <v>-2.7427860000000002</v>
      </c>
    </row>
    <row r="147" spans="1:18" x14ac:dyDescent="0.3">
      <c r="A147" s="4" t="s">
        <v>47</v>
      </c>
      <c r="B147" t="s">
        <v>57</v>
      </c>
      <c r="C147">
        <v>201.28634600000001</v>
      </c>
      <c r="D147">
        <v>300.84148099999999</v>
      </c>
      <c r="E147">
        <v>37.385599999999997</v>
      </c>
      <c r="F147">
        <v>37.375700000000002</v>
      </c>
      <c r="G147">
        <v>0.26100000000000001</v>
      </c>
      <c r="H147">
        <v>0</v>
      </c>
      <c r="I147" t="s">
        <v>0</v>
      </c>
      <c r="J147" t="s">
        <v>50</v>
      </c>
      <c r="K147" t="s">
        <v>51</v>
      </c>
      <c r="L147">
        <v>0</v>
      </c>
      <c r="M147" t="s">
        <v>52</v>
      </c>
      <c r="N147">
        <v>1</v>
      </c>
      <c r="O147" t="s">
        <v>53</v>
      </c>
      <c r="P147" s="2">
        <v>0.42777777777777781</v>
      </c>
      <c r="Q147">
        <f>0.0007478076*3600</f>
        <v>2.6921073599999996</v>
      </c>
      <c r="R147">
        <f>0.0005209799*3600</f>
        <v>1.8755276399999998</v>
      </c>
    </row>
    <row r="148" spans="1:18" x14ac:dyDescent="0.3">
      <c r="A148" s="4" t="s">
        <v>47</v>
      </c>
      <c r="B148" t="s">
        <v>57</v>
      </c>
      <c r="C148">
        <v>1.2867679999999999</v>
      </c>
      <c r="D148">
        <v>99.158401999999995</v>
      </c>
      <c r="E148">
        <v>37.385300000000001</v>
      </c>
      <c r="F148">
        <v>37.375399999999999</v>
      </c>
      <c r="G148">
        <v>0.26100000000000001</v>
      </c>
      <c r="H148">
        <v>0</v>
      </c>
      <c r="I148" t="s">
        <v>0</v>
      </c>
      <c r="J148" t="s">
        <v>50</v>
      </c>
      <c r="K148" t="s">
        <v>51</v>
      </c>
      <c r="L148">
        <v>0</v>
      </c>
      <c r="M148" t="s">
        <v>52</v>
      </c>
      <c r="N148">
        <v>1</v>
      </c>
      <c r="O148" t="s">
        <v>53</v>
      </c>
      <c r="P148" s="2">
        <v>0.4284722222222222</v>
      </c>
      <c r="Q148">
        <f>-0.0012656303*3600</f>
        <v>-4.5562690799999999</v>
      </c>
      <c r="R148">
        <f>-0.0011945138*3600</f>
        <v>-4.3002496800000003</v>
      </c>
    </row>
    <row r="149" spans="1:18" x14ac:dyDescent="0.3">
      <c r="A149" s="4" t="s">
        <v>47</v>
      </c>
      <c r="B149" t="s">
        <v>57</v>
      </c>
      <c r="C149">
        <v>201.28658999999999</v>
      </c>
      <c r="D149">
        <v>300.84143299999999</v>
      </c>
      <c r="E149">
        <v>37.385599999999997</v>
      </c>
      <c r="F149">
        <v>37.375700000000002</v>
      </c>
      <c r="G149">
        <v>0.26100000000000001</v>
      </c>
      <c r="H149">
        <v>0</v>
      </c>
      <c r="I149" t="s">
        <v>0</v>
      </c>
      <c r="J149" t="s">
        <v>50</v>
      </c>
      <c r="K149" t="s">
        <v>51</v>
      </c>
      <c r="L149">
        <v>0</v>
      </c>
      <c r="M149" t="s">
        <v>52</v>
      </c>
      <c r="N149">
        <v>1</v>
      </c>
      <c r="O149" t="s">
        <v>53</v>
      </c>
      <c r="P149" s="2">
        <v>0.43055555555555558</v>
      </c>
      <c r="Q149">
        <f>0.0008297251*3600</f>
        <v>2.9870103600000002</v>
      </c>
      <c r="R149">
        <f>0.0004251904*3600</f>
        <v>1.5306854400000001</v>
      </c>
    </row>
    <row r="150" spans="1:18" x14ac:dyDescent="0.3">
      <c r="A150" s="4" t="s">
        <v>47</v>
      </c>
      <c r="B150" t="s">
        <v>57</v>
      </c>
      <c r="C150">
        <v>1.2867660000000001</v>
      </c>
      <c r="D150">
        <v>99.158575999999996</v>
      </c>
      <c r="E150">
        <v>37.3857</v>
      </c>
      <c r="F150">
        <v>37.375799999999998</v>
      </c>
      <c r="G150">
        <v>0.26100000000000001</v>
      </c>
      <c r="H150">
        <v>0</v>
      </c>
      <c r="I150" t="s">
        <v>0</v>
      </c>
      <c r="J150" t="s">
        <v>50</v>
      </c>
      <c r="K150" t="s">
        <v>51</v>
      </c>
      <c r="L150">
        <v>0</v>
      </c>
      <c r="M150" t="s">
        <v>52</v>
      </c>
      <c r="N150">
        <v>1</v>
      </c>
      <c r="O150" t="s">
        <v>53</v>
      </c>
      <c r="P150" s="2">
        <v>0.43124999999999997</v>
      </c>
      <c r="Q150">
        <f>-0.0014063403*3600</f>
        <v>-5.0628250799999996</v>
      </c>
      <c r="R150">
        <f>-0.0012125337*3600</f>
        <v>-4.3651213200000001</v>
      </c>
    </row>
    <row r="151" spans="1:18" x14ac:dyDescent="0.3">
      <c r="A151" s="4" t="s">
        <v>47</v>
      </c>
      <c r="B151" t="s">
        <v>57</v>
      </c>
      <c r="C151">
        <v>201.28646900000001</v>
      </c>
      <c r="D151">
        <v>300.84108700000002</v>
      </c>
      <c r="E151">
        <v>37.3855</v>
      </c>
      <c r="F151">
        <v>37.375599999999999</v>
      </c>
      <c r="G151">
        <v>0.26100000000000001</v>
      </c>
      <c r="H151">
        <v>0</v>
      </c>
      <c r="I151" t="s">
        <v>0</v>
      </c>
      <c r="J151" t="s">
        <v>50</v>
      </c>
      <c r="K151" t="s">
        <v>51</v>
      </c>
      <c r="L151">
        <v>0</v>
      </c>
      <c r="M151" t="s">
        <v>52</v>
      </c>
      <c r="N151">
        <v>1</v>
      </c>
      <c r="O151" t="s">
        <v>53</v>
      </c>
      <c r="P151" s="2">
        <v>0.43333333333333335</v>
      </c>
      <c r="Q151">
        <f>0.0002906782*3600</f>
        <v>1.0464415200000001</v>
      </c>
      <c r="R151">
        <f>0.0010049036*3600</f>
        <v>3.6176529599999996</v>
      </c>
    </row>
    <row r="152" spans="1:18" x14ac:dyDescent="0.3">
      <c r="A152" s="4" t="s">
        <v>47</v>
      </c>
      <c r="B152" t="s">
        <v>57</v>
      </c>
      <c r="C152">
        <v>1.2866120000000001</v>
      </c>
      <c r="D152">
        <v>99.158856</v>
      </c>
      <c r="E152">
        <v>37.3857</v>
      </c>
      <c r="F152">
        <v>37.375799999999998</v>
      </c>
      <c r="G152">
        <v>0.26100000000000001</v>
      </c>
      <c r="H152">
        <v>0</v>
      </c>
      <c r="I152" t="s">
        <v>0</v>
      </c>
      <c r="J152" t="s">
        <v>50</v>
      </c>
      <c r="K152" t="s">
        <v>51</v>
      </c>
      <c r="L152">
        <v>0</v>
      </c>
      <c r="M152" t="s">
        <v>52</v>
      </c>
      <c r="N152">
        <v>1</v>
      </c>
      <c r="O152" t="s">
        <v>53</v>
      </c>
      <c r="P152" s="2">
        <v>0.43402777777777773</v>
      </c>
      <c r="Q152">
        <f>-0.0013607344*3600</f>
        <v>-4.8986438400000001</v>
      </c>
      <c r="R152">
        <f>-0.001181763*3600</f>
        <v>-4.2543467999999995</v>
      </c>
    </row>
    <row r="153" spans="1:18" x14ac:dyDescent="0.3">
      <c r="A153" s="4" t="s">
        <v>47</v>
      </c>
      <c r="B153" t="s">
        <v>57</v>
      </c>
      <c r="C153">
        <v>201.286396</v>
      </c>
      <c r="D153">
        <v>300.84134399999999</v>
      </c>
      <c r="E153">
        <v>37.3857</v>
      </c>
      <c r="F153">
        <v>37.375799999999998</v>
      </c>
      <c r="G153">
        <v>0.26100000000000001</v>
      </c>
      <c r="H153">
        <v>0</v>
      </c>
      <c r="I153" t="s">
        <v>0</v>
      </c>
      <c r="J153" t="s">
        <v>50</v>
      </c>
      <c r="K153" t="s">
        <v>51</v>
      </c>
      <c r="L153">
        <v>0</v>
      </c>
      <c r="M153" t="s">
        <v>52</v>
      </c>
      <c r="N153">
        <v>1</v>
      </c>
      <c r="O153" t="s">
        <v>53</v>
      </c>
      <c r="P153" s="2">
        <v>0.43541666666666662</v>
      </c>
      <c r="Q153">
        <f>0.0008552394*3600</f>
        <v>3.0788618400000001</v>
      </c>
      <c r="R153">
        <f>0.0006165527*3600</f>
        <v>2.2195897200000001</v>
      </c>
    </row>
    <row r="154" spans="1:18" x14ac:dyDescent="0.3">
      <c r="A154" s="4" t="s">
        <v>47</v>
      </c>
      <c r="B154" t="s">
        <v>57</v>
      </c>
      <c r="C154">
        <v>1.286484</v>
      </c>
      <c r="D154">
        <v>99.158816000000002</v>
      </c>
      <c r="E154">
        <v>37.3857</v>
      </c>
      <c r="F154">
        <v>37.375799999999998</v>
      </c>
      <c r="G154">
        <v>0.26100000000000001</v>
      </c>
      <c r="H154">
        <v>0</v>
      </c>
      <c r="I154" t="s">
        <v>0</v>
      </c>
      <c r="J154" t="s">
        <v>50</v>
      </c>
      <c r="K154" t="s">
        <v>51</v>
      </c>
      <c r="L154">
        <v>0</v>
      </c>
      <c r="M154" t="s">
        <v>52</v>
      </c>
      <c r="N154">
        <v>1</v>
      </c>
      <c r="O154" t="s">
        <v>53</v>
      </c>
      <c r="P154" s="2">
        <v>0.43611111111111112</v>
      </c>
      <c r="Q154">
        <f>-0.0013860948*3600</f>
        <v>-4.98994128</v>
      </c>
      <c r="R154">
        <f>-0.0012473879*3600</f>
        <v>-4.49059644</v>
      </c>
    </row>
    <row r="155" spans="1:18" x14ac:dyDescent="0.3">
      <c r="A155" s="4" t="s">
        <v>47</v>
      </c>
      <c r="B155" t="s">
        <v>57</v>
      </c>
      <c r="C155">
        <v>201.28610499999999</v>
      </c>
      <c r="D155">
        <v>300.841274</v>
      </c>
      <c r="E155">
        <v>37.3857</v>
      </c>
      <c r="F155">
        <v>37.375799999999998</v>
      </c>
      <c r="G155">
        <v>0.26100000000000001</v>
      </c>
      <c r="H155">
        <v>0</v>
      </c>
      <c r="I155" t="s">
        <v>0</v>
      </c>
      <c r="J155" t="s">
        <v>50</v>
      </c>
      <c r="K155" t="s">
        <v>51</v>
      </c>
      <c r="L155">
        <v>0</v>
      </c>
      <c r="M155" t="s">
        <v>52</v>
      </c>
      <c r="N155">
        <v>1</v>
      </c>
      <c r="O155" t="s">
        <v>53</v>
      </c>
      <c r="P155" s="2">
        <v>0.4381944444444445</v>
      </c>
      <c r="Q155">
        <f>0.0006992344*3600</f>
        <v>2.5172438399999999</v>
      </c>
      <c r="R155">
        <f>0.0004777034*3600</f>
        <v>1.7197322399999999</v>
      </c>
    </row>
    <row r="156" spans="1:18" x14ac:dyDescent="0.3">
      <c r="A156" s="4" t="s">
        <v>47</v>
      </c>
      <c r="B156" t="s">
        <v>57</v>
      </c>
      <c r="C156">
        <v>1.2863329999999999</v>
      </c>
      <c r="D156">
        <v>99.158742000000004</v>
      </c>
      <c r="E156">
        <v>37.385599999999997</v>
      </c>
      <c r="F156">
        <v>37.375700000000002</v>
      </c>
      <c r="G156">
        <v>0.26100000000000001</v>
      </c>
      <c r="H156">
        <v>0</v>
      </c>
      <c r="I156" t="s">
        <v>0</v>
      </c>
      <c r="J156" t="s">
        <v>50</v>
      </c>
      <c r="K156" t="s">
        <v>51</v>
      </c>
      <c r="L156">
        <v>0</v>
      </c>
      <c r="M156" t="s">
        <v>52</v>
      </c>
      <c r="N156">
        <v>1</v>
      </c>
      <c r="O156" t="s">
        <v>53</v>
      </c>
      <c r="P156" s="2">
        <v>0.44097222222222227</v>
      </c>
      <c r="Q156">
        <f>-0.0015644892*3600</f>
        <v>-5.6321611200000001</v>
      </c>
      <c r="R156">
        <f>-0.0012798827*3600</f>
        <v>-4.6075777200000001</v>
      </c>
    </row>
    <row r="157" spans="1:18" x14ac:dyDescent="0.3">
      <c r="A157" s="4" t="s">
        <v>47</v>
      </c>
      <c r="B157" t="s">
        <v>57</v>
      </c>
      <c r="C157">
        <v>201.286587</v>
      </c>
      <c r="D157">
        <v>300.84114199999999</v>
      </c>
      <c r="E157">
        <v>37.385599999999997</v>
      </c>
      <c r="F157">
        <v>37.375700000000002</v>
      </c>
      <c r="G157">
        <v>0.26100000000000001</v>
      </c>
      <c r="H157">
        <v>0</v>
      </c>
      <c r="I157" t="s">
        <v>0</v>
      </c>
      <c r="J157" t="s">
        <v>50</v>
      </c>
      <c r="K157" t="s">
        <v>51</v>
      </c>
      <c r="L157">
        <v>0</v>
      </c>
      <c r="M157" t="s">
        <v>52</v>
      </c>
      <c r="N157">
        <v>1</v>
      </c>
      <c r="O157" t="s">
        <v>53</v>
      </c>
      <c r="P157" s="2">
        <v>0.44236111111111115</v>
      </c>
      <c r="Q157">
        <f>0.0007860279*3600</f>
        <v>2.8297004399999999</v>
      </c>
      <c r="R157">
        <f>0.0005144007*3600</f>
        <v>1.8518425199999997</v>
      </c>
    </row>
    <row r="158" spans="1:18" x14ac:dyDescent="0.3">
      <c r="A158" s="4" t="s">
        <v>47</v>
      </c>
      <c r="B158" t="s">
        <v>57</v>
      </c>
      <c r="C158">
        <v>1.2868850000000001</v>
      </c>
      <c r="D158">
        <v>99.158300999999994</v>
      </c>
      <c r="E158">
        <v>37.385599999999997</v>
      </c>
      <c r="F158">
        <v>37.375700000000002</v>
      </c>
      <c r="G158">
        <v>0.26100000000000001</v>
      </c>
      <c r="H158">
        <v>0</v>
      </c>
      <c r="I158" t="s">
        <v>0</v>
      </c>
      <c r="J158" t="s">
        <v>50</v>
      </c>
      <c r="K158" t="s">
        <v>51</v>
      </c>
      <c r="L158">
        <v>0</v>
      </c>
      <c r="M158" t="s">
        <v>52</v>
      </c>
      <c r="N158">
        <v>1</v>
      </c>
      <c r="O158" t="s">
        <v>53</v>
      </c>
      <c r="P158" s="2">
        <v>0.44305555555555554</v>
      </c>
      <c r="Q158">
        <f>-0.0015177435*3600</f>
        <v>-5.4638765999999999</v>
      </c>
      <c r="R158">
        <f>-0.0012372983*3600</f>
        <v>-4.4542738800000006</v>
      </c>
    </row>
    <row r="159" spans="1:18" x14ac:dyDescent="0.3">
      <c r="A159" s="4" t="s">
        <v>47</v>
      </c>
      <c r="B159" t="s">
        <v>57</v>
      </c>
      <c r="C159">
        <v>201.286508</v>
      </c>
      <c r="D159">
        <v>300.84095000000002</v>
      </c>
      <c r="E159">
        <v>37.385399999999997</v>
      </c>
      <c r="F159">
        <v>37.375500000000002</v>
      </c>
      <c r="G159">
        <v>0.26100000000000001</v>
      </c>
      <c r="H159">
        <v>0</v>
      </c>
      <c r="I159" t="s">
        <v>0</v>
      </c>
      <c r="J159" t="s">
        <v>50</v>
      </c>
      <c r="K159" t="s">
        <v>51</v>
      </c>
      <c r="L159">
        <v>0</v>
      </c>
      <c r="M159" t="s">
        <v>52</v>
      </c>
      <c r="N159">
        <v>1</v>
      </c>
      <c r="O159" t="s">
        <v>53</v>
      </c>
      <c r="P159" s="2">
        <v>0.44513888888888892</v>
      </c>
      <c r="Q159">
        <f>0.0008417738*3600</f>
        <v>3.0303856800000002</v>
      </c>
      <c r="R159">
        <f>0.0003866389*3600</f>
        <v>1.3919000400000001</v>
      </c>
    </row>
    <row r="160" spans="1:18" x14ac:dyDescent="0.3">
      <c r="A160" s="4" t="s">
        <v>47</v>
      </c>
      <c r="B160" t="s">
        <v>61</v>
      </c>
      <c r="C160">
        <v>88.838713999999996</v>
      </c>
      <c r="D160">
        <v>93.900032999999993</v>
      </c>
      <c r="E160">
        <v>30.832899999999999</v>
      </c>
      <c r="F160">
        <v>30.686</v>
      </c>
      <c r="G160">
        <v>0.26100000000000001</v>
      </c>
      <c r="H160">
        <v>0</v>
      </c>
      <c r="I160" t="s">
        <v>0</v>
      </c>
      <c r="J160" t="s">
        <v>59</v>
      </c>
      <c r="K160">
        <v>3.4000000000000002E-2</v>
      </c>
      <c r="L160" t="s">
        <v>60</v>
      </c>
      <c r="M160">
        <v>1</v>
      </c>
      <c r="N160" t="s">
        <v>53</v>
      </c>
      <c r="O160" s="2">
        <v>0.36944444444444446</v>
      </c>
      <c r="P160">
        <f>0.00003441*3600</f>
        <v>0.12387599999999999</v>
      </c>
      <c r="Q160">
        <f>-0.0004952226*3600</f>
        <v>-1.7828013600000001</v>
      </c>
    </row>
    <row r="161" spans="1:17" x14ac:dyDescent="0.3">
      <c r="A161" s="4" t="s">
        <v>47</v>
      </c>
      <c r="B161" t="s">
        <v>61</v>
      </c>
      <c r="C161">
        <v>288.83772199999999</v>
      </c>
      <c r="D161">
        <v>306.09991600000001</v>
      </c>
      <c r="E161">
        <v>30.833200000000001</v>
      </c>
      <c r="F161">
        <v>30.686299999999999</v>
      </c>
      <c r="G161">
        <v>0.26100000000000001</v>
      </c>
      <c r="H161">
        <v>0</v>
      </c>
      <c r="I161" t="s">
        <v>0</v>
      </c>
      <c r="J161" t="s">
        <v>59</v>
      </c>
      <c r="K161">
        <v>3.4000000000000002E-2</v>
      </c>
      <c r="L161" t="s">
        <v>60</v>
      </c>
      <c r="M161">
        <v>1</v>
      </c>
      <c r="N161" t="s">
        <v>53</v>
      </c>
      <c r="O161" s="2">
        <v>0.37083333333333335</v>
      </c>
      <c r="P161">
        <f>-0.0008347168*3600</f>
        <v>-3.0049804800000004</v>
      </c>
      <c r="Q161">
        <f>0.0007203452*3600</f>
        <v>2.5932427200000001</v>
      </c>
    </row>
    <row r="162" spans="1:17" x14ac:dyDescent="0.3">
      <c r="A162" s="4" t="s">
        <v>47</v>
      </c>
      <c r="B162" t="s">
        <v>61</v>
      </c>
      <c r="C162">
        <v>88.837947</v>
      </c>
      <c r="D162">
        <v>93.900390999999999</v>
      </c>
      <c r="E162">
        <v>30.833300000000001</v>
      </c>
      <c r="F162">
        <v>30.686399999999999</v>
      </c>
      <c r="G162">
        <v>0.26100000000000001</v>
      </c>
      <c r="H162">
        <v>0</v>
      </c>
      <c r="I162" t="s">
        <v>0</v>
      </c>
      <c r="J162" t="s">
        <v>59</v>
      </c>
      <c r="K162">
        <v>3.4000000000000002E-2</v>
      </c>
      <c r="L162" t="s">
        <v>60</v>
      </c>
      <c r="M162">
        <v>1</v>
      </c>
      <c r="N162" t="s">
        <v>53</v>
      </c>
      <c r="O162" s="2">
        <v>0.37847222222222227</v>
      </c>
      <c r="P162">
        <f>0.0001618597*3600</f>
        <v>0.58269492000000001</v>
      </c>
      <c r="Q162">
        <f>-0.0009663518*3600</f>
        <v>-3.4788664800000002</v>
      </c>
    </row>
    <row r="163" spans="1:17" x14ac:dyDescent="0.3">
      <c r="A163" s="4" t="s">
        <v>47</v>
      </c>
      <c r="B163" t="s">
        <v>61</v>
      </c>
      <c r="C163">
        <v>288.83832999999998</v>
      </c>
      <c r="D163">
        <v>306.10072200000002</v>
      </c>
      <c r="E163">
        <v>30.833400000000001</v>
      </c>
      <c r="F163">
        <v>30.686399999999999</v>
      </c>
      <c r="G163">
        <v>0.26100000000000001</v>
      </c>
      <c r="H163">
        <v>0</v>
      </c>
      <c r="I163" t="s">
        <v>0</v>
      </c>
      <c r="J163" t="s">
        <v>59</v>
      </c>
      <c r="K163">
        <v>3.4000000000000002E-2</v>
      </c>
      <c r="L163" t="s">
        <v>60</v>
      </c>
      <c r="M163">
        <v>1</v>
      </c>
      <c r="N163" t="s">
        <v>53</v>
      </c>
      <c r="O163" s="2">
        <v>0.38194444444444442</v>
      </c>
      <c r="P163">
        <f>-0.0002441134*3600</f>
        <v>-0.87880824000000002</v>
      </c>
      <c r="Q163">
        <f>0.0005732565*3600</f>
        <v>2.0637234000000002</v>
      </c>
    </row>
    <row r="164" spans="1:17" x14ac:dyDescent="0.3">
      <c r="A164" s="4" t="s">
        <v>47</v>
      </c>
      <c r="B164" t="s">
        <v>61</v>
      </c>
      <c r="C164">
        <v>88.837677999999997</v>
      </c>
      <c r="D164">
        <v>93.900726000000006</v>
      </c>
      <c r="E164">
        <v>30.833400000000001</v>
      </c>
      <c r="F164">
        <v>30.686499999999999</v>
      </c>
      <c r="G164">
        <v>0.26100000000000001</v>
      </c>
      <c r="H164">
        <v>0</v>
      </c>
      <c r="I164" t="s">
        <v>0</v>
      </c>
      <c r="J164" t="s">
        <v>59</v>
      </c>
      <c r="K164">
        <v>3.4000000000000002E-2</v>
      </c>
      <c r="L164" t="s">
        <v>60</v>
      </c>
      <c r="M164">
        <v>1</v>
      </c>
      <c r="N164" t="s">
        <v>53</v>
      </c>
      <c r="O164" s="2">
        <v>0.3833333333333333</v>
      </c>
      <c r="P164">
        <f>0.0001295486*3600</f>
        <v>0.46637495999999995</v>
      </c>
      <c r="Q164">
        <f>-0.0006345309*3600</f>
        <v>-2.2843112400000001</v>
      </c>
    </row>
    <row r="165" spans="1:17" x14ac:dyDescent="0.3">
      <c r="A165" s="4" t="s">
        <v>47</v>
      </c>
      <c r="B165" t="s">
        <v>61</v>
      </c>
      <c r="C165">
        <v>288.83785799999998</v>
      </c>
      <c r="D165">
        <v>306.09931499999999</v>
      </c>
      <c r="E165">
        <v>30.833400000000001</v>
      </c>
      <c r="F165">
        <v>30.686499999999999</v>
      </c>
      <c r="G165">
        <v>0.26100000000000001</v>
      </c>
      <c r="H165">
        <v>0</v>
      </c>
      <c r="I165" t="s">
        <v>0</v>
      </c>
      <c r="J165" t="s">
        <v>59</v>
      </c>
      <c r="K165">
        <v>3.4000000000000002E-2</v>
      </c>
      <c r="L165" t="s">
        <v>60</v>
      </c>
      <c r="M165">
        <v>1</v>
      </c>
      <c r="N165" t="s">
        <v>53</v>
      </c>
      <c r="O165" s="2">
        <v>0.38541666666666669</v>
      </c>
      <c r="P165">
        <f>-0.0011634612*3600</f>
        <v>-4.1884603199999999</v>
      </c>
      <c r="Q165">
        <f>0.0007610368*3600</f>
        <v>2.7397324800000002</v>
      </c>
    </row>
    <row r="166" spans="1:17" x14ac:dyDescent="0.3">
      <c r="A166" s="4" t="s">
        <v>47</v>
      </c>
      <c r="B166" t="s">
        <v>61</v>
      </c>
      <c r="C166">
        <v>88.838451000000006</v>
      </c>
      <c r="D166">
        <v>93.901418000000007</v>
      </c>
      <c r="E166">
        <v>30.833300000000001</v>
      </c>
      <c r="F166">
        <v>30.686399999999999</v>
      </c>
      <c r="G166">
        <v>0.26100000000000001</v>
      </c>
      <c r="H166">
        <v>0</v>
      </c>
      <c r="I166" t="s">
        <v>0</v>
      </c>
      <c r="J166" t="s">
        <v>59</v>
      </c>
      <c r="K166">
        <v>3.4000000000000002E-2</v>
      </c>
      <c r="L166" t="s">
        <v>60</v>
      </c>
      <c r="M166">
        <v>1</v>
      </c>
      <c r="N166" t="s">
        <v>53</v>
      </c>
      <c r="O166" s="2">
        <v>0.38750000000000001</v>
      </c>
      <c r="P166">
        <f>0.0002029299*3600</f>
        <v>0.73054764000000005</v>
      </c>
      <c r="Q166">
        <f>-0.0005576625*3600</f>
        <v>-2.0075849999999997</v>
      </c>
    </row>
    <row r="167" spans="1:17" x14ac:dyDescent="0.3">
      <c r="A167" s="4" t="s">
        <v>47</v>
      </c>
      <c r="B167" t="s">
        <v>61</v>
      </c>
      <c r="C167">
        <v>288.837964</v>
      </c>
      <c r="D167">
        <v>306.09887199999997</v>
      </c>
      <c r="E167">
        <v>30.833500000000001</v>
      </c>
      <c r="F167">
        <v>30.686599999999999</v>
      </c>
      <c r="G167">
        <v>0.26100000000000001</v>
      </c>
      <c r="H167">
        <v>0</v>
      </c>
      <c r="I167" t="s">
        <v>0</v>
      </c>
      <c r="J167" t="s">
        <v>59</v>
      </c>
      <c r="K167">
        <v>3.4000000000000002E-2</v>
      </c>
      <c r="L167" t="s">
        <v>60</v>
      </c>
      <c r="M167">
        <v>1</v>
      </c>
      <c r="N167" t="s">
        <v>53</v>
      </c>
      <c r="O167" s="2">
        <v>0.38958333333333334</v>
      </c>
      <c r="P167">
        <f>-0.0010669891*3600</f>
        <v>-3.8411607600000002</v>
      </c>
      <c r="Q167">
        <f>0.0003985105*3600</f>
        <v>1.4346378</v>
      </c>
    </row>
    <row r="168" spans="1:17" x14ac:dyDescent="0.3">
      <c r="A168" s="4" t="s">
        <v>47</v>
      </c>
      <c r="B168" t="s">
        <v>61</v>
      </c>
      <c r="C168">
        <v>88.837767999999997</v>
      </c>
      <c r="D168">
        <v>93.900498999999996</v>
      </c>
      <c r="E168">
        <v>30.833300000000001</v>
      </c>
      <c r="F168">
        <v>30.686399999999999</v>
      </c>
      <c r="G168">
        <v>0.26100000000000001</v>
      </c>
      <c r="H168">
        <v>0</v>
      </c>
      <c r="I168" t="s">
        <v>0</v>
      </c>
      <c r="J168" t="s">
        <v>59</v>
      </c>
      <c r="K168">
        <v>3.4000000000000002E-2</v>
      </c>
      <c r="L168" t="s">
        <v>60</v>
      </c>
      <c r="M168">
        <v>1</v>
      </c>
      <c r="N168" t="s">
        <v>53</v>
      </c>
      <c r="O168" s="2">
        <v>0.39166666666666666</v>
      </c>
      <c r="P168">
        <f>0.0002809347*3600</f>
        <v>1.0113649200000001</v>
      </c>
      <c r="Q168">
        <f>-0.0010355138*3600</f>
        <v>-3.7278496799999998</v>
      </c>
    </row>
    <row r="169" spans="1:17" x14ac:dyDescent="0.3">
      <c r="A169" s="4" t="s">
        <v>47</v>
      </c>
      <c r="B169" t="s">
        <v>61</v>
      </c>
      <c r="C169">
        <v>288.83866499999999</v>
      </c>
      <c r="D169">
        <v>306.10023200000001</v>
      </c>
      <c r="E169">
        <v>30.833600000000001</v>
      </c>
      <c r="F169">
        <v>30.686699999999998</v>
      </c>
      <c r="G169">
        <v>0.26100000000000001</v>
      </c>
      <c r="H169">
        <v>0</v>
      </c>
      <c r="I169" t="s">
        <v>0</v>
      </c>
      <c r="J169" t="s">
        <v>59</v>
      </c>
      <c r="K169">
        <v>3.4000000000000002E-2</v>
      </c>
      <c r="L169" t="s">
        <v>60</v>
      </c>
      <c r="M169">
        <v>1</v>
      </c>
      <c r="N169" t="s">
        <v>53</v>
      </c>
      <c r="O169" s="2">
        <v>0.39444444444444443</v>
      </c>
      <c r="P169">
        <f>-0.0003164899*3600</f>
        <v>-1.13936364</v>
      </c>
      <c r="Q169">
        <f>0.0006216213*3600</f>
        <v>2.23783668</v>
      </c>
    </row>
    <row r="170" spans="1:17" x14ac:dyDescent="0.3">
      <c r="A170" s="4" t="s">
        <v>47</v>
      </c>
      <c r="B170" t="s">
        <v>61</v>
      </c>
      <c r="C170">
        <v>88.837609</v>
      </c>
      <c r="D170">
        <v>93.900480000000002</v>
      </c>
      <c r="E170">
        <v>30.833400000000001</v>
      </c>
      <c r="F170">
        <v>30.686499999999999</v>
      </c>
      <c r="G170">
        <v>0.26100000000000001</v>
      </c>
      <c r="H170">
        <v>0</v>
      </c>
      <c r="I170" t="s">
        <v>0</v>
      </c>
      <c r="J170" t="s">
        <v>59</v>
      </c>
      <c r="K170">
        <v>3.4000000000000002E-2</v>
      </c>
      <c r="L170" t="s">
        <v>60</v>
      </c>
      <c r="M170">
        <v>1</v>
      </c>
      <c r="N170" t="s">
        <v>53</v>
      </c>
      <c r="O170" s="2">
        <v>0.39583333333333331</v>
      </c>
      <c r="P170">
        <f>0.0002781*3600</f>
        <v>1.00116</v>
      </c>
      <c r="Q170">
        <f>-0.0010595687*3600</f>
        <v>-3.8144473199999998</v>
      </c>
    </row>
    <row r="171" spans="1:17" x14ac:dyDescent="0.3">
      <c r="A171" s="4" t="s">
        <v>47</v>
      </c>
      <c r="B171" t="s">
        <v>61</v>
      </c>
      <c r="C171">
        <v>288.83837299999999</v>
      </c>
      <c r="D171">
        <v>306.10075699999999</v>
      </c>
      <c r="E171">
        <v>30.833400000000001</v>
      </c>
      <c r="F171">
        <v>30.686399999999999</v>
      </c>
      <c r="G171">
        <v>0.26100000000000001</v>
      </c>
      <c r="H171">
        <v>0</v>
      </c>
      <c r="I171" t="s">
        <v>0</v>
      </c>
      <c r="J171" t="s">
        <v>59</v>
      </c>
      <c r="K171">
        <v>3.4000000000000002E-2</v>
      </c>
      <c r="L171" t="s">
        <v>60</v>
      </c>
      <c r="M171">
        <v>1</v>
      </c>
      <c r="N171" t="s">
        <v>53</v>
      </c>
      <c r="O171" s="2">
        <v>0.3972222222222222</v>
      </c>
      <c r="P171">
        <f>-0.0005963158*3600</f>
        <v>-2.1467368799999997</v>
      </c>
      <c r="Q171">
        <f>0.0007266416*3600</f>
        <v>2.6159097600000001</v>
      </c>
    </row>
    <row r="172" spans="1:17" x14ac:dyDescent="0.3">
      <c r="A172" s="4" t="s">
        <v>47</v>
      </c>
      <c r="B172" t="s">
        <v>61</v>
      </c>
      <c r="C172">
        <v>88.838408000000001</v>
      </c>
      <c r="D172">
        <v>93.899783999999997</v>
      </c>
      <c r="E172">
        <v>30.833500000000001</v>
      </c>
      <c r="F172">
        <v>30.686599999999999</v>
      </c>
      <c r="G172">
        <v>0.26100000000000001</v>
      </c>
      <c r="H172">
        <v>0</v>
      </c>
      <c r="I172" t="s">
        <v>0</v>
      </c>
      <c r="J172" t="s">
        <v>59</v>
      </c>
      <c r="K172">
        <v>3.4000000000000002E-2</v>
      </c>
      <c r="L172" t="s">
        <v>60</v>
      </c>
      <c r="M172">
        <v>1</v>
      </c>
      <c r="N172" t="s">
        <v>53</v>
      </c>
      <c r="O172" s="2">
        <v>0.39930555555555558</v>
      </c>
      <c r="P172">
        <f>0.0002430126*3600</f>
        <v>0.87484536000000002</v>
      </c>
      <c r="Q172">
        <f>-0.0013938408*3600</f>
        <v>-5.0178268800000003</v>
      </c>
    </row>
    <row r="173" spans="1:17" x14ac:dyDescent="0.3">
      <c r="A173" s="4" t="s">
        <v>47</v>
      </c>
      <c r="B173" t="s">
        <v>61</v>
      </c>
      <c r="C173">
        <v>288.83918699999998</v>
      </c>
      <c r="D173">
        <v>306.10056800000001</v>
      </c>
      <c r="E173">
        <v>30.833500000000001</v>
      </c>
      <c r="F173">
        <v>30.686499999999999</v>
      </c>
      <c r="G173">
        <v>0.26100000000000001</v>
      </c>
      <c r="H173">
        <v>0</v>
      </c>
      <c r="I173" t="s">
        <v>0</v>
      </c>
      <c r="J173" t="s">
        <v>59</v>
      </c>
      <c r="K173">
        <v>3.4000000000000002E-2</v>
      </c>
      <c r="L173" t="s">
        <v>60</v>
      </c>
      <c r="M173">
        <v>1</v>
      </c>
      <c r="N173" t="s">
        <v>53</v>
      </c>
      <c r="O173" s="2">
        <v>0.40069444444444446</v>
      </c>
      <c r="P173">
        <f>-0.0006423653*3600</f>
        <v>-2.3125150799999998</v>
      </c>
      <c r="Q173">
        <f>0.0006519225*3600</f>
        <v>2.346921</v>
      </c>
    </row>
    <row r="174" spans="1:17" x14ac:dyDescent="0.3">
      <c r="A174" s="4" t="s">
        <v>47</v>
      </c>
      <c r="B174" t="s">
        <v>61</v>
      </c>
      <c r="C174">
        <v>88.838678000000002</v>
      </c>
      <c r="D174">
        <v>93.901083</v>
      </c>
      <c r="E174">
        <v>30.833300000000001</v>
      </c>
      <c r="F174">
        <v>30.686399999999999</v>
      </c>
      <c r="G174">
        <v>0.26100000000000001</v>
      </c>
      <c r="H174">
        <v>0</v>
      </c>
      <c r="I174" t="s">
        <v>0</v>
      </c>
      <c r="J174" t="s">
        <v>59</v>
      </c>
      <c r="K174">
        <v>3.4000000000000002E-2</v>
      </c>
      <c r="L174" t="s">
        <v>60</v>
      </c>
      <c r="M174">
        <v>1</v>
      </c>
      <c r="N174" t="s">
        <v>53</v>
      </c>
      <c r="O174" s="2">
        <v>0.40277777777777773</v>
      </c>
      <c r="P174">
        <f>0.0002142659*3600</f>
        <v>0.77135724000000006</v>
      </c>
      <c r="Q174">
        <f>-0.0007155858*3600</f>
        <v>-2.57610888</v>
      </c>
    </row>
    <row r="175" spans="1:17" x14ac:dyDescent="0.3">
      <c r="A175" s="4" t="s">
        <v>47</v>
      </c>
      <c r="B175" t="s">
        <v>61</v>
      </c>
      <c r="C175">
        <v>288.83860499999997</v>
      </c>
      <c r="D175">
        <v>306.10129000000001</v>
      </c>
      <c r="E175">
        <v>30.833500000000001</v>
      </c>
      <c r="F175">
        <v>30.686499999999999</v>
      </c>
      <c r="G175">
        <v>0.26100000000000001</v>
      </c>
      <c r="H175">
        <v>0</v>
      </c>
      <c r="I175" t="s">
        <v>0</v>
      </c>
      <c r="J175" t="s">
        <v>59</v>
      </c>
      <c r="K175">
        <v>3.4000000000000002E-2</v>
      </c>
      <c r="L175" t="s">
        <v>60</v>
      </c>
      <c r="M175">
        <v>1</v>
      </c>
      <c r="N175" t="s">
        <v>53</v>
      </c>
      <c r="O175" s="2">
        <v>0.40416666666666662</v>
      </c>
      <c r="P175">
        <f>-0.0010584022*3600</f>
        <v>-3.8102479200000001</v>
      </c>
      <c r="Q175">
        <f>0.000674249*3600</f>
        <v>2.4272963999999999</v>
      </c>
    </row>
    <row r="176" spans="1:17" x14ac:dyDescent="0.3">
      <c r="A176" s="4" t="s">
        <v>47</v>
      </c>
      <c r="B176" t="s">
        <v>61</v>
      </c>
      <c r="C176">
        <v>88.838178999999997</v>
      </c>
      <c r="D176">
        <v>93.899816999999999</v>
      </c>
      <c r="E176">
        <v>30.833300000000001</v>
      </c>
      <c r="F176">
        <v>30.686399999999999</v>
      </c>
      <c r="G176">
        <v>0.26100000000000001</v>
      </c>
      <c r="H176">
        <v>0</v>
      </c>
      <c r="I176" t="s">
        <v>0</v>
      </c>
      <c r="J176" t="s">
        <v>59</v>
      </c>
      <c r="K176">
        <v>3.4000000000000002E-2</v>
      </c>
      <c r="L176" t="s">
        <v>60</v>
      </c>
      <c r="M176">
        <v>1</v>
      </c>
      <c r="N176" t="s">
        <v>53</v>
      </c>
      <c r="O176" s="2">
        <v>0.4069444444444445</v>
      </c>
      <c r="P176">
        <f>0.0001746495*3600</f>
        <v>0.62873820000000002</v>
      </c>
      <c r="Q176">
        <f>-0.0007667758*3600</f>
        <v>-2.7603928799999999</v>
      </c>
    </row>
    <row r="177" spans="1:17" x14ac:dyDescent="0.3">
      <c r="A177" s="4" t="s">
        <v>47</v>
      </c>
      <c r="B177" t="s">
        <v>61</v>
      </c>
      <c r="C177">
        <v>288.83842299999998</v>
      </c>
      <c r="D177">
        <v>306.10036600000001</v>
      </c>
      <c r="E177">
        <v>30.833500000000001</v>
      </c>
      <c r="F177">
        <v>30.686499999999999</v>
      </c>
      <c r="G177">
        <v>0.26100000000000001</v>
      </c>
      <c r="H177">
        <v>0</v>
      </c>
      <c r="I177" t="s">
        <v>0</v>
      </c>
      <c r="J177" t="s">
        <v>59</v>
      </c>
      <c r="K177">
        <v>3.4000000000000002E-2</v>
      </c>
      <c r="L177" t="s">
        <v>60</v>
      </c>
      <c r="M177">
        <v>1</v>
      </c>
      <c r="N177" t="s">
        <v>53</v>
      </c>
      <c r="O177" s="2">
        <v>0.40833333333333338</v>
      </c>
      <c r="P177">
        <f>-0.001058659*3600</f>
        <v>-3.8111723999999998</v>
      </c>
      <c r="Q177">
        <f>0.0007315663*3600</f>
        <v>2.6336386799999998</v>
      </c>
    </row>
    <row r="178" spans="1:17" x14ac:dyDescent="0.3">
      <c r="A178" s="4" t="s">
        <v>47</v>
      </c>
      <c r="B178" t="s">
        <v>61</v>
      </c>
      <c r="C178">
        <v>88.837536999999998</v>
      </c>
      <c r="D178">
        <v>93.901353</v>
      </c>
      <c r="E178">
        <v>30.833300000000001</v>
      </c>
      <c r="F178">
        <v>30.686399999999999</v>
      </c>
      <c r="G178">
        <v>0.26100000000000001</v>
      </c>
      <c r="H178">
        <v>0</v>
      </c>
      <c r="I178" t="s">
        <v>0</v>
      </c>
      <c r="J178" t="s">
        <v>59</v>
      </c>
      <c r="K178">
        <v>3.4000000000000002E-2</v>
      </c>
      <c r="L178" t="s">
        <v>60</v>
      </c>
      <c r="M178">
        <v>1</v>
      </c>
      <c r="N178" t="s">
        <v>53</v>
      </c>
      <c r="O178" s="2">
        <v>0.40972222222222227</v>
      </c>
      <c r="P178">
        <f>0.0002656529*3600</f>
        <v>0.95635044000000002</v>
      </c>
      <c r="Q178">
        <f>-0.0011952803*3600</f>
        <v>-4.3030090799999998</v>
      </c>
    </row>
    <row r="179" spans="1:17" x14ac:dyDescent="0.3">
      <c r="A179" s="4" t="s">
        <v>47</v>
      </c>
      <c r="B179" t="s">
        <v>61</v>
      </c>
      <c r="C179">
        <v>288.83854000000002</v>
      </c>
      <c r="D179">
        <v>306.10088200000001</v>
      </c>
      <c r="E179">
        <v>30.833500000000001</v>
      </c>
      <c r="F179">
        <v>30.686499999999999</v>
      </c>
      <c r="G179">
        <v>0.26100000000000001</v>
      </c>
      <c r="H179">
        <v>0</v>
      </c>
      <c r="I179" t="s">
        <v>0</v>
      </c>
      <c r="J179" t="s">
        <v>59</v>
      </c>
      <c r="K179">
        <v>3.4000000000000002E-2</v>
      </c>
      <c r="L179" t="s">
        <v>60</v>
      </c>
      <c r="M179">
        <v>1</v>
      </c>
      <c r="N179" t="s">
        <v>53</v>
      </c>
      <c r="O179" s="2">
        <v>0.41111111111111115</v>
      </c>
      <c r="P179">
        <f>-0.0011947909*3600</f>
        <v>-4.3012472399999995</v>
      </c>
      <c r="Q179">
        <f>0.0006637265*3600</f>
        <v>2.3894153999999999</v>
      </c>
    </row>
    <row r="180" spans="1:17" x14ac:dyDescent="0.3">
      <c r="A180" s="4" t="s">
        <v>47</v>
      </c>
      <c r="B180" t="s">
        <v>61</v>
      </c>
      <c r="C180">
        <v>88.838352999999998</v>
      </c>
      <c r="D180">
        <v>93.900317999999999</v>
      </c>
      <c r="E180">
        <v>30.833500000000001</v>
      </c>
      <c r="F180">
        <v>30.686599999999999</v>
      </c>
      <c r="G180">
        <v>0.26100000000000001</v>
      </c>
      <c r="H180">
        <v>0</v>
      </c>
      <c r="I180" t="s">
        <v>0</v>
      </c>
      <c r="J180" t="s">
        <v>59</v>
      </c>
      <c r="K180">
        <v>3.4000000000000002E-2</v>
      </c>
      <c r="L180" t="s">
        <v>60</v>
      </c>
      <c r="M180">
        <v>1</v>
      </c>
      <c r="N180" t="s">
        <v>53</v>
      </c>
      <c r="O180" s="2">
        <v>0.41250000000000003</v>
      </c>
      <c r="P180">
        <f>0.0001309242*3600</f>
        <v>0.47132711999999999</v>
      </c>
      <c r="Q180">
        <f>-0.0008101576*3600</f>
        <v>-2.9165673600000002</v>
      </c>
    </row>
    <row r="181" spans="1:17" x14ac:dyDescent="0.3">
      <c r="A181" s="4" t="s">
        <v>47</v>
      </c>
      <c r="B181" t="s">
        <v>61</v>
      </c>
      <c r="C181">
        <v>288.83725700000002</v>
      </c>
      <c r="D181">
        <v>306.101899</v>
      </c>
      <c r="E181">
        <v>30.8337</v>
      </c>
      <c r="F181">
        <v>30.686699999999998</v>
      </c>
      <c r="G181">
        <v>0.26100000000000001</v>
      </c>
      <c r="H181">
        <v>0</v>
      </c>
      <c r="I181" t="s">
        <v>0</v>
      </c>
      <c r="J181" t="s">
        <v>59</v>
      </c>
      <c r="K181">
        <v>3.4000000000000002E-2</v>
      </c>
      <c r="L181" t="s">
        <v>60</v>
      </c>
      <c r="M181">
        <v>1</v>
      </c>
      <c r="N181" t="s">
        <v>53</v>
      </c>
      <c r="O181" s="2">
        <v>0.41388888888888892</v>
      </c>
      <c r="P181">
        <f>-0.0010335652*3600</f>
        <v>-3.72083472</v>
      </c>
      <c r="Q181">
        <f>0.0007892752*3600</f>
        <v>2.8413907200000001</v>
      </c>
    </row>
    <row r="182" spans="1:17" x14ac:dyDescent="0.3">
      <c r="A182" s="4" t="s">
        <v>47</v>
      </c>
      <c r="B182" t="s">
        <v>61</v>
      </c>
      <c r="C182">
        <v>88.837740999999994</v>
      </c>
      <c r="D182">
        <v>93.898934999999994</v>
      </c>
      <c r="E182">
        <v>30.833100000000002</v>
      </c>
      <c r="F182">
        <v>30.6861</v>
      </c>
      <c r="G182">
        <v>0.26100000000000001</v>
      </c>
      <c r="H182">
        <v>0</v>
      </c>
      <c r="I182" t="s">
        <v>0</v>
      </c>
      <c r="J182" t="s">
        <v>59</v>
      </c>
      <c r="K182">
        <v>3.4000000000000002E-2</v>
      </c>
      <c r="L182" t="s">
        <v>60</v>
      </c>
      <c r="M182">
        <v>1</v>
      </c>
      <c r="N182" t="s">
        <v>53</v>
      </c>
      <c r="O182" s="2">
        <v>0.41666666666666669</v>
      </c>
      <c r="P182">
        <f>0.0003224695*3600</f>
        <v>1.1608901999999999</v>
      </c>
      <c r="Q182">
        <f>-0.0008473411*3600</f>
        <v>-3.0504279599999999</v>
      </c>
    </row>
    <row r="183" spans="1:17" x14ac:dyDescent="0.3">
      <c r="A183" s="4" t="s">
        <v>47</v>
      </c>
      <c r="B183" t="s">
        <v>61</v>
      </c>
      <c r="C183">
        <v>288.83824900000002</v>
      </c>
      <c r="D183">
        <v>306.10095899999999</v>
      </c>
      <c r="E183">
        <v>30.833500000000001</v>
      </c>
      <c r="F183">
        <v>30.686499999999999</v>
      </c>
      <c r="G183">
        <v>0.26100000000000001</v>
      </c>
      <c r="H183">
        <v>0</v>
      </c>
      <c r="I183" t="s">
        <v>0</v>
      </c>
      <c r="J183" t="s">
        <v>59</v>
      </c>
      <c r="K183">
        <v>3.4000000000000002E-2</v>
      </c>
      <c r="L183" t="s">
        <v>60</v>
      </c>
      <c r="M183">
        <v>1</v>
      </c>
      <c r="N183" t="s">
        <v>53</v>
      </c>
      <c r="O183" s="2">
        <v>0.41805555555555557</v>
      </c>
      <c r="P183">
        <f>-0.0006209416*3600</f>
        <v>-2.2353897599999999</v>
      </c>
      <c r="Q183">
        <f>0.0007477431*3600</f>
        <v>2.6918751599999999</v>
      </c>
    </row>
    <row r="184" spans="1:17" x14ac:dyDescent="0.3">
      <c r="A184" s="4" t="s">
        <v>47</v>
      </c>
      <c r="B184" t="s">
        <v>61</v>
      </c>
      <c r="C184">
        <v>88.838435000000004</v>
      </c>
      <c r="D184">
        <v>93.899981999999994</v>
      </c>
      <c r="E184">
        <v>30.833100000000002</v>
      </c>
      <c r="F184">
        <v>30.686199999999999</v>
      </c>
      <c r="G184">
        <v>0.26100000000000001</v>
      </c>
      <c r="H184">
        <v>0</v>
      </c>
      <c r="I184" t="s">
        <v>0</v>
      </c>
      <c r="J184" t="s">
        <v>59</v>
      </c>
      <c r="K184">
        <v>3.4000000000000002E-2</v>
      </c>
      <c r="L184" t="s">
        <v>60</v>
      </c>
      <c r="M184">
        <v>1</v>
      </c>
      <c r="N184" t="s">
        <v>53</v>
      </c>
      <c r="O184" s="2">
        <v>0.42083333333333334</v>
      </c>
      <c r="P184">
        <f>0.0003727107*3600</f>
        <v>1.3417585200000002</v>
      </c>
      <c r="Q184">
        <f>-0.0013667687*3600</f>
        <v>-4.9203673200000004</v>
      </c>
    </row>
    <row r="185" spans="1:17" x14ac:dyDescent="0.3">
      <c r="A185" s="4" t="s">
        <v>47</v>
      </c>
      <c r="B185" t="s">
        <v>61</v>
      </c>
      <c r="C185">
        <v>288.837963</v>
      </c>
      <c r="D185">
        <v>306.100595</v>
      </c>
      <c r="E185">
        <v>30.833600000000001</v>
      </c>
      <c r="F185">
        <v>30.686599999999999</v>
      </c>
      <c r="G185">
        <v>0.26100000000000001</v>
      </c>
      <c r="H185">
        <v>0</v>
      </c>
      <c r="I185" t="s">
        <v>0</v>
      </c>
      <c r="J185" t="s">
        <v>59</v>
      </c>
      <c r="K185">
        <v>3.4000000000000002E-2</v>
      </c>
      <c r="L185" t="s">
        <v>60</v>
      </c>
      <c r="M185">
        <v>1</v>
      </c>
      <c r="N185" t="s">
        <v>53</v>
      </c>
      <c r="O185" s="2">
        <v>0.42222222222222222</v>
      </c>
      <c r="P185">
        <f>-0.0012786268*3600</f>
        <v>-4.6030564800000002</v>
      </c>
      <c r="Q185">
        <f>0.0008556013*3600</f>
        <v>3.0801646799999998</v>
      </c>
    </row>
    <row r="186" spans="1:17" x14ac:dyDescent="0.3">
      <c r="A186" s="4" t="s">
        <v>47</v>
      </c>
      <c r="B186" t="s">
        <v>61</v>
      </c>
      <c r="C186">
        <v>88.838087000000002</v>
      </c>
      <c r="D186">
        <v>93.899753000000004</v>
      </c>
      <c r="E186">
        <v>30.833200000000001</v>
      </c>
      <c r="F186">
        <v>30.686299999999999</v>
      </c>
      <c r="G186">
        <v>0.26100000000000001</v>
      </c>
      <c r="H186">
        <v>0</v>
      </c>
      <c r="I186" t="s">
        <v>0</v>
      </c>
      <c r="J186" t="s">
        <v>59</v>
      </c>
      <c r="K186">
        <v>3.4000000000000002E-2</v>
      </c>
      <c r="L186" t="s">
        <v>60</v>
      </c>
      <c r="M186">
        <v>1</v>
      </c>
      <c r="N186" t="s">
        <v>53</v>
      </c>
      <c r="O186" s="2">
        <v>0.42638888888888887</v>
      </c>
      <c r="P186">
        <f>0.000412849*3600</f>
        <v>1.4862564</v>
      </c>
      <c r="Q186">
        <f>-0.000789652*3600</f>
        <v>-2.8427471999999998</v>
      </c>
    </row>
    <row r="187" spans="1:17" x14ac:dyDescent="0.3">
      <c r="A187" s="4" t="s">
        <v>47</v>
      </c>
      <c r="B187" t="s">
        <v>61</v>
      </c>
      <c r="C187">
        <v>288.83789400000001</v>
      </c>
      <c r="D187">
        <v>306.09952399999997</v>
      </c>
      <c r="E187">
        <v>30.833400000000001</v>
      </c>
      <c r="F187">
        <v>30.686499999999999</v>
      </c>
      <c r="G187">
        <v>0.26100000000000001</v>
      </c>
      <c r="H187">
        <v>0</v>
      </c>
      <c r="I187" t="s">
        <v>0</v>
      </c>
      <c r="J187" t="s">
        <v>59</v>
      </c>
      <c r="K187">
        <v>3.4000000000000002E-2</v>
      </c>
      <c r="L187" t="s">
        <v>60</v>
      </c>
      <c r="M187">
        <v>1</v>
      </c>
      <c r="N187" t="s">
        <v>53</v>
      </c>
      <c r="O187" s="2">
        <v>0.42777777777777781</v>
      </c>
      <c r="P187">
        <f>-0.0006336389*3600</f>
        <v>-2.2811000400000001</v>
      </c>
      <c r="Q187">
        <f>0.0007945919*3600</f>
        <v>2.86053084</v>
      </c>
    </row>
    <row r="188" spans="1:17" x14ac:dyDescent="0.3">
      <c r="A188" s="4" t="s">
        <v>47</v>
      </c>
      <c r="B188" t="s">
        <v>61</v>
      </c>
      <c r="C188">
        <v>88.838111999999995</v>
      </c>
      <c r="D188">
        <v>93.900149999999996</v>
      </c>
      <c r="E188">
        <v>30.833400000000001</v>
      </c>
      <c r="F188">
        <v>30.686499999999999</v>
      </c>
      <c r="G188">
        <v>0.26100000000000001</v>
      </c>
      <c r="H188">
        <v>0</v>
      </c>
      <c r="I188" t="s">
        <v>0</v>
      </c>
      <c r="J188" t="s">
        <v>59</v>
      </c>
      <c r="K188">
        <v>3.4000000000000002E-2</v>
      </c>
      <c r="L188" t="s">
        <v>60</v>
      </c>
      <c r="M188">
        <v>1</v>
      </c>
      <c r="N188" t="s">
        <v>53</v>
      </c>
      <c r="O188" s="2">
        <v>0.4291666666666667</v>
      </c>
      <c r="P188">
        <f>0.0002728914*3600</f>
        <v>0.98240904000000007</v>
      </c>
      <c r="Q188">
        <f>-0.0014299243*3600</f>
        <v>-5.1477274800000004</v>
      </c>
    </row>
    <row r="189" spans="1:17" x14ac:dyDescent="0.3">
      <c r="A189" s="4" t="s">
        <v>47</v>
      </c>
      <c r="B189" t="s">
        <v>61</v>
      </c>
      <c r="C189">
        <v>288.838437</v>
      </c>
      <c r="D189">
        <v>306.09948000000003</v>
      </c>
      <c r="E189">
        <v>30.833600000000001</v>
      </c>
      <c r="F189">
        <v>30.686699999999998</v>
      </c>
      <c r="G189">
        <v>0.26100000000000001</v>
      </c>
      <c r="H189">
        <v>0</v>
      </c>
      <c r="I189" t="s">
        <v>0</v>
      </c>
      <c r="J189" t="s">
        <v>59</v>
      </c>
      <c r="K189">
        <v>3.4000000000000002E-2</v>
      </c>
      <c r="L189" t="s">
        <v>60</v>
      </c>
      <c r="M189">
        <v>1</v>
      </c>
      <c r="N189" t="s">
        <v>53</v>
      </c>
      <c r="O189" s="2">
        <v>0.43055555555555558</v>
      </c>
      <c r="P189">
        <f>-0.0007673668*3600</f>
        <v>-2.7625204800000001</v>
      </c>
      <c r="Q189">
        <f>0.0005616215*3600</f>
        <v>2.0218373999999999</v>
      </c>
    </row>
    <row r="190" spans="1:17" x14ac:dyDescent="0.3">
      <c r="A190" s="4" t="s">
        <v>47</v>
      </c>
      <c r="B190" t="s">
        <v>61</v>
      </c>
      <c r="C190">
        <v>88.837298000000004</v>
      </c>
      <c r="D190">
        <v>93.900334000000001</v>
      </c>
      <c r="E190">
        <v>30.833600000000001</v>
      </c>
      <c r="F190">
        <v>30.686699999999998</v>
      </c>
      <c r="G190">
        <v>0.26100000000000001</v>
      </c>
      <c r="H190">
        <v>0</v>
      </c>
      <c r="I190" t="s">
        <v>0</v>
      </c>
      <c r="J190" t="s">
        <v>59</v>
      </c>
      <c r="K190">
        <v>3.4000000000000002E-2</v>
      </c>
      <c r="L190" t="s">
        <v>60</v>
      </c>
      <c r="M190">
        <v>1</v>
      </c>
      <c r="N190" t="s">
        <v>53</v>
      </c>
      <c r="O190" s="2">
        <v>0.43194444444444446</v>
      </c>
      <c r="P190">
        <f>0.0002054175*3600</f>
        <v>0.73950300000000002</v>
      </c>
      <c r="Q190">
        <f>-0.0014009022*3600</f>
        <v>-5.0432479199999998</v>
      </c>
    </row>
    <row r="191" spans="1:17" x14ac:dyDescent="0.3">
      <c r="A191" s="4" t="s">
        <v>47</v>
      </c>
      <c r="B191" t="s">
        <v>61</v>
      </c>
      <c r="C191">
        <v>288.83803899999998</v>
      </c>
      <c r="D191">
        <v>306.10087900000002</v>
      </c>
      <c r="E191">
        <v>30.8338</v>
      </c>
      <c r="F191">
        <v>30.686800000000002</v>
      </c>
      <c r="G191">
        <v>0.26100000000000001</v>
      </c>
      <c r="H191">
        <v>0</v>
      </c>
      <c r="I191" t="s">
        <v>0</v>
      </c>
      <c r="J191" t="s">
        <v>59</v>
      </c>
      <c r="K191">
        <v>3.4000000000000002E-2</v>
      </c>
      <c r="L191" t="s">
        <v>60</v>
      </c>
      <c r="M191">
        <v>1</v>
      </c>
      <c r="N191" t="s">
        <v>53</v>
      </c>
      <c r="O191" s="2">
        <v>0.43263888888888885</v>
      </c>
      <c r="P191">
        <f>-0.0013463653*3600</f>
        <v>-4.8469150800000005</v>
      </c>
      <c r="Q191">
        <f>0.0009798246*3600</f>
        <v>3.5273685600000002</v>
      </c>
    </row>
    <row r="192" spans="1:17" x14ac:dyDescent="0.3">
      <c r="A192" s="4" t="s">
        <v>47</v>
      </c>
      <c r="B192" t="s">
        <v>61</v>
      </c>
      <c r="C192">
        <v>88.837283999999997</v>
      </c>
      <c r="D192">
        <v>93.901020000000003</v>
      </c>
      <c r="E192">
        <v>30.8337</v>
      </c>
      <c r="F192">
        <v>30.686800000000002</v>
      </c>
      <c r="G192">
        <v>0.26100000000000001</v>
      </c>
      <c r="H192">
        <v>0</v>
      </c>
      <c r="I192" t="s">
        <v>0</v>
      </c>
      <c r="J192" t="s">
        <v>59</v>
      </c>
      <c r="K192">
        <v>3.4000000000000002E-2</v>
      </c>
      <c r="L192" t="s">
        <v>60</v>
      </c>
      <c r="M192">
        <v>1</v>
      </c>
      <c r="N192" t="s">
        <v>53</v>
      </c>
      <c r="O192" s="2">
        <v>0.43402777777777773</v>
      </c>
      <c r="P192">
        <f>0.0002168584*3600</f>
        <v>0.78069023999999998</v>
      </c>
      <c r="Q192">
        <f>-0.001418695*3600</f>
        <v>-5.1073019999999998</v>
      </c>
    </row>
    <row r="193" spans="1:17" x14ac:dyDescent="0.3">
      <c r="A193" s="4" t="s">
        <v>47</v>
      </c>
      <c r="B193" t="s">
        <v>61</v>
      </c>
      <c r="C193">
        <v>288.83825200000001</v>
      </c>
      <c r="D193">
        <v>306.100503</v>
      </c>
      <c r="E193">
        <v>30.8338</v>
      </c>
      <c r="F193">
        <v>30.686800000000002</v>
      </c>
      <c r="G193">
        <v>0.26100000000000001</v>
      </c>
      <c r="H193">
        <v>0</v>
      </c>
      <c r="I193" t="s">
        <v>0</v>
      </c>
      <c r="J193" t="s">
        <v>59</v>
      </c>
      <c r="K193">
        <v>3.4000000000000002E-2</v>
      </c>
      <c r="L193" t="s">
        <v>60</v>
      </c>
      <c r="M193">
        <v>1</v>
      </c>
      <c r="N193" t="s">
        <v>53</v>
      </c>
      <c r="O193" s="2">
        <v>0.43541666666666662</v>
      </c>
      <c r="P193">
        <f>-0.0007814047*3600</f>
        <v>-2.8130569200000002</v>
      </c>
      <c r="Q193">
        <f>0.0008352426*3600</f>
        <v>3.0068733600000002</v>
      </c>
    </row>
    <row r="194" spans="1:17" x14ac:dyDescent="0.3">
      <c r="A194" s="4" t="s">
        <v>47</v>
      </c>
      <c r="B194" t="s">
        <v>61</v>
      </c>
      <c r="C194">
        <v>88.838412000000005</v>
      </c>
      <c r="D194">
        <v>93.901672000000005</v>
      </c>
      <c r="E194">
        <v>30.833500000000001</v>
      </c>
      <c r="F194">
        <v>30.686599999999999</v>
      </c>
      <c r="G194">
        <v>0.26100000000000001</v>
      </c>
      <c r="H194">
        <v>0</v>
      </c>
      <c r="I194" t="s">
        <v>0</v>
      </c>
      <c r="J194" t="s">
        <v>59</v>
      </c>
      <c r="K194">
        <v>3.4000000000000002E-2</v>
      </c>
      <c r="L194" t="s">
        <v>60</v>
      </c>
      <c r="M194">
        <v>1</v>
      </c>
      <c r="N194" t="s">
        <v>53</v>
      </c>
      <c r="O194" s="2">
        <v>0.43611111111111112</v>
      </c>
      <c r="P194">
        <f>0.0002838935*3600</f>
        <v>1.0220166000000002</v>
      </c>
      <c r="Q194">
        <f>-0.0014158569*3600</f>
        <v>-5.09708484</v>
      </c>
    </row>
    <row r="195" spans="1:17" x14ac:dyDescent="0.3">
      <c r="A195" s="4" t="s">
        <v>47</v>
      </c>
      <c r="B195" t="s">
        <v>61</v>
      </c>
      <c r="C195">
        <v>288.83801199999999</v>
      </c>
      <c r="D195">
        <v>306.10036400000001</v>
      </c>
      <c r="E195">
        <v>30.833600000000001</v>
      </c>
      <c r="F195">
        <v>30.686599999999999</v>
      </c>
      <c r="G195">
        <v>0.26100000000000001</v>
      </c>
      <c r="H195">
        <v>0</v>
      </c>
      <c r="I195" t="s">
        <v>0</v>
      </c>
      <c r="J195" t="s">
        <v>59</v>
      </c>
      <c r="K195">
        <v>3.4000000000000002E-2</v>
      </c>
      <c r="L195" t="s">
        <v>60</v>
      </c>
      <c r="M195">
        <v>1</v>
      </c>
      <c r="N195" t="s">
        <v>53</v>
      </c>
      <c r="O195" s="2">
        <v>0.4375</v>
      </c>
      <c r="P195">
        <f>-0.000847062*3600</f>
        <v>-3.0494232000000001</v>
      </c>
      <c r="Q195">
        <f>0.0009325826*3600</f>
        <v>3.35729736</v>
      </c>
    </row>
    <row r="196" spans="1:17" x14ac:dyDescent="0.3">
      <c r="A196" s="4" t="s">
        <v>47</v>
      </c>
      <c r="B196" t="s">
        <v>61</v>
      </c>
      <c r="C196">
        <v>88.838528999999994</v>
      </c>
      <c r="D196">
        <v>93.900492999999997</v>
      </c>
      <c r="E196">
        <v>30.833300000000001</v>
      </c>
      <c r="F196">
        <v>30.686399999999999</v>
      </c>
      <c r="G196">
        <v>0.26100000000000001</v>
      </c>
      <c r="H196">
        <v>0</v>
      </c>
      <c r="I196" t="s">
        <v>0</v>
      </c>
      <c r="J196" t="s">
        <v>59</v>
      </c>
      <c r="K196">
        <v>3.4000000000000002E-2</v>
      </c>
      <c r="L196" t="s">
        <v>60</v>
      </c>
      <c r="M196">
        <v>1</v>
      </c>
      <c r="N196" t="s">
        <v>53</v>
      </c>
      <c r="O196" s="2">
        <v>0.44097222222222227</v>
      </c>
      <c r="P196">
        <f>0.0004180566*3600</f>
        <v>1.5050037600000001</v>
      </c>
      <c r="Q196">
        <f>-0.0014046619*3600</f>
        <v>-5.0567828400000003</v>
      </c>
    </row>
    <row r="197" spans="1:17" x14ac:dyDescent="0.3">
      <c r="A197" s="4" t="s">
        <v>47</v>
      </c>
      <c r="B197" t="s">
        <v>61</v>
      </c>
      <c r="C197">
        <v>288.83754099999999</v>
      </c>
      <c r="D197">
        <v>306.10095899999999</v>
      </c>
      <c r="E197">
        <v>30.833500000000001</v>
      </c>
      <c r="F197">
        <v>30.686499999999999</v>
      </c>
      <c r="G197">
        <v>0.26100000000000001</v>
      </c>
      <c r="H197">
        <v>0</v>
      </c>
      <c r="I197" t="s">
        <v>0</v>
      </c>
      <c r="J197" t="s">
        <v>59</v>
      </c>
      <c r="K197">
        <v>3.4000000000000002E-2</v>
      </c>
      <c r="L197" t="s">
        <v>60</v>
      </c>
      <c r="M197">
        <v>1</v>
      </c>
      <c r="N197" t="s">
        <v>53</v>
      </c>
      <c r="O197" s="2">
        <v>0.44236111111111115</v>
      </c>
      <c r="P197">
        <f>-0.000907072*3600</f>
        <v>-3.2654592</v>
      </c>
      <c r="Q197">
        <f>0.0009340091*3600</f>
        <v>3.3624327599999999</v>
      </c>
    </row>
    <row r="198" spans="1:17" x14ac:dyDescent="0.3">
      <c r="A198" s="4" t="s">
        <v>47</v>
      </c>
      <c r="B198" t="s">
        <v>61</v>
      </c>
      <c r="C198">
        <v>88.838384000000005</v>
      </c>
      <c r="D198">
        <v>93.900296999999995</v>
      </c>
      <c r="E198">
        <v>30.833200000000001</v>
      </c>
      <c r="F198">
        <v>30.686299999999999</v>
      </c>
      <c r="G198">
        <v>0.26100000000000001</v>
      </c>
      <c r="H198">
        <v>0</v>
      </c>
      <c r="I198" t="s">
        <v>0</v>
      </c>
      <c r="J198" t="s">
        <v>59</v>
      </c>
      <c r="K198">
        <v>3.4000000000000002E-2</v>
      </c>
      <c r="L198" t="s">
        <v>60</v>
      </c>
      <c r="M198">
        <v>1</v>
      </c>
      <c r="N198" t="s">
        <v>53</v>
      </c>
      <c r="O198" s="2">
        <v>0.44375000000000003</v>
      </c>
      <c r="P198">
        <f>0.0002307726*3600</f>
        <v>0.83078136000000002</v>
      </c>
      <c r="Q198">
        <f>-0.0016159734*3600</f>
        <v>-5.8175042399999999</v>
      </c>
    </row>
    <row r="199" spans="1:17" x14ac:dyDescent="0.3">
      <c r="A199" s="4" t="s">
        <v>47</v>
      </c>
      <c r="B199" t="s">
        <v>61</v>
      </c>
      <c r="C199">
        <v>288.83821499999999</v>
      </c>
      <c r="D199">
        <v>306.101066</v>
      </c>
      <c r="E199">
        <v>30.833600000000001</v>
      </c>
      <c r="F199">
        <v>30.686599999999999</v>
      </c>
      <c r="G199">
        <v>0.26100000000000001</v>
      </c>
      <c r="H199">
        <v>0</v>
      </c>
      <c r="I199" t="s">
        <v>0</v>
      </c>
      <c r="J199" t="s">
        <v>59</v>
      </c>
      <c r="K199">
        <v>3.4000000000000002E-2</v>
      </c>
      <c r="L199" t="s">
        <v>60</v>
      </c>
      <c r="M199">
        <v>1</v>
      </c>
      <c r="N199" t="s">
        <v>53</v>
      </c>
      <c r="O199" s="2">
        <v>0.44444444444444442</v>
      </c>
      <c r="P199">
        <f>-0.0008263334*3600</f>
        <v>-2.97480024</v>
      </c>
      <c r="Q199">
        <f>0.0008399932*3600</f>
        <v>3.02397552</v>
      </c>
    </row>
    <row r="200" spans="1:17" x14ac:dyDescent="0.3">
      <c r="A200" s="4" t="s">
        <v>47</v>
      </c>
      <c r="B200" t="s">
        <v>58</v>
      </c>
      <c r="C200">
        <v>290.18609300000003</v>
      </c>
      <c r="D200">
        <v>96.320393999999993</v>
      </c>
      <c r="E200">
        <v>16.9572</v>
      </c>
      <c r="F200">
        <v>16.925899999999999</v>
      </c>
      <c r="G200">
        <v>0.26100000000000001</v>
      </c>
      <c r="H200">
        <v>0</v>
      </c>
      <c r="I200" t="s">
        <v>0</v>
      </c>
      <c r="J200" t="s">
        <v>59</v>
      </c>
      <c r="K200">
        <v>3.4000000000000002E-2</v>
      </c>
      <c r="L200" t="s">
        <v>60</v>
      </c>
      <c r="M200">
        <v>1</v>
      </c>
      <c r="N200" t="s">
        <v>53</v>
      </c>
      <c r="O200" s="2">
        <v>0.36944444444444446</v>
      </c>
      <c r="P200">
        <f>-0.0008608048*3600</f>
        <v>-3.0988972800000001</v>
      </c>
      <c r="Q200">
        <f>0.0004751116*3600</f>
        <v>1.7104017600000001</v>
      </c>
    </row>
    <row r="201" spans="1:17" x14ac:dyDescent="0.3">
      <c r="A201" s="4" t="s">
        <v>47</v>
      </c>
      <c r="B201" t="s">
        <v>58</v>
      </c>
      <c r="C201">
        <v>90.185393000000005</v>
      </c>
      <c r="D201">
        <v>303.67907200000002</v>
      </c>
      <c r="E201">
        <v>16.957699999999999</v>
      </c>
      <c r="F201">
        <v>16.926400000000001</v>
      </c>
      <c r="G201">
        <v>0.26100000000000001</v>
      </c>
      <c r="H201">
        <v>0</v>
      </c>
      <c r="I201" t="s">
        <v>0</v>
      </c>
      <c r="J201" t="s">
        <v>59</v>
      </c>
      <c r="K201">
        <v>3.4000000000000002E-2</v>
      </c>
      <c r="L201" t="s">
        <v>60</v>
      </c>
      <c r="M201">
        <v>1</v>
      </c>
      <c r="N201" t="s">
        <v>53</v>
      </c>
      <c r="O201" s="2">
        <v>0.37083333333333335</v>
      </c>
      <c r="P201">
        <f>-0.0000194213*3600</f>
        <v>-6.9916679999999995E-2</v>
      </c>
      <c r="Q201">
        <f>-0.0003033196*3600</f>
        <v>-1.0919505600000001</v>
      </c>
    </row>
    <row r="202" spans="1:17" x14ac:dyDescent="0.3">
      <c r="A202" s="4" t="s">
        <v>47</v>
      </c>
      <c r="B202" t="s">
        <v>58</v>
      </c>
      <c r="C202">
        <v>290.18606499999999</v>
      </c>
      <c r="D202">
        <v>96.320627000000002</v>
      </c>
      <c r="E202">
        <v>16.957599999999999</v>
      </c>
      <c r="F202">
        <v>16.926300000000001</v>
      </c>
      <c r="G202">
        <v>0.26100000000000001</v>
      </c>
      <c r="H202">
        <v>0</v>
      </c>
      <c r="I202" t="s">
        <v>0</v>
      </c>
      <c r="J202" t="s">
        <v>59</v>
      </c>
      <c r="K202">
        <v>3.4000000000000002E-2</v>
      </c>
      <c r="L202" t="s">
        <v>60</v>
      </c>
      <c r="M202">
        <v>1</v>
      </c>
      <c r="N202" t="s">
        <v>53</v>
      </c>
      <c r="O202" s="2">
        <v>0.37847222222222227</v>
      </c>
      <c r="P202">
        <f>-0.0009325046*3600</f>
        <v>-3.3570165599999999</v>
      </c>
      <c r="Q202">
        <f>0.0005110456*3600</f>
        <v>1.8397641600000001</v>
      </c>
    </row>
    <row r="203" spans="1:17" x14ac:dyDescent="0.3">
      <c r="A203" s="4" t="s">
        <v>47</v>
      </c>
      <c r="B203" t="s">
        <v>58</v>
      </c>
      <c r="C203">
        <v>90.185783000000001</v>
      </c>
      <c r="D203">
        <v>303.68085600000001</v>
      </c>
      <c r="E203">
        <v>16.9572</v>
      </c>
      <c r="F203">
        <v>16.925799999999999</v>
      </c>
      <c r="G203">
        <v>0.26100000000000001</v>
      </c>
      <c r="H203">
        <v>0</v>
      </c>
      <c r="I203" t="s">
        <v>0</v>
      </c>
      <c r="J203" t="s">
        <v>59</v>
      </c>
      <c r="K203">
        <v>3.4000000000000002E-2</v>
      </c>
      <c r="L203" t="s">
        <v>60</v>
      </c>
      <c r="M203">
        <v>1</v>
      </c>
      <c r="N203" t="s">
        <v>53</v>
      </c>
      <c r="O203" s="2">
        <v>0.38194444444444442</v>
      </c>
      <c r="P203">
        <f>0.0003050798*3600</f>
        <v>1.0982872799999999</v>
      </c>
      <c r="Q203">
        <f>-0.0011542959*3600</f>
        <v>-4.1554652399999998</v>
      </c>
    </row>
    <row r="204" spans="1:17" x14ac:dyDescent="0.3">
      <c r="A204" s="4" t="s">
        <v>47</v>
      </c>
      <c r="B204" t="s">
        <v>58</v>
      </c>
      <c r="C204">
        <v>290.18595900000003</v>
      </c>
      <c r="D204">
        <v>96.321293999999995</v>
      </c>
      <c r="E204">
        <v>16.9575</v>
      </c>
      <c r="F204">
        <v>16.926200000000001</v>
      </c>
      <c r="G204">
        <v>0.26100000000000001</v>
      </c>
      <c r="H204">
        <v>0</v>
      </c>
      <c r="I204" t="s">
        <v>0</v>
      </c>
      <c r="J204" t="s">
        <v>59</v>
      </c>
      <c r="K204">
        <v>3.4000000000000002E-2</v>
      </c>
      <c r="L204" t="s">
        <v>60</v>
      </c>
      <c r="M204">
        <v>1</v>
      </c>
      <c r="N204" t="s">
        <v>53</v>
      </c>
      <c r="O204" s="2">
        <v>0.3833333333333333</v>
      </c>
      <c r="P204">
        <f>-0.0003981484*3600</f>
        <v>-1.43333424</v>
      </c>
      <c r="Q204">
        <f>0.0005820063*3600</f>
        <v>2.09522268</v>
      </c>
    </row>
    <row r="205" spans="1:17" x14ac:dyDescent="0.3">
      <c r="A205" s="4" t="s">
        <v>47</v>
      </c>
      <c r="B205" t="s">
        <v>58</v>
      </c>
      <c r="C205">
        <v>90.185030999999995</v>
      </c>
      <c r="D205">
        <v>303.67894000000001</v>
      </c>
      <c r="E205">
        <v>16.957699999999999</v>
      </c>
      <c r="F205">
        <v>16.926400000000001</v>
      </c>
      <c r="G205">
        <v>0.26100000000000001</v>
      </c>
      <c r="H205">
        <v>0</v>
      </c>
      <c r="I205" t="s">
        <v>0</v>
      </c>
      <c r="J205" t="s">
        <v>59</v>
      </c>
      <c r="K205">
        <v>3.4000000000000002E-2</v>
      </c>
      <c r="L205" t="s">
        <v>60</v>
      </c>
      <c r="M205">
        <v>1</v>
      </c>
      <c r="N205" t="s">
        <v>53</v>
      </c>
      <c r="O205" s="2">
        <v>0.38541666666666669</v>
      </c>
      <c r="P205">
        <f>0.0000917194*3600</f>
        <v>0.33018983999999996</v>
      </c>
      <c r="Q205">
        <f>-0.0004229479*3600</f>
        <v>-1.5226124400000001</v>
      </c>
    </row>
    <row r="206" spans="1:17" x14ac:dyDescent="0.3">
      <c r="A206" s="4" t="s">
        <v>47</v>
      </c>
      <c r="B206" t="s">
        <v>58</v>
      </c>
      <c r="C206">
        <v>290.18631499999998</v>
      </c>
      <c r="D206">
        <v>96.319806999999997</v>
      </c>
      <c r="E206">
        <v>16.9575</v>
      </c>
      <c r="F206">
        <v>16.926200000000001</v>
      </c>
      <c r="G206">
        <v>0.26100000000000001</v>
      </c>
      <c r="H206">
        <v>0</v>
      </c>
      <c r="I206" t="s">
        <v>0</v>
      </c>
      <c r="J206" t="s">
        <v>59</v>
      </c>
      <c r="K206">
        <v>3.4000000000000002E-2</v>
      </c>
      <c r="L206" t="s">
        <v>60</v>
      </c>
      <c r="M206">
        <v>1</v>
      </c>
      <c r="N206" t="s">
        <v>53</v>
      </c>
      <c r="O206" s="2">
        <v>0.38750000000000001</v>
      </c>
      <c r="P206">
        <f>-0.0004839928*3600</f>
        <v>-1.74237408</v>
      </c>
      <c r="Q206">
        <f>0.0003626698*3600</f>
        <v>1.3056112799999999</v>
      </c>
    </row>
    <row r="207" spans="1:17" x14ac:dyDescent="0.3">
      <c r="A207" s="4" t="s">
        <v>47</v>
      </c>
      <c r="B207" t="s">
        <v>58</v>
      </c>
      <c r="C207">
        <v>90.185822000000002</v>
      </c>
      <c r="D207">
        <v>303.67975300000001</v>
      </c>
      <c r="E207">
        <v>16.957699999999999</v>
      </c>
      <c r="F207">
        <v>16.926400000000001</v>
      </c>
      <c r="G207">
        <v>0.26100000000000001</v>
      </c>
      <c r="H207">
        <v>0</v>
      </c>
      <c r="I207" t="s">
        <v>0</v>
      </c>
      <c r="J207" t="s">
        <v>59</v>
      </c>
      <c r="K207">
        <v>3.4000000000000002E-2</v>
      </c>
      <c r="L207" t="s">
        <v>60</v>
      </c>
      <c r="M207">
        <v>1</v>
      </c>
      <c r="N207" t="s">
        <v>53</v>
      </c>
      <c r="O207" s="2">
        <v>0.39027777777777778</v>
      </c>
      <c r="P207">
        <f>0.0000998226*3600</f>
        <v>0.35936135999999996</v>
      </c>
      <c r="Q207">
        <f>-0.0004005438*3600</f>
        <v>-1.44195768</v>
      </c>
    </row>
    <row r="208" spans="1:17" x14ac:dyDescent="0.3">
      <c r="A208" s="4" t="s">
        <v>47</v>
      </c>
      <c r="B208" t="s">
        <v>58</v>
      </c>
      <c r="C208">
        <v>290.18555600000002</v>
      </c>
      <c r="D208">
        <v>96.321577000000005</v>
      </c>
      <c r="E208">
        <v>16.957599999999999</v>
      </c>
      <c r="F208">
        <v>16.926300000000001</v>
      </c>
      <c r="G208">
        <v>0.26100000000000001</v>
      </c>
      <c r="H208">
        <v>0</v>
      </c>
      <c r="I208" t="s">
        <v>0</v>
      </c>
      <c r="J208" t="s">
        <v>59</v>
      </c>
      <c r="K208">
        <v>3.4000000000000002E-2</v>
      </c>
      <c r="L208" t="s">
        <v>60</v>
      </c>
      <c r="M208">
        <v>1</v>
      </c>
      <c r="N208" t="s">
        <v>53</v>
      </c>
      <c r="O208" s="2">
        <v>0.39166666666666666</v>
      </c>
      <c r="P208">
        <f>-0.001033261*3600</f>
        <v>-3.7197395999999996</v>
      </c>
      <c r="Q208">
        <f>0.0004660785*3600</f>
        <v>1.6778826</v>
      </c>
    </row>
    <row r="209" spans="1:17" x14ac:dyDescent="0.3">
      <c r="A209" s="4" t="s">
        <v>47</v>
      </c>
      <c r="B209" t="s">
        <v>58</v>
      </c>
      <c r="C209">
        <v>90.185781000000006</v>
      </c>
      <c r="D209">
        <v>303.67900800000001</v>
      </c>
      <c r="E209">
        <v>16.957799999999999</v>
      </c>
      <c r="F209">
        <v>16.926500000000001</v>
      </c>
      <c r="G209">
        <v>0.26100000000000001</v>
      </c>
      <c r="H209">
        <v>0</v>
      </c>
      <c r="I209" t="s">
        <v>0</v>
      </c>
      <c r="J209" t="s">
        <v>59</v>
      </c>
      <c r="K209">
        <v>3.4000000000000002E-2</v>
      </c>
      <c r="L209" t="s">
        <v>60</v>
      </c>
      <c r="M209">
        <v>1</v>
      </c>
      <c r="N209" t="s">
        <v>53</v>
      </c>
      <c r="O209" s="2">
        <v>0.39444444444444443</v>
      </c>
      <c r="P209">
        <f>0.000381143*3600</f>
        <v>1.3721148000000001</v>
      </c>
      <c r="Q209">
        <f>-0.0010201218*3600</f>
        <v>-3.6724384799999998</v>
      </c>
    </row>
    <row r="210" spans="1:17" x14ac:dyDescent="0.3">
      <c r="A210" s="4" t="s">
        <v>47</v>
      </c>
      <c r="B210" t="s">
        <v>58</v>
      </c>
      <c r="C210">
        <v>290.185294</v>
      </c>
      <c r="D210">
        <v>96.320896000000005</v>
      </c>
      <c r="E210">
        <v>16.9575</v>
      </c>
      <c r="F210">
        <v>16.926200000000001</v>
      </c>
      <c r="G210">
        <v>0.26100000000000001</v>
      </c>
      <c r="H210">
        <v>0</v>
      </c>
      <c r="I210" t="s">
        <v>0</v>
      </c>
      <c r="J210" t="s">
        <v>59</v>
      </c>
      <c r="K210">
        <v>3.4000000000000002E-2</v>
      </c>
      <c r="L210" t="s">
        <v>60</v>
      </c>
      <c r="M210">
        <v>1</v>
      </c>
      <c r="N210" t="s">
        <v>53</v>
      </c>
      <c r="O210" s="2">
        <v>0.39513888888888887</v>
      </c>
      <c r="P210">
        <f>-0.0009841823*3600</f>
        <v>-3.5430562800000001</v>
      </c>
      <c r="Q210">
        <f>0.0004414121*3600</f>
        <v>1.58908356</v>
      </c>
    </row>
    <row r="211" spans="1:17" x14ac:dyDescent="0.3">
      <c r="A211" s="4" t="s">
        <v>47</v>
      </c>
      <c r="B211" t="s">
        <v>58</v>
      </c>
      <c r="C211">
        <v>90.185580000000002</v>
      </c>
      <c r="D211">
        <v>303.68014499999998</v>
      </c>
      <c r="E211">
        <v>16.957799999999999</v>
      </c>
      <c r="F211">
        <v>16.926500000000001</v>
      </c>
      <c r="G211">
        <v>0.26100000000000001</v>
      </c>
      <c r="H211">
        <v>0</v>
      </c>
      <c r="I211" t="s">
        <v>0</v>
      </c>
      <c r="J211" t="s">
        <v>59</v>
      </c>
      <c r="K211">
        <v>3.4000000000000002E-2</v>
      </c>
      <c r="L211" t="s">
        <v>60</v>
      </c>
      <c r="M211">
        <v>1</v>
      </c>
      <c r="N211" t="s">
        <v>53</v>
      </c>
      <c r="O211" s="2">
        <v>0.3972222222222222</v>
      </c>
      <c r="P211">
        <f>0.0003745865*3600</f>
        <v>1.3485114</v>
      </c>
      <c r="Q211">
        <f>-0.001035222*3600</f>
        <v>-3.7267991999999999</v>
      </c>
    </row>
    <row r="212" spans="1:17" x14ac:dyDescent="0.3">
      <c r="A212" s="4" t="s">
        <v>47</v>
      </c>
      <c r="B212" t="s">
        <v>58</v>
      </c>
      <c r="C212">
        <v>290.18537900000001</v>
      </c>
      <c r="D212">
        <v>96.321005999999997</v>
      </c>
      <c r="E212">
        <v>16.957599999999999</v>
      </c>
      <c r="F212">
        <v>16.926300000000001</v>
      </c>
      <c r="G212">
        <v>0.26100000000000001</v>
      </c>
      <c r="H212">
        <v>0</v>
      </c>
      <c r="I212" t="s">
        <v>0</v>
      </c>
      <c r="J212" t="s">
        <v>59</v>
      </c>
      <c r="K212">
        <v>3.4000000000000002E-2</v>
      </c>
      <c r="L212" t="s">
        <v>60</v>
      </c>
      <c r="M212">
        <v>1</v>
      </c>
      <c r="N212" t="s">
        <v>53</v>
      </c>
      <c r="O212" s="2">
        <v>0.39861111111111108</v>
      </c>
      <c r="P212">
        <f>-0.0010903623*3600</f>
        <v>-3.9253042799999998</v>
      </c>
      <c r="Q212">
        <f>0.0005934981*3600</f>
        <v>2.1365931599999999</v>
      </c>
    </row>
    <row r="213" spans="1:17" x14ac:dyDescent="0.3">
      <c r="A213" s="4" t="s">
        <v>47</v>
      </c>
      <c r="B213" t="s">
        <v>58</v>
      </c>
      <c r="C213">
        <v>90.185930999999997</v>
      </c>
      <c r="D213">
        <v>303.67993000000001</v>
      </c>
      <c r="E213">
        <v>16.957899999999999</v>
      </c>
      <c r="F213">
        <v>16.926600000000001</v>
      </c>
      <c r="G213">
        <v>0.26100000000000001</v>
      </c>
      <c r="H213">
        <v>0</v>
      </c>
      <c r="I213" t="s">
        <v>0</v>
      </c>
      <c r="J213" t="s">
        <v>59</v>
      </c>
      <c r="K213">
        <v>3.4000000000000002E-2</v>
      </c>
      <c r="L213" t="s">
        <v>60</v>
      </c>
      <c r="M213">
        <v>1</v>
      </c>
      <c r="N213" t="s">
        <v>53</v>
      </c>
      <c r="O213" s="2">
        <v>0.40138888888888885</v>
      </c>
      <c r="P213">
        <f>0.0003827067*3600</f>
        <v>1.37774412</v>
      </c>
      <c r="Q213">
        <f>-0.0010287687*3600</f>
        <v>-3.7035673199999999</v>
      </c>
    </row>
    <row r="214" spans="1:17" x14ac:dyDescent="0.3">
      <c r="A214" s="4" t="s">
        <v>47</v>
      </c>
      <c r="B214" t="s">
        <v>58</v>
      </c>
      <c r="C214">
        <v>290.186353</v>
      </c>
      <c r="D214">
        <v>96.321291000000002</v>
      </c>
      <c r="E214">
        <v>16.9575</v>
      </c>
      <c r="F214">
        <v>16.926200000000001</v>
      </c>
      <c r="G214">
        <v>0.26100000000000001</v>
      </c>
      <c r="H214">
        <v>0</v>
      </c>
      <c r="I214" t="s">
        <v>0</v>
      </c>
      <c r="J214" t="s">
        <v>59</v>
      </c>
      <c r="K214">
        <v>3.4000000000000002E-2</v>
      </c>
      <c r="L214" t="s">
        <v>60</v>
      </c>
      <c r="M214">
        <v>1</v>
      </c>
      <c r="N214" t="s">
        <v>53</v>
      </c>
      <c r="O214" s="2">
        <v>0.40277777777777773</v>
      </c>
      <c r="P214">
        <f>-0.0006909086*3600</f>
        <v>-2.48727096</v>
      </c>
      <c r="Q214">
        <f>0.0005095928*3600</f>
        <v>1.8345340799999998</v>
      </c>
    </row>
    <row r="215" spans="1:17" x14ac:dyDescent="0.3">
      <c r="A215" s="4" t="s">
        <v>47</v>
      </c>
      <c r="B215" t="s">
        <v>58</v>
      </c>
      <c r="C215">
        <v>90.185247000000004</v>
      </c>
      <c r="D215">
        <v>303.67942399999998</v>
      </c>
      <c r="E215">
        <v>16.957599999999999</v>
      </c>
      <c r="F215">
        <v>16.926300000000001</v>
      </c>
      <c r="G215">
        <v>0.26100000000000001</v>
      </c>
      <c r="H215">
        <v>0</v>
      </c>
      <c r="I215" t="s">
        <v>0</v>
      </c>
      <c r="J215" t="s">
        <v>59</v>
      </c>
      <c r="K215">
        <v>3.4000000000000002E-2</v>
      </c>
      <c r="L215" t="s">
        <v>60</v>
      </c>
      <c r="M215">
        <v>1</v>
      </c>
      <c r="N215" t="s">
        <v>53</v>
      </c>
      <c r="O215" s="2">
        <v>0.40486111111111112</v>
      </c>
      <c r="P215">
        <f>0.0002355814*3600</f>
        <v>0.84809304000000008</v>
      </c>
      <c r="Q215">
        <f>-0.0006195573*3600</f>
        <v>-2.23040628</v>
      </c>
    </row>
    <row r="216" spans="1:17" x14ac:dyDescent="0.3">
      <c r="A216" s="4" t="s">
        <v>47</v>
      </c>
      <c r="B216" t="s">
        <v>58</v>
      </c>
      <c r="C216">
        <v>290.18587100000002</v>
      </c>
      <c r="D216">
        <v>96.320918000000006</v>
      </c>
      <c r="E216">
        <v>16.957799999999999</v>
      </c>
      <c r="F216">
        <v>16.926500000000001</v>
      </c>
      <c r="G216">
        <v>0.26100000000000001</v>
      </c>
      <c r="H216">
        <v>0</v>
      </c>
      <c r="I216" t="s">
        <v>0</v>
      </c>
      <c r="J216" t="s">
        <v>59</v>
      </c>
      <c r="K216">
        <v>3.4000000000000002E-2</v>
      </c>
      <c r="L216" t="s">
        <v>60</v>
      </c>
      <c r="M216">
        <v>1</v>
      </c>
      <c r="N216" t="s">
        <v>53</v>
      </c>
      <c r="O216" s="2">
        <v>0.40625</v>
      </c>
      <c r="P216">
        <f>-0.0006738894*3600</f>
        <v>-2.4260018400000001</v>
      </c>
      <c r="Q216">
        <f>0.0005822243*3600</f>
        <v>2.0960074799999999</v>
      </c>
    </row>
    <row r="217" spans="1:17" x14ac:dyDescent="0.3">
      <c r="A217" s="4" t="s">
        <v>47</v>
      </c>
      <c r="B217" t="s">
        <v>58</v>
      </c>
      <c r="C217">
        <v>90.185460000000006</v>
      </c>
      <c r="D217">
        <v>303.67916700000001</v>
      </c>
      <c r="E217">
        <v>16.957899999999999</v>
      </c>
      <c r="F217">
        <v>16.926600000000001</v>
      </c>
      <c r="G217">
        <v>0.26100000000000001</v>
      </c>
      <c r="H217">
        <v>0</v>
      </c>
      <c r="I217" t="s">
        <v>0</v>
      </c>
      <c r="J217" t="s">
        <v>59</v>
      </c>
      <c r="K217">
        <v>3.4000000000000002E-2</v>
      </c>
      <c r="L217" t="s">
        <v>60</v>
      </c>
      <c r="M217">
        <v>1</v>
      </c>
      <c r="N217" t="s">
        <v>53</v>
      </c>
      <c r="O217" s="2">
        <v>0.40833333333333338</v>
      </c>
      <c r="P217">
        <f>0.0002042599*3600</f>
        <v>0.73533563999999996</v>
      </c>
      <c r="Q217">
        <f>-0.0006848802*3600</f>
        <v>-2.4655687199999998</v>
      </c>
    </row>
    <row r="218" spans="1:17" x14ac:dyDescent="0.3">
      <c r="A218" s="4" t="s">
        <v>47</v>
      </c>
      <c r="B218" t="s">
        <v>58</v>
      </c>
      <c r="C218">
        <v>290.18630100000001</v>
      </c>
      <c r="D218">
        <v>96.320890000000006</v>
      </c>
      <c r="E218">
        <v>16.957599999999999</v>
      </c>
      <c r="F218">
        <v>16.926300000000001</v>
      </c>
      <c r="G218">
        <v>0.26100000000000001</v>
      </c>
      <c r="H218">
        <v>0</v>
      </c>
      <c r="I218" t="s">
        <v>0</v>
      </c>
      <c r="J218" t="s">
        <v>59</v>
      </c>
      <c r="K218">
        <v>3.4000000000000002E-2</v>
      </c>
      <c r="L218" t="s">
        <v>60</v>
      </c>
      <c r="M218">
        <v>1</v>
      </c>
      <c r="N218" t="s">
        <v>53</v>
      </c>
      <c r="O218" s="2">
        <v>0.40902777777777777</v>
      </c>
      <c r="P218">
        <f>-0.0011302825*3600</f>
        <v>-4.0690169999999997</v>
      </c>
      <c r="Q218">
        <f>0.0004547449*3600</f>
        <v>1.6370816400000001</v>
      </c>
    </row>
    <row r="219" spans="1:17" x14ac:dyDescent="0.3">
      <c r="A219" s="4" t="s">
        <v>47</v>
      </c>
      <c r="B219" t="s">
        <v>58</v>
      </c>
      <c r="C219">
        <v>90.185670999999999</v>
      </c>
      <c r="D219">
        <v>303.67998399999999</v>
      </c>
      <c r="E219">
        <v>16.957899999999999</v>
      </c>
      <c r="F219">
        <v>16.926600000000001</v>
      </c>
      <c r="G219">
        <v>0.26100000000000001</v>
      </c>
      <c r="H219">
        <v>0</v>
      </c>
      <c r="I219" t="s">
        <v>0</v>
      </c>
      <c r="J219" t="s">
        <v>59</v>
      </c>
      <c r="K219">
        <v>3.4000000000000002E-2</v>
      </c>
      <c r="L219" t="s">
        <v>60</v>
      </c>
      <c r="M219">
        <v>1</v>
      </c>
      <c r="N219" t="s">
        <v>53</v>
      </c>
      <c r="O219" s="2">
        <v>0.41111111111111115</v>
      </c>
      <c r="P219">
        <f>0.000186799*3600</f>
        <v>0.67247639999999997</v>
      </c>
      <c r="Q219">
        <f>-0.0006684196*3600</f>
        <v>-2.4063105600000001</v>
      </c>
    </row>
    <row r="220" spans="1:17" x14ac:dyDescent="0.3">
      <c r="A220" s="4" t="s">
        <v>47</v>
      </c>
      <c r="B220" t="s">
        <v>58</v>
      </c>
      <c r="C220">
        <v>290.18530399999997</v>
      </c>
      <c r="D220">
        <v>96.320406000000006</v>
      </c>
      <c r="E220">
        <v>16.957799999999999</v>
      </c>
      <c r="F220">
        <v>16.926500000000001</v>
      </c>
      <c r="G220">
        <v>0.26100000000000001</v>
      </c>
      <c r="H220">
        <v>0</v>
      </c>
      <c r="I220" t="s">
        <v>0</v>
      </c>
      <c r="J220" t="s">
        <v>59</v>
      </c>
      <c r="K220">
        <v>3.4000000000000002E-2</v>
      </c>
      <c r="L220" t="s">
        <v>60</v>
      </c>
      <c r="M220">
        <v>1</v>
      </c>
      <c r="N220" t="s">
        <v>53</v>
      </c>
      <c r="O220" s="2">
        <v>0.41250000000000003</v>
      </c>
      <c r="P220">
        <f>-0.0008080133*3600</f>
        <v>-2.9088478800000002</v>
      </c>
      <c r="Q220">
        <f>0.0006154803*3600</f>
        <v>2.21572908</v>
      </c>
    </row>
    <row r="221" spans="1:17" x14ac:dyDescent="0.3">
      <c r="A221" s="4" t="s">
        <v>47</v>
      </c>
      <c r="B221" t="s">
        <v>58</v>
      </c>
      <c r="C221">
        <v>90.185593999999995</v>
      </c>
      <c r="D221">
        <v>303.67976800000002</v>
      </c>
      <c r="E221">
        <v>16.957899999999999</v>
      </c>
      <c r="F221">
        <v>16.926600000000001</v>
      </c>
      <c r="G221">
        <v>0.26100000000000001</v>
      </c>
      <c r="H221">
        <v>0</v>
      </c>
      <c r="I221" t="s">
        <v>0</v>
      </c>
      <c r="J221" t="s">
        <v>59</v>
      </c>
      <c r="K221">
        <v>3.4000000000000002E-2</v>
      </c>
      <c r="L221" t="s">
        <v>60</v>
      </c>
      <c r="M221">
        <v>1</v>
      </c>
      <c r="N221" t="s">
        <v>53</v>
      </c>
      <c r="O221" s="2">
        <v>0.4145833333333333</v>
      </c>
      <c r="P221">
        <f>0.0001852717*3600</f>
        <v>0.66697812000000001</v>
      </c>
      <c r="Q221">
        <f>-0.0007059123*3600</f>
        <v>-2.5412842800000002</v>
      </c>
    </row>
    <row r="222" spans="1:17" x14ac:dyDescent="0.3">
      <c r="A222" s="4" t="s">
        <v>47</v>
      </c>
      <c r="B222" t="s">
        <v>58</v>
      </c>
      <c r="C222">
        <v>290.18583799999999</v>
      </c>
      <c r="D222">
        <v>96.319806999999997</v>
      </c>
      <c r="E222">
        <v>16.9575</v>
      </c>
      <c r="F222">
        <v>16.926200000000001</v>
      </c>
      <c r="G222">
        <v>0.26100000000000001</v>
      </c>
      <c r="H222">
        <v>0</v>
      </c>
      <c r="I222" t="s">
        <v>0</v>
      </c>
      <c r="J222" t="s">
        <v>59</v>
      </c>
      <c r="K222">
        <v>3.4000000000000002E-2</v>
      </c>
      <c r="L222" t="s">
        <v>60</v>
      </c>
      <c r="M222">
        <v>1</v>
      </c>
      <c r="N222" t="s">
        <v>53</v>
      </c>
      <c r="O222" s="2">
        <v>0.41666666666666669</v>
      </c>
      <c r="P222">
        <f>-0.0006326129*3600</f>
        <v>-2.27740644</v>
      </c>
      <c r="Q222">
        <f>0.000596724*3600</f>
        <v>2.1482063999999998</v>
      </c>
    </row>
    <row r="223" spans="1:17" x14ac:dyDescent="0.3">
      <c r="A223" s="4" t="s">
        <v>47</v>
      </c>
      <c r="B223" t="s">
        <v>58</v>
      </c>
      <c r="C223">
        <v>90.186569000000006</v>
      </c>
      <c r="D223">
        <v>303.68126999999998</v>
      </c>
      <c r="E223">
        <v>16.957899999999999</v>
      </c>
      <c r="F223">
        <v>16.926500000000001</v>
      </c>
      <c r="G223">
        <v>0.26100000000000001</v>
      </c>
      <c r="H223">
        <v>0</v>
      </c>
      <c r="I223" t="s">
        <v>0</v>
      </c>
      <c r="J223" t="s">
        <v>59</v>
      </c>
      <c r="K223">
        <v>3.4000000000000002E-2</v>
      </c>
      <c r="L223" t="s">
        <v>60</v>
      </c>
      <c r="M223">
        <v>1</v>
      </c>
      <c r="N223" t="s">
        <v>53</v>
      </c>
      <c r="O223" s="2">
        <v>0.41875000000000001</v>
      </c>
      <c r="P223">
        <f>0.000444639*3600</f>
        <v>1.6007004</v>
      </c>
      <c r="Q223">
        <f>-0.0012384684*3600</f>
        <v>-4.45848624</v>
      </c>
    </row>
    <row r="224" spans="1:17" x14ac:dyDescent="0.3">
      <c r="A224" s="4" t="s">
        <v>47</v>
      </c>
      <c r="B224" t="s">
        <v>58</v>
      </c>
      <c r="C224">
        <v>290.18561299999999</v>
      </c>
      <c r="D224">
        <v>96.321327999999994</v>
      </c>
      <c r="E224">
        <v>16.9573</v>
      </c>
      <c r="F224">
        <v>16.925999999999998</v>
      </c>
      <c r="G224">
        <v>0.26100000000000001</v>
      </c>
      <c r="H224">
        <v>0</v>
      </c>
      <c r="I224" t="s">
        <v>0</v>
      </c>
      <c r="J224" t="s">
        <v>59</v>
      </c>
      <c r="K224">
        <v>3.4000000000000002E-2</v>
      </c>
      <c r="L224" t="s">
        <v>60</v>
      </c>
      <c r="M224">
        <v>1</v>
      </c>
      <c r="N224" t="s">
        <v>53</v>
      </c>
      <c r="O224" s="2">
        <v>0.4201388888888889</v>
      </c>
      <c r="P224">
        <f>-0.0012940019*3600</f>
        <v>-4.6584068399999996</v>
      </c>
      <c r="Q224">
        <f>0.0006818065*3600</f>
        <v>2.4545034000000001</v>
      </c>
    </row>
    <row r="225" spans="1:18" x14ac:dyDescent="0.3">
      <c r="A225" s="4" t="s">
        <v>47</v>
      </c>
      <c r="B225" t="s">
        <v>58</v>
      </c>
      <c r="C225">
        <v>90.185350999999997</v>
      </c>
      <c r="D225">
        <v>303.68007</v>
      </c>
      <c r="E225">
        <v>16.957799999999999</v>
      </c>
      <c r="F225">
        <v>16.926500000000001</v>
      </c>
      <c r="G225">
        <v>0.26100000000000001</v>
      </c>
      <c r="H225">
        <v>0</v>
      </c>
      <c r="I225" t="s">
        <v>0</v>
      </c>
      <c r="J225" t="s">
        <v>59</v>
      </c>
      <c r="K225">
        <v>3.4000000000000002E-2</v>
      </c>
      <c r="L225" t="s">
        <v>60</v>
      </c>
      <c r="M225">
        <v>1</v>
      </c>
      <c r="N225" t="s">
        <v>53</v>
      </c>
      <c r="O225" s="2">
        <v>0.42222222222222222</v>
      </c>
      <c r="P225">
        <f>0.0003917349*3600</f>
        <v>1.4102456400000001</v>
      </c>
      <c r="Q225">
        <f>-0.0006163895*3600</f>
        <v>-2.2190022000000003</v>
      </c>
    </row>
    <row r="226" spans="1:18" x14ac:dyDescent="0.3">
      <c r="A226" s="4" t="s">
        <v>47</v>
      </c>
      <c r="B226" t="s">
        <v>58</v>
      </c>
      <c r="C226">
        <v>290.18568399999998</v>
      </c>
      <c r="D226">
        <v>96.320207999999994</v>
      </c>
      <c r="E226">
        <v>16.957599999999999</v>
      </c>
      <c r="F226">
        <v>16.926300000000001</v>
      </c>
      <c r="G226">
        <v>0.26100000000000001</v>
      </c>
      <c r="H226">
        <v>0</v>
      </c>
      <c r="I226" t="s">
        <v>0</v>
      </c>
      <c r="J226" t="s">
        <v>59</v>
      </c>
      <c r="K226">
        <v>3.4000000000000002E-2</v>
      </c>
      <c r="L226" t="s">
        <v>60</v>
      </c>
      <c r="M226">
        <v>1</v>
      </c>
      <c r="N226" t="s">
        <v>53</v>
      </c>
      <c r="O226" s="2">
        <v>0.42638888888888887</v>
      </c>
      <c r="P226">
        <f>-0.0006699072*3600</f>
        <v>-2.4116659199999999</v>
      </c>
      <c r="Q226">
        <f>0.0006730971*3600</f>
        <v>2.4231495600000001</v>
      </c>
    </row>
    <row r="227" spans="1:18" x14ac:dyDescent="0.3">
      <c r="A227" s="4" t="s">
        <v>47</v>
      </c>
      <c r="B227" t="s">
        <v>58</v>
      </c>
      <c r="C227">
        <v>90.185083000000006</v>
      </c>
      <c r="D227">
        <v>303.67955999999998</v>
      </c>
      <c r="E227">
        <v>16.957599999999999</v>
      </c>
      <c r="F227">
        <v>16.926300000000001</v>
      </c>
      <c r="G227">
        <v>0.26100000000000001</v>
      </c>
      <c r="H227">
        <v>0</v>
      </c>
      <c r="I227" t="s">
        <v>0</v>
      </c>
      <c r="J227" t="s">
        <v>59</v>
      </c>
      <c r="K227">
        <v>3.4000000000000002E-2</v>
      </c>
      <c r="L227" t="s">
        <v>60</v>
      </c>
      <c r="M227">
        <v>1</v>
      </c>
      <c r="N227" t="s">
        <v>53</v>
      </c>
      <c r="O227" s="2">
        <v>0.42777777777777781</v>
      </c>
      <c r="P227">
        <f>0.0004797549*3600</f>
        <v>1.7271176400000001</v>
      </c>
      <c r="Q227">
        <f>-0.0012564244*3600</f>
        <v>-4.5231278399999999</v>
      </c>
    </row>
    <row r="228" spans="1:18" x14ac:dyDescent="0.3">
      <c r="A228" s="4" t="s">
        <v>47</v>
      </c>
      <c r="B228" t="s">
        <v>58</v>
      </c>
      <c r="C228">
        <v>290.186016</v>
      </c>
      <c r="D228">
        <v>96.321374000000006</v>
      </c>
      <c r="E228">
        <v>16.9575</v>
      </c>
      <c r="F228">
        <v>16.926200000000001</v>
      </c>
      <c r="G228">
        <v>0.26100000000000001</v>
      </c>
      <c r="H228">
        <v>0</v>
      </c>
      <c r="I228" t="s">
        <v>0</v>
      </c>
      <c r="J228" t="s">
        <v>59</v>
      </c>
      <c r="K228">
        <v>3.4000000000000002E-2</v>
      </c>
      <c r="L228" t="s">
        <v>60</v>
      </c>
      <c r="M228">
        <v>1</v>
      </c>
      <c r="N228" t="s">
        <v>53</v>
      </c>
      <c r="O228" s="2">
        <v>0.4284722222222222</v>
      </c>
      <c r="P228">
        <f>-0.0012430577*3600</f>
        <v>-4.4750077199999998</v>
      </c>
      <c r="Q228">
        <f>0.0007837216*3600</f>
        <v>2.82139776</v>
      </c>
    </row>
    <row r="229" spans="1:18" x14ac:dyDescent="0.3">
      <c r="A229" s="4" t="s">
        <v>47</v>
      </c>
      <c r="B229" t="s">
        <v>58</v>
      </c>
      <c r="C229">
        <v>90.185719000000006</v>
      </c>
      <c r="D229">
        <v>303.67899499999999</v>
      </c>
      <c r="E229">
        <v>16.957899999999999</v>
      </c>
      <c r="F229">
        <v>16.926600000000001</v>
      </c>
      <c r="G229">
        <v>0.26100000000000001</v>
      </c>
      <c r="H229">
        <v>0</v>
      </c>
      <c r="I229" t="s">
        <v>0</v>
      </c>
      <c r="J229" t="s">
        <v>59</v>
      </c>
      <c r="K229">
        <v>3.4000000000000002E-2</v>
      </c>
      <c r="L229" t="s">
        <v>60</v>
      </c>
      <c r="M229">
        <v>1</v>
      </c>
      <c r="N229" t="s">
        <v>53</v>
      </c>
      <c r="O229" s="2">
        <v>0.43055555555555558</v>
      </c>
      <c r="P229">
        <f>0.0003684745*3600</f>
        <v>1.3265081999999999</v>
      </c>
      <c r="Q229">
        <f>-0.0013142168*3600</f>
        <v>-4.7311804799999999</v>
      </c>
    </row>
    <row r="230" spans="1:18" x14ac:dyDescent="0.3">
      <c r="A230" s="4" t="s">
        <v>47</v>
      </c>
      <c r="B230" t="s">
        <v>58</v>
      </c>
      <c r="C230">
        <v>290.18541800000003</v>
      </c>
      <c r="D230">
        <v>96.319725000000005</v>
      </c>
      <c r="E230">
        <v>16.957799999999999</v>
      </c>
      <c r="F230">
        <v>16.926500000000001</v>
      </c>
      <c r="G230">
        <v>0.26100000000000001</v>
      </c>
      <c r="H230">
        <v>0</v>
      </c>
      <c r="I230" t="s">
        <v>0</v>
      </c>
      <c r="J230" t="s">
        <v>59</v>
      </c>
      <c r="K230">
        <v>3.4000000000000002E-2</v>
      </c>
      <c r="L230" t="s">
        <v>60</v>
      </c>
      <c r="M230">
        <v>1</v>
      </c>
      <c r="N230" t="s">
        <v>53</v>
      </c>
      <c r="O230" s="2">
        <v>0.43124999999999997</v>
      </c>
      <c r="P230">
        <f>-0.0013817309*3600</f>
        <v>-4.9742312399999999</v>
      </c>
      <c r="Q230">
        <f>0.0007207379*3600</f>
        <v>2.5946564400000001</v>
      </c>
    </row>
    <row r="231" spans="1:18" x14ac:dyDescent="0.3">
      <c r="A231" s="4" t="s">
        <v>47</v>
      </c>
      <c r="B231" t="s">
        <v>58</v>
      </c>
      <c r="C231">
        <v>90.185553999999996</v>
      </c>
      <c r="D231">
        <v>303.67929800000002</v>
      </c>
      <c r="E231">
        <v>16.957699999999999</v>
      </c>
      <c r="F231">
        <v>16.926400000000001</v>
      </c>
      <c r="G231">
        <v>0.26100000000000001</v>
      </c>
      <c r="H231">
        <v>0</v>
      </c>
      <c r="I231" t="s">
        <v>0</v>
      </c>
      <c r="J231" t="s">
        <v>59</v>
      </c>
      <c r="K231">
        <v>3.4000000000000002E-2</v>
      </c>
      <c r="L231" t="s">
        <v>60</v>
      </c>
      <c r="M231">
        <v>1</v>
      </c>
      <c r="N231" t="s">
        <v>53</v>
      </c>
      <c r="O231" s="2">
        <v>0.43333333333333335</v>
      </c>
      <c r="P231">
        <f>0.0003743952*3600</f>
        <v>1.3478227199999999</v>
      </c>
      <c r="Q231">
        <f>-0.0006914053*3600</f>
        <v>-2.4890590800000001</v>
      </c>
    </row>
    <row r="232" spans="1:18" x14ac:dyDescent="0.3">
      <c r="A232" s="4" t="s">
        <v>47</v>
      </c>
      <c r="B232" t="s">
        <v>58</v>
      </c>
      <c r="C232">
        <v>290.18599699999999</v>
      </c>
      <c r="D232">
        <v>96.319547</v>
      </c>
      <c r="E232">
        <v>16.957999999999998</v>
      </c>
      <c r="F232">
        <v>16.926600000000001</v>
      </c>
      <c r="G232">
        <v>0.26100000000000001</v>
      </c>
      <c r="H232">
        <v>0</v>
      </c>
      <c r="I232" t="s">
        <v>0</v>
      </c>
      <c r="J232" t="s">
        <v>59</v>
      </c>
      <c r="K232">
        <v>3.4000000000000002E-2</v>
      </c>
      <c r="L232" t="s">
        <v>60</v>
      </c>
      <c r="M232">
        <v>1</v>
      </c>
      <c r="N232" t="s">
        <v>53</v>
      </c>
      <c r="O232" s="2">
        <v>0.43402777777777773</v>
      </c>
      <c r="P232">
        <f>-0.0013304955*3600</f>
        <v>-4.7897838000000004</v>
      </c>
      <c r="Q232">
        <f>0.0008249606*3600</f>
        <v>2.9698581599999998</v>
      </c>
    </row>
    <row r="233" spans="1:18" x14ac:dyDescent="0.3">
      <c r="A233" s="4" t="s">
        <v>47</v>
      </c>
      <c r="B233" t="s">
        <v>58</v>
      </c>
      <c r="C233">
        <v>90.185233999999994</v>
      </c>
      <c r="D233">
        <v>303.67878400000001</v>
      </c>
      <c r="E233">
        <v>16.957999999999998</v>
      </c>
      <c r="F233">
        <v>16.9267</v>
      </c>
      <c r="G233">
        <v>0.26100000000000001</v>
      </c>
      <c r="H233">
        <v>0</v>
      </c>
      <c r="I233" t="s">
        <v>0</v>
      </c>
      <c r="J233" t="s">
        <v>59</v>
      </c>
      <c r="K233">
        <v>3.4000000000000002E-2</v>
      </c>
      <c r="L233" t="s">
        <v>60</v>
      </c>
      <c r="M233">
        <v>1</v>
      </c>
      <c r="N233" t="s">
        <v>53</v>
      </c>
      <c r="O233" s="2">
        <v>0.43541666666666662</v>
      </c>
      <c r="P233">
        <f>0.0003485895*3600</f>
        <v>1.2549222</v>
      </c>
      <c r="Q233">
        <f>-0.0013828877*3600</f>
        <v>-4.97839572</v>
      </c>
    </row>
    <row r="234" spans="1:18" x14ac:dyDescent="0.3">
      <c r="A234" s="4" t="s">
        <v>47</v>
      </c>
      <c r="B234" t="s">
        <v>58</v>
      </c>
      <c r="C234">
        <v>290.18568299999998</v>
      </c>
      <c r="D234">
        <v>96.321592999999993</v>
      </c>
      <c r="E234">
        <v>16.957899999999999</v>
      </c>
      <c r="F234">
        <v>16.926600000000001</v>
      </c>
      <c r="G234">
        <v>0.26100000000000001</v>
      </c>
      <c r="H234">
        <v>0</v>
      </c>
      <c r="I234" t="s">
        <v>0</v>
      </c>
      <c r="J234" t="s">
        <v>59</v>
      </c>
      <c r="K234">
        <v>3.4000000000000002E-2</v>
      </c>
      <c r="L234" t="s">
        <v>60</v>
      </c>
      <c r="M234">
        <v>1</v>
      </c>
      <c r="N234" t="s">
        <v>53</v>
      </c>
      <c r="O234" s="2">
        <v>0.43611111111111112</v>
      </c>
      <c r="P234">
        <f>-0.0013899014*3600</f>
        <v>-5.0036450399999994</v>
      </c>
      <c r="Q234">
        <f>0.0009091172*3600</f>
        <v>3.2728219200000002</v>
      </c>
    </row>
    <row r="235" spans="1:18" x14ac:dyDescent="0.3">
      <c r="A235" s="4" t="s">
        <v>47</v>
      </c>
      <c r="B235" t="s">
        <v>58</v>
      </c>
      <c r="C235">
        <v>90.185711999999995</v>
      </c>
      <c r="D235">
        <v>303.67902600000002</v>
      </c>
      <c r="E235">
        <v>16.957699999999999</v>
      </c>
      <c r="F235">
        <v>16.926400000000001</v>
      </c>
      <c r="G235">
        <v>0.26100000000000001</v>
      </c>
      <c r="H235">
        <v>0</v>
      </c>
      <c r="I235" t="s">
        <v>0</v>
      </c>
      <c r="J235" t="s">
        <v>59</v>
      </c>
      <c r="K235">
        <v>3.4000000000000002E-2</v>
      </c>
      <c r="L235" t="s">
        <v>60</v>
      </c>
      <c r="M235">
        <v>1</v>
      </c>
      <c r="N235" t="s">
        <v>53</v>
      </c>
      <c r="O235" s="2">
        <v>0.4381944444444445</v>
      </c>
      <c r="P235">
        <f>0.0004193801*3600</f>
        <v>1.50976836</v>
      </c>
      <c r="Q235">
        <f>-0.0015351439*3600</f>
        <v>-5.52651804</v>
      </c>
    </row>
    <row r="236" spans="1:18" x14ac:dyDescent="0.3">
      <c r="A236" s="4" t="s">
        <v>47</v>
      </c>
      <c r="B236" t="s">
        <v>58</v>
      </c>
      <c r="C236">
        <v>290.185742</v>
      </c>
      <c r="D236">
        <v>96.321278000000007</v>
      </c>
      <c r="E236">
        <v>16.957799999999999</v>
      </c>
      <c r="F236">
        <v>16.926500000000001</v>
      </c>
      <c r="G236">
        <v>0.26100000000000001</v>
      </c>
      <c r="H236">
        <v>0</v>
      </c>
      <c r="I236" t="s">
        <v>0</v>
      </c>
      <c r="J236" t="s">
        <v>59</v>
      </c>
      <c r="K236">
        <v>3.4000000000000002E-2</v>
      </c>
      <c r="L236" t="s">
        <v>60</v>
      </c>
      <c r="M236">
        <v>1</v>
      </c>
      <c r="N236" t="s">
        <v>53</v>
      </c>
      <c r="O236" s="2">
        <v>0.44097222222222227</v>
      </c>
      <c r="P236">
        <f>-0.0014969428*3600</f>
        <v>-5.3889940800000007</v>
      </c>
      <c r="Q236">
        <f>0.0010666738*3600</f>
        <v>3.8400256800000001</v>
      </c>
    </row>
    <row r="237" spans="1:18" x14ac:dyDescent="0.3">
      <c r="A237" s="4" t="s">
        <v>47</v>
      </c>
      <c r="B237" t="s">
        <v>58</v>
      </c>
      <c r="C237">
        <v>90.186659000000006</v>
      </c>
      <c r="D237">
        <v>303.680004</v>
      </c>
      <c r="E237">
        <v>16.957799999999999</v>
      </c>
      <c r="F237">
        <v>16.926500000000001</v>
      </c>
      <c r="G237">
        <v>0.26100000000000001</v>
      </c>
      <c r="H237">
        <v>0</v>
      </c>
      <c r="I237" t="s">
        <v>0</v>
      </c>
      <c r="J237" t="s">
        <v>59</v>
      </c>
      <c r="K237">
        <v>3.4000000000000002E-2</v>
      </c>
      <c r="L237" t="s">
        <v>60</v>
      </c>
      <c r="M237">
        <v>1</v>
      </c>
      <c r="N237" t="s">
        <v>53</v>
      </c>
      <c r="O237" s="2">
        <v>0.44236111111111115</v>
      </c>
      <c r="P237">
        <f>0.000371436*3600</f>
        <v>1.3371696</v>
      </c>
      <c r="Q237">
        <f>-0.0015143941*3600</f>
        <v>-5.4518187600000001</v>
      </c>
    </row>
    <row r="238" spans="1:18" x14ac:dyDescent="0.3">
      <c r="A238" s="4" t="s">
        <v>47</v>
      </c>
      <c r="B238" t="s">
        <v>58</v>
      </c>
      <c r="C238">
        <v>290.18543499999998</v>
      </c>
      <c r="D238">
        <v>96.321282999999994</v>
      </c>
      <c r="E238">
        <v>16.957599999999999</v>
      </c>
      <c r="F238">
        <v>16.926300000000001</v>
      </c>
      <c r="G238">
        <v>0.26100000000000001</v>
      </c>
      <c r="H238">
        <v>0</v>
      </c>
      <c r="I238" t="s">
        <v>0</v>
      </c>
      <c r="J238" t="s">
        <v>59</v>
      </c>
      <c r="K238">
        <v>3.4000000000000002E-2</v>
      </c>
      <c r="L238" t="s">
        <v>60</v>
      </c>
      <c r="M238">
        <v>1</v>
      </c>
      <c r="N238" t="s">
        <v>53</v>
      </c>
      <c r="O238" s="2">
        <v>0.44305555555555554</v>
      </c>
      <c r="P238">
        <f>-0.0014079851*3600</f>
        <v>-5.0687463600000005</v>
      </c>
      <c r="Q238">
        <f>0.0011452106*3600</f>
        <v>4.1227581600000001</v>
      </c>
    </row>
    <row r="239" spans="1:18" x14ac:dyDescent="0.3">
      <c r="A239" s="4" t="s">
        <v>47</v>
      </c>
      <c r="B239" t="s">
        <v>58</v>
      </c>
      <c r="C239">
        <v>90.184927000000002</v>
      </c>
      <c r="D239">
        <v>303.67982799999999</v>
      </c>
      <c r="E239">
        <v>16.957899999999999</v>
      </c>
      <c r="F239">
        <v>16.926600000000001</v>
      </c>
      <c r="G239">
        <v>0.26100000000000001</v>
      </c>
      <c r="H239">
        <v>0</v>
      </c>
      <c r="I239" t="s">
        <v>0</v>
      </c>
      <c r="J239" t="s">
        <v>59</v>
      </c>
      <c r="K239">
        <v>3.4000000000000002E-2</v>
      </c>
      <c r="L239" t="s">
        <v>60</v>
      </c>
      <c r="M239">
        <v>1</v>
      </c>
      <c r="N239" t="s">
        <v>53</v>
      </c>
      <c r="O239" s="2">
        <v>0.44444444444444442</v>
      </c>
      <c r="P239">
        <f>0.0002038763*3600</f>
        <v>0.73395467999999997</v>
      </c>
      <c r="Q239">
        <f>-0.0015765147*3600</f>
        <v>-5.6754529199999997</v>
      </c>
    </row>
    <row r="240" spans="1:18" x14ac:dyDescent="0.3">
      <c r="A240" s="4" t="s">
        <v>47</v>
      </c>
      <c r="B240" t="s">
        <v>62</v>
      </c>
      <c r="C240">
        <v>104.685044</v>
      </c>
      <c r="D240">
        <v>104.37458700000001</v>
      </c>
      <c r="E240">
        <v>19.466200000000001</v>
      </c>
      <c r="F240">
        <v>19.416799999999999</v>
      </c>
      <c r="G240">
        <v>0.26100000000000001</v>
      </c>
      <c r="H240">
        <v>0</v>
      </c>
      <c r="I240" t="s">
        <v>0</v>
      </c>
      <c r="J240" t="s">
        <v>50</v>
      </c>
      <c r="K240" t="s">
        <v>51</v>
      </c>
      <c r="L240">
        <v>0</v>
      </c>
      <c r="M240" t="s">
        <v>52</v>
      </c>
      <c r="N240">
        <v>1</v>
      </c>
      <c r="O240" t="s">
        <v>53</v>
      </c>
      <c r="P240" s="2">
        <v>0.37013888888888885</v>
      </c>
      <c r="Q240">
        <f>0.0001732945*3600</f>
        <v>0.62386019999999998</v>
      </c>
      <c r="R240">
        <f>-0.000438531*3600</f>
        <v>-1.5787115999999999</v>
      </c>
    </row>
    <row r="241" spans="1:18" x14ac:dyDescent="0.3">
      <c r="A241" s="4" t="s">
        <v>47</v>
      </c>
      <c r="B241" t="s">
        <v>62</v>
      </c>
      <c r="C241">
        <v>304.68424800000003</v>
      </c>
      <c r="D241">
        <v>295.62488000000002</v>
      </c>
      <c r="E241">
        <v>19.466200000000001</v>
      </c>
      <c r="F241">
        <v>19.416799999999999</v>
      </c>
      <c r="G241">
        <v>0.26100000000000001</v>
      </c>
      <c r="H241">
        <v>0</v>
      </c>
      <c r="I241" t="s">
        <v>0</v>
      </c>
      <c r="J241" t="s">
        <v>50</v>
      </c>
      <c r="K241" t="s">
        <v>51</v>
      </c>
      <c r="L241">
        <v>0</v>
      </c>
      <c r="M241" t="s">
        <v>52</v>
      </c>
      <c r="N241">
        <v>1</v>
      </c>
      <c r="O241" t="s">
        <v>53</v>
      </c>
      <c r="P241" s="2">
        <v>0.37083333333333335</v>
      </c>
      <c r="Q241">
        <f>-0.000972025*3600</f>
        <v>-3.4992899999999998</v>
      </c>
      <c r="R241">
        <f>0.0004218406*3600</f>
        <v>1.5186261599999999</v>
      </c>
    </row>
    <row r="242" spans="1:18" x14ac:dyDescent="0.3">
      <c r="A242" s="4" t="s">
        <v>47</v>
      </c>
      <c r="B242" t="s">
        <v>62</v>
      </c>
      <c r="C242">
        <v>104.68540299999999</v>
      </c>
      <c r="D242">
        <v>104.374287</v>
      </c>
      <c r="E242">
        <v>19.466100000000001</v>
      </c>
      <c r="F242">
        <v>19.416699999999999</v>
      </c>
      <c r="G242">
        <v>0.26100000000000001</v>
      </c>
      <c r="H242">
        <v>0</v>
      </c>
      <c r="I242" t="s">
        <v>0</v>
      </c>
      <c r="J242" t="s">
        <v>50</v>
      </c>
      <c r="K242" t="s">
        <v>51</v>
      </c>
      <c r="L242">
        <v>0</v>
      </c>
      <c r="M242" t="s">
        <v>52</v>
      </c>
      <c r="N242">
        <v>1</v>
      </c>
      <c r="O242" t="s">
        <v>53</v>
      </c>
      <c r="P242" s="2">
        <v>0.37847222222222227</v>
      </c>
      <c r="Q242">
        <f>0.0003287364*3600</f>
        <v>1.18345104</v>
      </c>
      <c r="R242">
        <f>-0.0010401882*3600</f>
        <v>-3.7446775199999998</v>
      </c>
    </row>
    <row r="243" spans="1:18" x14ac:dyDescent="0.3">
      <c r="A243" s="4" t="s">
        <v>47</v>
      </c>
      <c r="B243" t="s">
        <v>62</v>
      </c>
      <c r="C243">
        <v>304.68444399999998</v>
      </c>
      <c r="D243">
        <v>295.62479300000001</v>
      </c>
      <c r="E243">
        <v>19.466000000000001</v>
      </c>
      <c r="F243">
        <v>19.416599999999999</v>
      </c>
      <c r="G243">
        <v>0.26100000000000001</v>
      </c>
      <c r="H243">
        <v>0</v>
      </c>
      <c r="I243" t="s">
        <v>0</v>
      </c>
      <c r="J243" t="s">
        <v>50</v>
      </c>
      <c r="K243" t="s">
        <v>51</v>
      </c>
      <c r="L243">
        <v>0</v>
      </c>
      <c r="M243" t="s">
        <v>52</v>
      </c>
      <c r="N243">
        <v>1</v>
      </c>
      <c r="O243" t="s">
        <v>53</v>
      </c>
      <c r="P243" s="2">
        <v>0.38125000000000003</v>
      </c>
      <c r="Q243">
        <f>-0.0005236475*3600</f>
        <v>-1.8851309999999999</v>
      </c>
      <c r="R243">
        <f>0.0004837478*3600</f>
        <v>1.74149208</v>
      </c>
    </row>
    <row r="244" spans="1:18" x14ac:dyDescent="0.3">
      <c r="A244" s="4" t="s">
        <v>47</v>
      </c>
      <c r="B244" t="s">
        <v>62</v>
      </c>
      <c r="C244">
        <v>104.685316</v>
      </c>
      <c r="D244">
        <v>104.37478400000001</v>
      </c>
      <c r="E244">
        <v>19.466200000000001</v>
      </c>
      <c r="F244">
        <v>19.416799999999999</v>
      </c>
      <c r="G244">
        <v>0.26100000000000001</v>
      </c>
      <c r="H244">
        <v>0</v>
      </c>
      <c r="I244" t="s">
        <v>0</v>
      </c>
      <c r="J244" t="s">
        <v>50</v>
      </c>
      <c r="K244" t="s">
        <v>51</v>
      </c>
      <c r="L244">
        <v>0</v>
      </c>
      <c r="M244" t="s">
        <v>52</v>
      </c>
      <c r="N244">
        <v>1</v>
      </c>
      <c r="O244" t="s">
        <v>53</v>
      </c>
      <c r="P244" s="2">
        <v>0.3833333333333333</v>
      </c>
      <c r="Q244">
        <f>0.0002804708*3600</f>
        <v>1.0096948800000001</v>
      </c>
      <c r="R244">
        <f>-0.0005640194*3600</f>
        <v>-2.0304698400000003</v>
      </c>
    </row>
    <row r="245" spans="1:18" x14ac:dyDescent="0.3">
      <c r="A245" s="4" t="s">
        <v>47</v>
      </c>
      <c r="B245" t="s">
        <v>62</v>
      </c>
      <c r="C245">
        <v>304.684822</v>
      </c>
      <c r="D245">
        <v>295.62519500000002</v>
      </c>
      <c r="E245">
        <v>19.4664</v>
      </c>
      <c r="F245">
        <v>19.417000000000002</v>
      </c>
      <c r="G245">
        <v>0.26100000000000001</v>
      </c>
      <c r="H245">
        <v>0</v>
      </c>
      <c r="I245" t="s">
        <v>0</v>
      </c>
      <c r="J245" t="s">
        <v>50</v>
      </c>
      <c r="K245" t="s">
        <v>51</v>
      </c>
      <c r="L245">
        <v>0</v>
      </c>
      <c r="M245" t="s">
        <v>52</v>
      </c>
      <c r="N245">
        <v>1</v>
      </c>
      <c r="O245" t="s">
        <v>53</v>
      </c>
      <c r="P245" s="2">
        <v>0.38472222222222219</v>
      </c>
      <c r="Q245">
        <f>-0.0012903517*3600</f>
        <v>-4.6452661199999996</v>
      </c>
      <c r="R245">
        <f>0.0004373984*3600</f>
        <v>1.57463424</v>
      </c>
    </row>
    <row r="246" spans="1:18" x14ac:dyDescent="0.3">
      <c r="A246" s="4" t="s">
        <v>47</v>
      </c>
      <c r="B246" t="s">
        <v>62</v>
      </c>
      <c r="C246">
        <v>104.684854</v>
      </c>
      <c r="D246">
        <v>104.37507600000001</v>
      </c>
      <c r="E246">
        <v>19.466000000000001</v>
      </c>
      <c r="F246">
        <v>19.416599999999999</v>
      </c>
      <c r="G246">
        <v>0.26100000000000001</v>
      </c>
      <c r="H246">
        <v>0</v>
      </c>
      <c r="I246" t="s">
        <v>0</v>
      </c>
      <c r="J246" t="s">
        <v>50</v>
      </c>
      <c r="K246" t="s">
        <v>51</v>
      </c>
      <c r="L246">
        <v>0</v>
      </c>
      <c r="M246" t="s">
        <v>52</v>
      </c>
      <c r="N246">
        <v>1</v>
      </c>
      <c r="O246" t="s">
        <v>53</v>
      </c>
      <c r="P246" s="2">
        <v>0.38819444444444445</v>
      </c>
      <c r="Q246">
        <f>0.000359514*3600</f>
        <v>1.2942504000000001</v>
      </c>
      <c r="R246">
        <f>-0.0005985097*3600</f>
        <v>-2.1546349199999999</v>
      </c>
    </row>
    <row r="247" spans="1:18" x14ac:dyDescent="0.3">
      <c r="A247" s="4" t="s">
        <v>47</v>
      </c>
      <c r="B247" t="s">
        <v>62</v>
      </c>
      <c r="C247">
        <v>304.68461200000002</v>
      </c>
      <c r="D247">
        <v>295.62518999999998</v>
      </c>
      <c r="E247">
        <v>19.4664</v>
      </c>
      <c r="F247">
        <v>19.417000000000002</v>
      </c>
      <c r="G247">
        <v>0.26100000000000001</v>
      </c>
      <c r="H247">
        <v>0</v>
      </c>
      <c r="I247" t="s">
        <v>0</v>
      </c>
      <c r="J247" t="s">
        <v>50</v>
      </c>
      <c r="K247" t="s">
        <v>51</v>
      </c>
      <c r="L247">
        <v>0</v>
      </c>
      <c r="M247" t="s">
        <v>52</v>
      </c>
      <c r="N247">
        <v>1</v>
      </c>
      <c r="O247" t="s">
        <v>53</v>
      </c>
      <c r="P247" s="2">
        <v>0.3888888888888889</v>
      </c>
      <c r="Q247">
        <f>-0.0012700182*3600</f>
        <v>-4.5720655199999998</v>
      </c>
      <c r="R247">
        <f>0.0003237492*3600</f>
        <v>1.1654971199999999</v>
      </c>
    </row>
    <row r="248" spans="1:18" x14ac:dyDescent="0.3">
      <c r="A248" s="4" t="s">
        <v>47</v>
      </c>
      <c r="B248" t="s">
        <v>62</v>
      </c>
      <c r="C248">
        <v>104.68511100000001</v>
      </c>
      <c r="D248">
        <v>104.374965</v>
      </c>
      <c r="E248">
        <v>19.466200000000001</v>
      </c>
      <c r="F248">
        <v>19.416799999999999</v>
      </c>
      <c r="G248">
        <v>0.26100000000000001</v>
      </c>
      <c r="H248">
        <v>0</v>
      </c>
      <c r="I248" t="s">
        <v>0</v>
      </c>
      <c r="J248" t="s">
        <v>50</v>
      </c>
      <c r="K248" t="s">
        <v>51</v>
      </c>
      <c r="L248">
        <v>0</v>
      </c>
      <c r="M248" t="s">
        <v>52</v>
      </c>
      <c r="N248">
        <v>1</v>
      </c>
      <c r="O248" t="s">
        <v>53</v>
      </c>
      <c r="P248" s="2">
        <v>0.3923611111111111</v>
      </c>
      <c r="Q248">
        <f>0.0004442555*3600</f>
        <v>1.5993198</v>
      </c>
      <c r="R248">
        <f>-0.0009343823*3600</f>
        <v>-3.3637762799999997</v>
      </c>
    </row>
    <row r="249" spans="1:18" x14ac:dyDescent="0.3">
      <c r="A249" s="4" t="s">
        <v>47</v>
      </c>
      <c r="B249" t="s">
        <v>62</v>
      </c>
      <c r="C249">
        <v>304.68494800000002</v>
      </c>
      <c r="D249">
        <v>295.62505700000003</v>
      </c>
      <c r="E249">
        <v>19.4664</v>
      </c>
      <c r="F249">
        <v>19.417000000000002</v>
      </c>
      <c r="G249">
        <v>0.26100000000000001</v>
      </c>
      <c r="H249">
        <v>0</v>
      </c>
      <c r="I249" t="s">
        <v>0</v>
      </c>
      <c r="J249" t="s">
        <v>50</v>
      </c>
      <c r="K249" t="s">
        <v>51</v>
      </c>
      <c r="L249">
        <v>0</v>
      </c>
      <c r="M249" t="s">
        <v>52</v>
      </c>
      <c r="N249">
        <v>1</v>
      </c>
      <c r="O249" t="s">
        <v>53</v>
      </c>
      <c r="P249" s="2">
        <v>0.39374999999999999</v>
      </c>
      <c r="Q249">
        <f>-0.0007053389*3600</f>
        <v>-2.53922004</v>
      </c>
      <c r="R249">
        <f>0.0006508933*3600</f>
        <v>2.3432158800000003</v>
      </c>
    </row>
    <row r="250" spans="1:18" x14ac:dyDescent="0.3">
      <c r="A250" s="4" t="s">
        <v>47</v>
      </c>
      <c r="B250" t="s">
        <v>62</v>
      </c>
      <c r="C250">
        <v>104.68492500000001</v>
      </c>
      <c r="D250">
        <v>104.37495800000001</v>
      </c>
      <c r="E250">
        <v>19.4665</v>
      </c>
      <c r="F250">
        <v>19.417100000000001</v>
      </c>
      <c r="G250">
        <v>0.26100000000000001</v>
      </c>
      <c r="H250">
        <v>0</v>
      </c>
      <c r="I250" t="s">
        <v>0</v>
      </c>
      <c r="J250" t="s">
        <v>50</v>
      </c>
      <c r="K250" t="s">
        <v>51</v>
      </c>
      <c r="L250">
        <v>0</v>
      </c>
      <c r="M250" t="s">
        <v>52</v>
      </c>
      <c r="N250">
        <v>1</v>
      </c>
      <c r="O250" t="s">
        <v>53</v>
      </c>
      <c r="P250" s="2">
        <v>0.39583333333333331</v>
      </c>
      <c r="Q250">
        <f>0.0004884153*3600</f>
        <v>1.7582950799999999</v>
      </c>
      <c r="R250">
        <f>-0.0010890368*3600</f>
        <v>-3.9205324800000003</v>
      </c>
    </row>
    <row r="251" spans="1:18" x14ac:dyDescent="0.3">
      <c r="A251" s="4" t="s">
        <v>47</v>
      </c>
      <c r="B251" t="s">
        <v>62</v>
      </c>
      <c r="C251">
        <v>304.68490200000002</v>
      </c>
      <c r="D251">
        <v>295.62522799999999</v>
      </c>
      <c r="E251">
        <v>19.4664</v>
      </c>
      <c r="F251">
        <v>19.417000000000002</v>
      </c>
      <c r="G251">
        <v>0.26100000000000001</v>
      </c>
      <c r="H251">
        <v>0</v>
      </c>
      <c r="I251" t="s">
        <v>0</v>
      </c>
      <c r="J251" t="s">
        <v>50</v>
      </c>
      <c r="K251" t="s">
        <v>51</v>
      </c>
      <c r="L251">
        <v>0</v>
      </c>
      <c r="M251" t="s">
        <v>52</v>
      </c>
      <c r="N251">
        <v>1</v>
      </c>
      <c r="O251" t="s">
        <v>53</v>
      </c>
      <c r="P251" s="2">
        <v>0.3972222222222222</v>
      </c>
      <c r="Q251">
        <f>-0.0010154789*3600</f>
        <v>-3.6557240400000004</v>
      </c>
      <c r="R251">
        <f>0.0007704305*3600</f>
        <v>2.7735498000000001</v>
      </c>
    </row>
    <row r="252" spans="1:18" x14ac:dyDescent="0.3">
      <c r="A252" s="4" t="s">
        <v>47</v>
      </c>
      <c r="B252" t="s">
        <v>62</v>
      </c>
      <c r="C252">
        <v>104.685457</v>
      </c>
      <c r="D252">
        <v>104.37484600000001</v>
      </c>
      <c r="E252">
        <v>19.466100000000001</v>
      </c>
      <c r="F252">
        <v>19.416699999999999</v>
      </c>
      <c r="G252">
        <v>0.26100000000000001</v>
      </c>
      <c r="H252">
        <v>0</v>
      </c>
      <c r="I252" t="s">
        <v>0</v>
      </c>
      <c r="J252" t="s">
        <v>50</v>
      </c>
      <c r="K252" t="s">
        <v>51</v>
      </c>
      <c r="L252">
        <v>0</v>
      </c>
      <c r="M252" t="s">
        <v>52</v>
      </c>
      <c r="N252">
        <v>1</v>
      </c>
      <c r="O252" t="s">
        <v>53</v>
      </c>
      <c r="P252" s="2">
        <v>0.39930555555555558</v>
      </c>
      <c r="Q252">
        <f>0.0005123203*3600</f>
        <v>1.8443530800000001</v>
      </c>
      <c r="R252">
        <f>-0.0010582228*3600</f>
        <v>-3.8096020799999999</v>
      </c>
    </row>
    <row r="253" spans="1:18" x14ac:dyDescent="0.3">
      <c r="A253" s="4" t="s">
        <v>47</v>
      </c>
      <c r="B253" t="s">
        <v>62</v>
      </c>
      <c r="C253">
        <v>304.68473299999999</v>
      </c>
      <c r="D253">
        <v>295.62526700000001</v>
      </c>
      <c r="E253">
        <v>19.4664</v>
      </c>
      <c r="F253">
        <v>19.417000000000002</v>
      </c>
      <c r="G253">
        <v>0.26100000000000001</v>
      </c>
      <c r="H253">
        <v>0</v>
      </c>
      <c r="I253" t="s">
        <v>0</v>
      </c>
      <c r="J253" t="s">
        <v>50</v>
      </c>
      <c r="K253" t="s">
        <v>51</v>
      </c>
      <c r="L253">
        <v>0</v>
      </c>
      <c r="M253" t="s">
        <v>52</v>
      </c>
      <c r="N253">
        <v>1</v>
      </c>
      <c r="O253" t="s">
        <v>53</v>
      </c>
      <c r="P253" s="2">
        <v>0.40069444444444446</v>
      </c>
      <c r="Q253">
        <f>-0.0008355717*3600</f>
        <v>-3.0080581200000003</v>
      </c>
      <c r="R253">
        <f>0.0006290752*3600</f>
        <v>2.2646707199999998</v>
      </c>
    </row>
    <row r="254" spans="1:18" x14ac:dyDescent="0.3">
      <c r="A254" s="4" t="s">
        <v>47</v>
      </c>
      <c r="B254" t="s">
        <v>62</v>
      </c>
      <c r="C254">
        <v>104.685036</v>
      </c>
      <c r="D254">
        <v>104.374804</v>
      </c>
      <c r="E254">
        <v>19.466000000000001</v>
      </c>
      <c r="F254">
        <v>19.416599999999999</v>
      </c>
      <c r="G254">
        <v>0.26100000000000001</v>
      </c>
      <c r="H254">
        <v>0</v>
      </c>
      <c r="I254" t="s">
        <v>0</v>
      </c>
      <c r="J254" t="s">
        <v>50</v>
      </c>
      <c r="K254" t="s">
        <v>51</v>
      </c>
      <c r="L254">
        <v>0</v>
      </c>
      <c r="M254" t="s">
        <v>52</v>
      </c>
      <c r="N254">
        <v>1</v>
      </c>
      <c r="O254" t="s">
        <v>53</v>
      </c>
      <c r="P254" s="2">
        <v>0.40277777777777773</v>
      </c>
      <c r="Q254">
        <f>0.0002912575*3600</f>
        <v>1.048527</v>
      </c>
      <c r="R254">
        <f>-0.000664421*3600</f>
        <v>-2.3919155999999999</v>
      </c>
    </row>
    <row r="255" spans="1:18" x14ac:dyDescent="0.3">
      <c r="A255" s="4" t="s">
        <v>47</v>
      </c>
      <c r="B255" t="s">
        <v>62</v>
      </c>
      <c r="C255">
        <v>304.68471399999999</v>
      </c>
      <c r="D255">
        <v>295.62530800000002</v>
      </c>
      <c r="E255">
        <v>19.4666</v>
      </c>
      <c r="F255">
        <v>19.417200000000001</v>
      </c>
      <c r="G255">
        <v>0.26100000000000001</v>
      </c>
      <c r="H255">
        <v>0</v>
      </c>
      <c r="I255" t="s">
        <v>0</v>
      </c>
      <c r="J255" t="s">
        <v>50</v>
      </c>
      <c r="K255" t="s">
        <v>51</v>
      </c>
      <c r="L255">
        <v>0</v>
      </c>
      <c r="M255" t="s">
        <v>52</v>
      </c>
      <c r="N255">
        <v>1</v>
      </c>
      <c r="O255" t="s">
        <v>53</v>
      </c>
      <c r="P255" s="2">
        <v>0.40416666666666662</v>
      </c>
      <c r="Q255">
        <f>-0.0012871619*3600</f>
        <v>-4.6337828400000003</v>
      </c>
      <c r="R255">
        <f>0.0005029754*3600</f>
        <v>1.8107114400000002</v>
      </c>
    </row>
    <row r="256" spans="1:18" x14ac:dyDescent="0.3">
      <c r="A256" s="4" t="s">
        <v>47</v>
      </c>
      <c r="B256" t="s">
        <v>62</v>
      </c>
      <c r="C256">
        <v>104.68543099999999</v>
      </c>
      <c r="D256">
        <v>104.37464900000001</v>
      </c>
      <c r="E256">
        <v>19.4664</v>
      </c>
      <c r="F256">
        <v>19.417000000000002</v>
      </c>
      <c r="G256">
        <v>0.26100000000000001</v>
      </c>
      <c r="H256">
        <v>0</v>
      </c>
      <c r="I256" t="s">
        <v>0</v>
      </c>
      <c r="J256" t="s">
        <v>50</v>
      </c>
      <c r="K256" t="s">
        <v>51</v>
      </c>
      <c r="L256">
        <v>0</v>
      </c>
      <c r="M256" t="s">
        <v>52</v>
      </c>
      <c r="N256">
        <v>1</v>
      </c>
      <c r="O256" t="s">
        <v>53</v>
      </c>
      <c r="P256" s="2">
        <v>0.4069444444444445</v>
      </c>
      <c r="Q256">
        <f>0.0004054306*3600</f>
        <v>1.45955016</v>
      </c>
      <c r="R256">
        <f>-0.0008160976*3600</f>
        <v>-2.93795136</v>
      </c>
    </row>
    <row r="257" spans="1:18" x14ac:dyDescent="0.3">
      <c r="A257" s="4" t="s">
        <v>47</v>
      </c>
      <c r="B257" t="s">
        <v>62</v>
      </c>
      <c r="C257">
        <v>304.68473</v>
      </c>
      <c r="D257">
        <v>295.62535100000002</v>
      </c>
      <c r="E257">
        <v>19.4664</v>
      </c>
      <c r="F257">
        <v>19.417000000000002</v>
      </c>
      <c r="G257">
        <v>0.26100000000000001</v>
      </c>
      <c r="H257">
        <v>0</v>
      </c>
      <c r="I257" t="s">
        <v>0</v>
      </c>
      <c r="J257" t="s">
        <v>50</v>
      </c>
      <c r="K257" t="s">
        <v>51</v>
      </c>
      <c r="L257">
        <v>0</v>
      </c>
      <c r="M257" t="s">
        <v>52</v>
      </c>
      <c r="N257">
        <v>1</v>
      </c>
      <c r="O257" t="s">
        <v>53</v>
      </c>
      <c r="P257" s="2">
        <v>0.40763888888888888</v>
      </c>
      <c r="Q257">
        <f>-0.0012673016*3600</f>
        <v>-4.56228576</v>
      </c>
      <c r="R257">
        <f>0.0004561332*3600</f>
        <v>1.64207952</v>
      </c>
    </row>
    <row r="258" spans="1:18" x14ac:dyDescent="0.3">
      <c r="A258" s="4" t="s">
        <v>47</v>
      </c>
      <c r="B258" t="s">
        <v>62</v>
      </c>
      <c r="C258">
        <v>104.68521800000001</v>
      </c>
      <c r="D258">
        <v>104.37487299999999</v>
      </c>
      <c r="E258">
        <v>19.4664</v>
      </c>
      <c r="F258">
        <v>19.417000000000002</v>
      </c>
      <c r="G258">
        <v>0.26100000000000001</v>
      </c>
      <c r="H258">
        <v>0</v>
      </c>
      <c r="I258" t="s">
        <v>0</v>
      </c>
      <c r="J258" t="s">
        <v>50</v>
      </c>
      <c r="K258" t="s">
        <v>51</v>
      </c>
      <c r="L258">
        <v>0</v>
      </c>
      <c r="M258" t="s">
        <v>52</v>
      </c>
      <c r="N258">
        <v>1</v>
      </c>
      <c r="O258" t="s">
        <v>53</v>
      </c>
      <c r="P258" s="2">
        <v>0.40972222222222227</v>
      </c>
      <c r="Q258">
        <f>0.0005014783*3600</f>
        <v>1.8053218799999999</v>
      </c>
      <c r="R258">
        <f>-0.0010711045*3600</f>
        <v>-3.8559761999999997</v>
      </c>
    </row>
    <row r="259" spans="1:18" x14ac:dyDescent="0.3">
      <c r="A259" s="4" t="s">
        <v>47</v>
      </c>
      <c r="B259" t="s">
        <v>62</v>
      </c>
      <c r="C259">
        <v>304.68480499999998</v>
      </c>
      <c r="D259">
        <v>295.62538499999999</v>
      </c>
      <c r="E259">
        <v>19.4665</v>
      </c>
      <c r="F259">
        <v>19.417100000000001</v>
      </c>
      <c r="G259">
        <v>0.26100000000000001</v>
      </c>
      <c r="H259">
        <v>0</v>
      </c>
      <c r="I259" t="s">
        <v>0</v>
      </c>
      <c r="J259" t="s">
        <v>50</v>
      </c>
      <c r="K259" t="s">
        <v>51</v>
      </c>
      <c r="L259">
        <v>0</v>
      </c>
      <c r="M259" t="s">
        <v>52</v>
      </c>
      <c r="N259">
        <v>1</v>
      </c>
      <c r="O259" t="s">
        <v>53</v>
      </c>
      <c r="P259" s="2">
        <v>0.41041666666666665</v>
      </c>
      <c r="Q259">
        <f>-0.0014159105*3600</f>
        <v>-5.0972777999999996</v>
      </c>
      <c r="R259">
        <f>0.0005465654*3600</f>
        <v>1.9676354399999998</v>
      </c>
    </row>
    <row r="260" spans="1:18" x14ac:dyDescent="0.3">
      <c r="A260" s="4" t="s">
        <v>47</v>
      </c>
      <c r="B260" t="s">
        <v>62</v>
      </c>
      <c r="C260">
        <v>104.684758</v>
      </c>
      <c r="D260">
        <v>104.37506500000001</v>
      </c>
      <c r="E260">
        <v>19.4665</v>
      </c>
      <c r="F260">
        <v>19.417100000000001</v>
      </c>
      <c r="G260">
        <v>0.26100000000000001</v>
      </c>
      <c r="H260">
        <v>0</v>
      </c>
      <c r="I260" t="s">
        <v>0</v>
      </c>
      <c r="J260" t="s">
        <v>50</v>
      </c>
      <c r="K260" t="s">
        <v>51</v>
      </c>
      <c r="L260">
        <v>0</v>
      </c>
      <c r="M260" t="s">
        <v>52</v>
      </c>
      <c r="N260">
        <v>1</v>
      </c>
      <c r="O260" t="s">
        <v>53</v>
      </c>
      <c r="P260" s="2">
        <v>0.41250000000000003</v>
      </c>
      <c r="Q260">
        <f>0.0004110307*3600</f>
        <v>1.47971052</v>
      </c>
      <c r="R260">
        <f>-0.0008239756*3600</f>
        <v>-2.9663121600000002</v>
      </c>
    </row>
    <row r="261" spans="1:18" x14ac:dyDescent="0.3">
      <c r="A261" s="4" t="s">
        <v>47</v>
      </c>
      <c r="B261" t="s">
        <v>62</v>
      </c>
      <c r="C261">
        <v>304.68447099999997</v>
      </c>
      <c r="D261">
        <v>295.62532199999998</v>
      </c>
      <c r="E261">
        <v>19.4664</v>
      </c>
      <c r="F261">
        <v>19.417000000000002</v>
      </c>
      <c r="G261">
        <v>0.26100000000000001</v>
      </c>
      <c r="H261">
        <v>0</v>
      </c>
      <c r="I261" t="s">
        <v>0</v>
      </c>
      <c r="J261" t="s">
        <v>50</v>
      </c>
      <c r="K261" t="s">
        <v>51</v>
      </c>
      <c r="L261">
        <v>0</v>
      </c>
      <c r="M261" t="s">
        <v>52</v>
      </c>
      <c r="N261">
        <v>1</v>
      </c>
      <c r="O261" t="s">
        <v>53</v>
      </c>
      <c r="P261" s="2">
        <v>0.41388888888888892</v>
      </c>
      <c r="Q261">
        <f>-0.0013953207*3600</f>
        <v>-5.0231545200000003</v>
      </c>
      <c r="R261">
        <f>0.0004990541*3600</f>
        <v>1.7965947600000001</v>
      </c>
    </row>
    <row r="262" spans="1:18" x14ac:dyDescent="0.3">
      <c r="A262" s="4" t="s">
        <v>47</v>
      </c>
      <c r="B262" t="s">
        <v>62</v>
      </c>
      <c r="C262">
        <v>104.684934</v>
      </c>
      <c r="D262">
        <v>104.374796</v>
      </c>
      <c r="E262">
        <v>19.466000000000001</v>
      </c>
      <c r="F262">
        <v>19.416599999999999</v>
      </c>
      <c r="G262">
        <v>0.26100000000000001</v>
      </c>
      <c r="H262">
        <v>0</v>
      </c>
      <c r="I262" t="s">
        <v>0</v>
      </c>
      <c r="J262" t="s">
        <v>50</v>
      </c>
      <c r="K262" t="s">
        <v>51</v>
      </c>
      <c r="L262">
        <v>0</v>
      </c>
      <c r="M262" t="s">
        <v>52</v>
      </c>
      <c r="N262">
        <v>1</v>
      </c>
      <c r="O262" t="s">
        <v>53</v>
      </c>
      <c r="P262" s="2">
        <v>0.41666666666666669</v>
      </c>
      <c r="Q262">
        <f>0.0004778194*3600</f>
        <v>1.7201498400000002</v>
      </c>
      <c r="R262">
        <f>-0.0007359988*3600</f>
        <v>-2.64959568</v>
      </c>
    </row>
    <row r="263" spans="1:18" x14ac:dyDescent="0.3">
      <c r="A263" s="4" t="s">
        <v>47</v>
      </c>
      <c r="B263" t="s">
        <v>62</v>
      </c>
      <c r="C263">
        <v>304.68452600000001</v>
      </c>
      <c r="D263">
        <v>295.62522200000001</v>
      </c>
      <c r="E263">
        <v>19.466200000000001</v>
      </c>
      <c r="F263">
        <v>19.416799999999999</v>
      </c>
      <c r="G263">
        <v>0.26100000000000001</v>
      </c>
      <c r="H263">
        <v>0</v>
      </c>
      <c r="I263" t="s">
        <v>0</v>
      </c>
      <c r="J263" t="s">
        <v>50</v>
      </c>
      <c r="K263" t="s">
        <v>51</v>
      </c>
      <c r="L263">
        <v>0</v>
      </c>
      <c r="M263" t="s">
        <v>52</v>
      </c>
      <c r="N263">
        <v>1</v>
      </c>
      <c r="O263" t="s">
        <v>53</v>
      </c>
      <c r="P263" s="2">
        <v>0.41805555555555557</v>
      </c>
      <c r="Q263">
        <f>-0.0007291507*3600</f>
        <v>-2.6249425200000003</v>
      </c>
      <c r="R263">
        <f>0.0007158596*3600</f>
        <v>2.5770945599999999</v>
      </c>
    </row>
    <row r="264" spans="1:18" x14ac:dyDescent="0.3">
      <c r="A264" s="4" t="s">
        <v>47</v>
      </c>
      <c r="B264" t="s">
        <v>62</v>
      </c>
      <c r="C264">
        <v>104.685044</v>
      </c>
      <c r="D264">
        <v>104.374785</v>
      </c>
      <c r="E264">
        <v>19.466000000000001</v>
      </c>
      <c r="F264">
        <v>19.416599999999999</v>
      </c>
      <c r="G264">
        <v>0.26100000000000001</v>
      </c>
      <c r="H264">
        <v>0</v>
      </c>
      <c r="I264" t="s">
        <v>0</v>
      </c>
      <c r="J264" t="s">
        <v>50</v>
      </c>
      <c r="K264" t="s">
        <v>51</v>
      </c>
      <c r="L264">
        <v>0</v>
      </c>
      <c r="M264" t="s">
        <v>52</v>
      </c>
      <c r="N264">
        <v>1</v>
      </c>
      <c r="O264" t="s">
        <v>53</v>
      </c>
      <c r="P264" s="2">
        <v>0.42083333333333334</v>
      </c>
      <c r="Q264">
        <f>0.0005864512*3600</f>
        <v>2.1112243199999998</v>
      </c>
      <c r="R264">
        <f>-0.001112674*3600</f>
        <v>-4.0056263999999997</v>
      </c>
    </row>
    <row r="265" spans="1:18" x14ac:dyDescent="0.3">
      <c r="A265" s="4" t="s">
        <v>47</v>
      </c>
      <c r="B265" t="s">
        <v>62</v>
      </c>
      <c r="C265">
        <v>304.68462</v>
      </c>
      <c r="D265">
        <v>295.62531000000001</v>
      </c>
      <c r="E265">
        <v>19.4664</v>
      </c>
      <c r="F265">
        <v>19.417000000000002</v>
      </c>
      <c r="G265">
        <v>0.26100000000000001</v>
      </c>
      <c r="H265">
        <v>0</v>
      </c>
      <c r="I265" t="s">
        <v>0</v>
      </c>
      <c r="J265" t="s">
        <v>50</v>
      </c>
      <c r="K265" t="s">
        <v>51</v>
      </c>
      <c r="L265">
        <v>0</v>
      </c>
      <c r="M265" t="s">
        <v>52</v>
      </c>
      <c r="N265">
        <v>1</v>
      </c>
      <c r="O265" t="s">
        <v>53</v>
      </c>
      <c r="P265" s="2">
        <v>0.42152777777777778</v>
      </c>
      <c r="Q265">
        <f>-0.0015071847*3600</f>
        <v>-5.4258649199999995</v>
      </c>
      <c r="R265">
        <f>0.0005731654*3600</f>
        <v>2.0633954399999999</v>
      </c>
    </row>
    <row r="266" spans="1:18" x14ac:dyDescent="0.3">
      <c r="A266" s="4" t="s">
        <v>47</v>
      </c>
      <c r="B266" t="s">
        <v>62</v>
      </c>
      <c r="C266">
        <v>104.68512</v>
      </c>
      <c r="D266">
        <v>104.37455799999999</v>
      </c>
      <c r="E266">
        <v>19.4663</v>
      </c>
      <c r="F266">
        <v>19.416899999999998</v>
      </c>
      <c r="G266">
        <v>0.26100000000000001</v>
      </c>
      <c r="H266">
        <v>0</v>
      </c>
      <c r="I266" t="s">
        <v>0</v>
      </c>
      <c r="J266" t="s">
        <v>50</v>
      </c>
      <c r="K266" t="s">
        <v>51</v>
      </c>
      <c r="L266">
        <v>0</v>
      </c>
      <c r="M266" t="s">
        <v>52</v>
      </c>
      <c r="N266">
        <v>1</v>
      </c>
      <c r="O266" t="s">
        <v>53</v>
      </c>
      <c r="P266" s="2">
        <v>0.42638888888888887</v>
      </c>
      <c r="Q266">
        <f>0.0005831337*3600</f>
        <v>2.0992813200000002</v>
      </c>
      <c r="R266">
        <f>-0.0008666312*3600</f>
        <v>-3.1198723200000003</v>
      </c>
    </row>
    <row r="267" spans="1:18" x14ac:dyDescent="0.3">
      <c r="A267" s="4" t="s">
        <v>47</v>
      </c>
      <c r="B267" t="s">
        <v>62</v>
      </c>
      <c r="C267">
        <v>304.68482699999998</v>
      </c>
      <c r="D267">
        <v>295.62494900000002</v>
      </c>
      <c r="E267">
        <v>19.4663</v>
      </c>
      <c r="F267">
        <v>19.416899999999998</v>
      </c>
      <c r="G267">
        <v>0.26100000000000001</v>
      </c>
      <c r="H267">
        <v>0</v>
      </c>
      <c r="I267" t="s">
        <v>0</v>
      </c>
      <c r="J267" t="s">
        <v>50</v>
      </c>
      <c r="K267" t="s">
        <v>51</v>
      </c>
      <c r="L267">
        <v>0</v>
      </c>
      <c r="M267" t="s">
        <v>52</v>
      </c>
      <c r="N267">
        <v>1</v>
      </c>
      <c r="O267" t="s">
        <v>53</v>
      </c>
      <c r="P267" s="2">
        <v>0.42777777777777781</v>
      </c>
      <c r="Q267">
        <f>-0.0009227463*3600</f>
        <v>-3.32188668</v>
      </c>
      <c r="R267">
        <f>0.0006982655*3600</f>
        <v>2.5137557999999998</v>
      </c>
    </row>
    <row r="268" spans="1:18" x14ac:dyDescent="0.3">
      <c r="A268" s="4" t="s">
        <v>47</v>
      </c>
      <c r="B268" t="s">
        <v>62</v>
      </c>
      <c r="C268">
        <v>104.685377</v>
      </c>
      <c r="D268">
        <v>104.374617</v>
      </c>
      <c r="E268">
        <v>19.466100000000001</v>
      </c>
      <c r="F268">
        <v>19.416699999999999</v>
      </c>
      <c r="G268">
        <v>0.26100000000000001</v>
      </c>
      <c r="H268">
        <v>0</v>
      </c>
      <c r="I268" t="s">
        <v>0</v>
      </c>
      <c r="J268" t="s">
        <v>50</v>
      </c>
      <c r="K268" t="s">
        <v>51</v>
      </c>
      <c r="L268">
        <v>0</v>
      </c>
      <c r="M268" t="s">
        <v>52</v>
      </c>
      <c r="N268">
        <v>1</v>
      </c>
      <c r="O268" t="s">
        <v>53</v>
      </c>
      <c r="P268" s="2">
        <v>0.4291666666666667</v>
      </c>
      <c r="Q268">
        <f>0.0004915549*3600</f>
        <v>1.7695976400000002</v>
      </c>
      <c r="R268">
        <f>-0.0012923095*3600</f>
        <v>-4.6523141999999993</v>
      </c>
    </row>
    <row r="269" spans="1:18" x14ac:dyDescent="0.3">
      <c r="A269" s="4" t="s">
        <v>47</v>
      </c>
      <c r="B269" t="s">
        <v>62</v>
      </c>
      <c r="C269">
        <v>304.685067</v>
      </c>
      <c r="D269">
        <v>295.625113</v>
      </c>
      <c r="E269">
        <v>19.4663</v>
      </c>
      <c r="F269">
        <v>19.416899999999998</v>
      </c>
      <c r="G269">
        <v>0.26100000000000001</v>
      </c>
      <c r="H269">
        <v>0</v>
      </c>
      <c r="I269" t="s">
        <v>0</v>
      </c>
      <c r="J269" t="s">
        <v>50</v>
      </c>
      <c r="K269" t="s">
        <v>51</v>
      </c>
      <c r="L269">
        <v>0</v>
      </c>
      <c r="M269" t="s">
        <v>52</v>
      </c>
      <c r="N269">
        <v>1</v>
      </c>
      <c r="O269" t="s">
        <v>53</v>
      </c>
      <c r="P269" s="2">
        <v>0.42986111111111108</v>
      </c>
      <c r="Q269">
        <f>-0.0009477722*3600</f>
        <v>-3.4119799199999998</v>
      </c>
      <c r="R269">
        <f>0.0007269425*3600</f>
        <v>2.6169929999999999</v>
      </c>
    </row>
    <row r="270" spans="1:18" x14ac:dyDescent="0.3">
      <c r="A270" s="4" t="s">
        <v>47</v>
      </c>
      <c r="B270" t="s">
        <v>62</v>
      </c>
      <c r="C270">
        <v>104.684782</v>
      </c>
      <c r="D270">
        <v>104.37497999999999</v>
      </c>
      <c r="E270">
        <v>19.4663</v>
      </c>
      <c r="F270">
        <v>19.416899999999998</v>
      </c>
      <c r="G270">
        <v>0.26100000000000001</v>
      </c>
      <c r="H270">
        <v>0</v>
      </c>
      <c r="I270" t="s">
        <v>0</v>
      </c>
      <c r="J270" t="s">
        <v>50</v>
      </c>
      <c r="K270" t="s">
        <v>51</v>
      </c>
      <c r="L270">
        <v>0</v>
      </c>
      <c r="M270" t="s">
        <v>52</v>
      </c>
      <c r="N270">
        <v>1</v>
      </c>
      <c r="O270" t="s">
        <v>53</v>
      </c>
      <c r="P270" s="2">
        <v>0.43194444444444446</v>
      </c>
      <c r="Q270">
        <f>0.0004288961*3600</f>
        <v>1.5440259599999999</v>
      </c>
      <c r="R270">
        <f>-0.0012455552*3600</f>
        <v>-4.4839987199999998</v>
      </c>
    </row>
    <row r="271" spans="1:18" x14ac:dyDescent="0.3">
      <c r="A271" s="4" t="s">
        <v>47</v>
      </c>
      <c r="B271" t="s">
        <v>62</v>
      </c>
      <c r="C271">
        <v>304.68449600000002</v>
      </c>
      <c r="D271">
        <v>295.62544700000001</v>
      </c>
      <c r="E271">
        <v>19.4666</v>
      </c>
      <c r="F271">
        <v>19.417200000000001</v>
      </c>
      <c r="G271">
        <v>0.26100000000000001</v>
      </c>
      <c r="H271">
        <v>0</v>
      </c>
      <c r="I271" t="s">
        <v>0</v>
      </c>
      <c r="J271" t="s">
        <v>50</v>
      </c>
      <c r="K271" t="s">
        <v>51</v>
      </c>
      <c r="L271">
        <v>0</v>
      </c>
      <c r="M271" t="s">
        <v>52</v>
      </c>
      <c r="N271">
        <v>1</v>
      </c>
      <c r="O271" t="s">
        <v>53</v>
      </c>
      <c r="P271" s="2">
        <v>0.43263888888888885</v>
      </c>
      <c r="Q271">
        <f>-0.0016167231*3600</f>
        <v>-5.8202031600000002</v>
      </c>
      <c r="R271">
        <f>0.0007031343*3600</f>
        <v>2.5312834799999999</v>
      </c>
    </row>
    <row r="272" spans="1:18" x14ac:dyDescent="0.3">
      <c r="A272" s="4" t="s">
        <v>47</v>
      </c>
      <c r="B272" t="s">
        <v>62</v>
      </c>
      <c r="C272">
        <v>104.685033</v>
      </c>
      <c r="D272">
        <v>104.37482</v>
      </c>
      <c r="E272">
        <v>19.4665</v>
      </c>
      <c r="F272">
        <v>19.417100000000001</v>
      </c>
      <c r="G272">
        <v>0.26100000000000001</v>
      </c>
      <c r="H272">
        <v>0</v>
      </c>
      <c r="I272" t="s">
        <v>0</v>
      </c>
      <c r="J272" t="s">
        <v>50</v>
      </c>
      <c r="K272" t="s">
        <v>51</v>
      </c>
      <c r="L272">
        <v>0</v>
      </c>
      <c r="M272" t="s">
        <v>52</v>
      </c>
      <c r="N272">
        <v>1</v>
      </c>
      <c r="O272" t="s">
        <v>53</v>
      </c>
      <c r="P272" s="2">
        <v>0.43402777777777773</v>
      </c>
      <c r="Q272">
        <f>0.0004051138*3600</f>
        <v>1.4584096800000002</v>
      </c>
      <c r="R272">
        <f>-0.001223823*3600</f>
        <v>-4.4057627999999998</v>
      </c>
    </row>
    <row r="273" spans="1:18" x14ac:dyDescent="0.3">
      <c r="A273" s="4" t="s">
        <v>47</v>
      </c>
      <c r="B273" t="s">
        <v>62</v>
      </c>
      <c r="C273">
        <v>304.68495200000001</v>
      </c>
      <c r="D273">
        <v>295.62506200000001</v>
      </c>
      <c r="E273">
        <v>19.466200000000001</v>
      </c>
      <c r="F273">
        <v>19.416799999999999</v>
      </c>
      <c r="G273">
        <v>0.26100000000000001</v>
      </c>
      <c r="H273">
        <v>0</v>
      </c>
      <c r="I273" t="s">
        <v>0</v>
      </c>
      <c r="J273" t="s">
        <v>50</v>
      </c>
      <c r="K273" t="s">
        <v>51</v>
      </c>
      <c r="L273">
        <v>0</v>
      </c>
      <c r="M273" t="s">
        <v>52</v>
      </c>
      <c r="N273">
        <v>1</v>
      </c>
      <c r="O273" t="s">
        <v>53</v>
      </c>
      <c r="P273" s="2">
        <v>0.43541666666666662</v>
      </c>
      <c r="Q273">
        <f>-0.0009844902*3600</f>
        <v>-3.5441647199999999</v>
      </c>
      <c r="R273">
        <f>0.0007170001*3600</f>
        <v>2.58120036</v>
      </c>
    </row>
    <row r="274" spans="1:18" x14ac:dyDescent="0.3">
      <c r="A274" s="4" t="s">
        <v>47</v>
      </c>
      <c r="B274" t="s">
        <v>62</v>
      </c>
      <c r="C274">
        <v>104.684918</v>
      </c>
      <c r="D274">
        <v>104.375039</v>
      </c>
      <c r="E274">
        <v>19.4664</v>
      </c>
      <c r="F274">
        <v>19.417000000000002</v>
      </c>
      <c r="G274">
        <v>0.26100000000000001</v>
      </c>
      <c r="H274">
        <v>0</v>
      </c>
      <c r="I274" t="s">
        <v>0</v>
      </c>
      <c r="J274" t="s">
        <v>50</v>
      </c>
      <c r="K274" t="s">
        <v>51</v>
      </c>
      <c r="L274">
        <v>0</v>
      </c>
      <c r="M274" t="s">
        <v>52</v>
      </c>
      <c r="N274">
        <v>1</v>
      </c>
      <c r="O274" t="s">
        <v>53</v>
      </c>
      <c r="P274" s="2">
        <v>0.4368055555555555</v>
      </c>
      <c r="Q274">
        <f>0.0004691308*3600</f>
        <v>1.6888708800000001</v>
      </c>
      <c r="R274">
        <f>-0.0012595089*3600</f>
        <v>-4.53423204</v>
      </c>
    </row>
    <row r="275" spans="1:18" x14ac:dyDescent="0.3">
      <c r="A275" s="4" t="s">
        <v>47</v>
      </c>
      <c r="B275" t="s">
        <v>62</v>
      </c>
      <c r="C275">
        <v>304.68487900000002</v>
      </c>
      <c r="D275">
        <v>295.62504300000001</v>
      </c>
      <c r="E275">
        <v>19.4664</v>
      </c>
      <c r="F275">
        <v>19.417000000000002</v>
      </c>
      <c r="G275">
        <v>0.26100000000000001</v>
      </c>
      <c r="H275">
        <v>0</v>
      </c>
      <c r="I275" t="s">
        <v>0</v>
      </c>
      <c r="J275" t="s">
        <v>50</v>
      </c>
      <c r="K275" t="s">
        <v>51</v>
      </c>
      <c r="L275">
        <v>0</v>
      </c>
      <c r="M275" t="s">
        <v>52</v>
      </c>
      <c r="N275">
        <v>1</v>
      </c>
      <c r="O275" t="s">
        <v>53</v>
      </c>
      <c r="P275" s="2">
        <v>0.4375</v>
      </c>
      <c r="Q275">
        <f>-0.0011119872*3600</f>
        <v>-4.0031539199999999</v>
      </c>
      <c r="R275">
        <f>0.0007940717*3600</f>
        <v>2.8586581199999999</v>
      </c>
    </row>
    <row r="276" spans="1:18" x14ac:dyDescent="0.3">
      <c r="A276" s="4" t="s">
        <v>47</v>
      </c>
      <c r="B276" t="s">
        <v>62</v>
      </c>
      <c r="C276">
        <v>104.685435</v>
      </c>
      <c r="D276">
        <v>104.374579</v>
      </c>
      <c r="E276">
        <v>19.466200000000001</v>
      </c>
      <c r="F276">
        <v>19.416799999999999</v>
      </c>
      <c r="G276">
        <v>0.26100000000000001</v>
      </c>
      <c r="H276">
        <v>0</v>
      </c>
      <c r="I276" t="s">
        <v>0</v>
      </c>
      <c r="J276" t="s">
        <v>50</v>
      </c>
      <c r="K276" t="s">
        <v>51</v>
      </c>
      <c r="L276">
        <v>0</v>
      </c>
      <c r="M276" t="s">
        <v>52</v>
      </c>
      <c r="N276">
        <v>1</v>
      </c>
      <c r="O276" t="s">
        <v>53</v>
      </c>
      <c r="P276" s="2">
        <v>0.44097222222222227</v>
      </c>
      <c r="Q276">
        <f>0.0005777148*3600</f>
        <v>2.0797732799999999</v>
      </c>
      <c r="R276">
        <f>-0.001444448*3600</f>
        <v>-5.2000128000000005</v>
      </c>
    </row>
    <row r="277" spans="1:18" x14ac:dyDescent="0.3">
      <c r="A277" s="4" t="s">
        <v>47</v>
      </c>
      <c r="B277" t="s">
        <v>62</v>
      </c>
      <c r="C277">
        <v>304.684707</v>
      </c>
      <c r="D277">
        <v>295.62505299999998</v>
      </c>
      <c r="E277">
        <v>19.4663</v>
      </c>
      <c r="F277">
        <v>19.416899999999998</v>
      </c>
      <c r="G277">
        <v>0.26100000000000001</v>
      </c>
      <c r="H277">
        <v>0</v>
      </c>
      <c r="I277" t="s">
        <v>0</v>
      </c>
      <c r="J277" t="s">
        <v>50</v>
      </c>
      <c r="K277" t="s">
        <v>51</v>
      </c>
      <c r="L277">
        <v>0</v>
      </c>
      <c r="M277" t="s">
        <v>52</v>
      </c>
      <c r="N277">
        <v>1</v>
      </c>
      <c r="O277" t="s">
        <v>53</v>
      </c>
      <c r="P277" s="2">
        <v>0.44236111111111115</v>
      </c>
      <c r="Q277">
        <f>-0.0011862101*3600</f>
        <v>-4.2703563600000001</v>
      </c>
      <c r="R277">
        <f>0.000753806*3600</f>
        <v>2.7137015999999998</v>
      </c>
    </row>
    <row r="278" spans="1:18" x14ac:dyDescent="0.3">
      <c r="A278" s="4" t="s">
        <v>47</v>
      </c>
      <c r="B278" t="s">
        <v>62</v>
      </c>
      <c r="C278">
        <v>104.685317</v>
      </c>
      <c r="D278">
        <v>104.374662</v>
      </c>
      <c r="E278">
        <v>19.4665</v>
      </c>
      <c r="F278">
        <v>19.417100000000001</v>
      </c>
      <c r="G278">
        <v>0.26100000000000001</v>
      </c>
      <c r="H278">
        <v>0</v>
      </c>
      <c r="I278" t="s">
        <v>0</v>
      </c>
      <c r="J278" t="s">
        <v>50</v>
      </c>
      <c r="K278" t="s">
        <v>51</v>
      </c>
      <c r="L278">
        <v>0</v>
      </c>
      <c r="M278" t="s">
        <v>52</v>
      </c>
      <c r="N278">
        <v>1</v>
      </c>
      <c r="O278" t="s">
        <v>53</v>
      </c>
      <c r="P278" s="2">
        <v>0.44375000000000003</v>
      </c>
      <c r="Q278">
        <f>0.0005261733*3600</f>
        <v>1.89422388</v>
      </c>
      <c r="R278">
        <f>-0.0015100069*3600</f>
        <v>-5.43602484</v>
      </c>
    </row>
    <row r="279" spans="1:18" x14ac:dyDescent="0.3">
      <c r="A279" s="4" t="s">
        <v>47</v>
      </c>
      <c r="B279" t="s">
        <v>62</v>
      </c>
      <c r="C279">
        <v>304.68463800000001</v>
      </c>
      <c r="D279">
        <v>295.62500399999999</v>
      </c>
      <c r="E279">
        <v>19.4663</v>
      </c>
      <c r="F279">
        <v>19.416899999999998</v>
      </c>
      <c r="G279">
        <v>0.26100000000000001</v>
      </c>
      <c r="H279">
        <v>0</v>
      </c>
      <c r="I279" t="s">
        <v>0</v>
      </c>
      <c r="J279" t="s">
        <v>50</v>
      </c>
      <c r="K279" t="s">
        <v>51</v>
      </c>
      <c r="L279">
        <v>0</v>
      </c>
      <c r="M279" t="s">
        <v>52</v>
      </c>
      <c r="N279">
        <v>1</v>
      </c>
      <c r="O279" t="s">
        <v>53</v>
      </c>
      <c r="P279" s="2">
        <v>0.44444444444444442</v>
      </c>
      <c r="Q279">
        <f>-0.0011739496*3600</f>
        <v>-4.2262185600000004</v>
      </c>
      <c r="R279">
        <f>0.0008003027*3600</f>
        <v>2.8810897200000003</v>
      </c>
    </row>
    <row r="280" spans="1:18" x14ac:dyDescent="0.3">
      <c r="A280" s="4" t="s">
        <v>47</v>
      </c>
      <c r="B280" t="s">
        <v>63</v>
      </c>
      <c r="C280">
        <v>99.124284000000003</v>
      </c>
      <c r="D280">
        <v>109.328965</v>
      </c>
      <c r="E280">
        <v>8.0452999999999992</v>
      </c>
      <c r="F280">
        <v>7.9576000000000002</v>
      </c>
      <c r="G280">
        <v>0.26100000000000001</v>
      </c>
      <c r="H280">
        <v>0</v>
      </c>
      <c r="I280" t="s">
        <v>0</v>
      </c>
      <c r="J280" t="s">
        <v>59</v>
      </c>
      <c r="K280">
        <v>3.4000000000000002E-2</v>
      </c>
      <c r="L280" t="s">
        <v>60</v>
      </c>
      <c r="M280">
        <v>1</v>
      </c>
      <c r="N280" t="s">
        <v>53</v>
      </c>
      <c r="O280" s="2">
        <v>0.3756944444444445</v>
      </c>
      <c r="P280">
        <f>0.0003982905*3600</f>
        <v>1.4338458000000001</v>
      </c>
      <c r="Q280">
        <f>-0.0008696482*3600</f>
        <v>-3.1307335199999997</v>
      </c>
    </row>
    <row r="281" spans="1:18" x14ac:dyDescent="0.3">
      <c r="A281" s="4" t="s">
        <v>47</v>
      </c>
      <c r="B281" t="s">
        <v>63</v>
      </c>
      <c r="C281">
        <v>299.12399699999997</v>
      </c>
      <c r="D281">
        <v>290.67212699999999</v>
      </c>
      <c r="E281">
        <v>8.0444999999999993</v>
      </c>
      <c r="F281">
        <v>7.9568000000000003</v>
      </c>
      <c r="G281">
        <v>0.26100000000000001</v>
      </c>
      <c r="H281">
        <v>0</v>
      </c>
      <c r="I281" t="s">
        <v>0</v>
      </c>
      <c r="J281" t="s">
        <v>59</v>
      </c>
      <c r="K281">
        <v>3.4000000000000002E-2</v>
      </c>
      <c r="L281" t="s">
        <v>60</v>
      </c>
      <c r="M281">
        <v>1</v>
      </c>
      <c r="N281" t="s">
        <v>53</v>
      </c>
      <c r="O281" s="2">
        <v>0.37777777777777777</v>
      </c>
      <c r="P281">
        <f>-0.0009988018*3600</f>
        <v>-3.5956864799999999</v>
      </c>
      <c r="Q281">
        <f>0.0005052893*3600</f>
        <v>1.8190414800000001</v>
      </c>
    </row>
    <row r="282" spans="1:18" x14ac:dyDescent="0.3">
      <c r="A282" s="4" t="s">
        <v>47</v>
      </c>
      <c r="B282" t="s">
        <v>63</v>
      </c>
      <c r="C282">
        <v>99.124937000000003</v>
      </c>
      <c r="D282">
        <v>109.32933300000001</v>
      </c>
      <c r="E282">
        <v>8.0451999999999995</v>
      </c>
      <c r="F282">
        <v>7.9574999999999996</v>
      </c>
      <c r="G282">
        <v>0.26100000000000001</v>
      </c>
      <c r="H282">
        <v>0</v>
      </c>
      <c r="I282" t="s">
        <v>0</v>
      </c>
      <c r="J282" t="s">
        <v>59</v>
      </c>
      <c r="K282">
        <v>3.4000000000000002E-2</v>
      </c>
      <c r="L282" t="s">
        <v>60</v>
      </c>
      <c r="M282">
        <v>1</v>
      </c>
      <c r="N282" t="s">
        <v>53</v>
      </c>
      <c r="O282" s="2">
        <v>0.37916666666666665</v>
      </c>
      <c r="P282">
        <f>0.000263926*3600</f>
        <v>0.95013360000000002</v>
      </c>
      <c r="Q282">
        <f>-0.0010030846*3600</f>
        <v>-3.6111045599999998</v>
      </c>
    </row>
    <row r="283" spans="1:18" x14ac:dyDescent="0.3">
      <c r="A283" s="4" t="s">
        <v>47</v>
      </c>
      <c r="B283" t="s">
        <v>63</v>
      </c>
      <c r="C283">
        <v>299.12424800000002</v>
      </c>
      <c r="D283">
        <v>290.669937</v>
      </c>
      <c r="E283">
        <v>8.0448000000000004</v>
      </c>
      <c r="F283">
        <v>7.9570999999999996</v>
      </c>
      <c r="G283">
        <v>0.26100000000000001</v>
      </c>
      <c r="H283">
        <v>0</v>
      </c>
      <c r="I283" t="s">
        <v>0</v>
      </c>
      <c r="J283" t="s">
        <v>59</v>
      </c>
      <c r="K283">
        <v>3.4000000000000002E-2</v>
      </c>
      <c r="L283" t="s">
        <v>60</v>
      </c>
      <c r="M283">
        <v>1</v>
      </c>
      <c r="N283" t="s">
        <v>53</v>
      </c>
      <c r="O283" s="2">
        <v>0.38055555555555554</v>
      </c>
      <c r="P283">
        <f>-0.0003831633*3600</f>
        <v>-1.3793878799999999</v>
      </c>
      <c r="Q283">
        <f>0.0007923638*3600</f>
        <v>2.8525096799999998</v>
      </c>
    </row>
    <row r="284" spans="1:18" x14ac:dyDescent="0.3">
      <c r="A284" s="4" t="s">
        <v>47</v>
      </c>
      <c r="B284" t="s">
        <v>63</v>
      </c>
      <c r="C284">
        <v>99.124216000000004</v>
      </c>
      <c r="D284">
        <v>109.327929</v>
      </c>
      <c r="E284">
        <v>8.0452999999999992</v>
      </c>
      <c r="F284">
        <v>7.9576000000000002</v>
      </c>
      <c r="G284">
        <v>0.26100000000000001</v>
      </c>
      <c r="H284">
        <v>0</v>
      </c>
      <c r="I284" t="s">
        <v>0</v>
      </c>
      <c r="J284" t="s">
        <v>59</v>
      </c>
      <c r="K284">
        <v>3.4000000000000002E-2</v>
      </c>
      <c r="L284" t="s">
        <v>60</v>
      </c>
      <c r="M284">
        <v>1</v>
      </c>
      <c r="N284" t="s">
        <v>53</v>
      </c>
      <c r="O284" s="2">
        <v>0.3833333333333333</v>
      </c>
      <c r="P284">
        <f>0.0002031815*3600</f>
        <v>0.73145340000000003</v>
      </c>
      <c r="Q284">
        <f>-0.0005951487*3600</f>
        <v>-2.1425353199999999</v>
      </c>
    </row>
    <row r="285" spans="1:18" x14ac:dyDescent="0.3">
      <c r="A285" s="4" t="s">
        <v>47</v>
      </c>
      <c r="B285" t="s">
        <v>63</v>
      </c>
      <c r="C285">
        <v>299.12426399999998</v>
      </c>
      <c r="D285">
        <v>290.67102799999998</v>
      </c>
      <c r="E285">
        <v>8.0447000000000006</v>
      </c>
      <c r="F285">
        <v>7.9569999999999999</v>
      </c>
      <c r="G285">
        <v>0.26100000000000001</v>
      </c>
      <c r="H285">
        <v>0</v>
      </c>
      <c r="I285" t="s">
        <v>0</v>
      </c>
      <c r="J285" t="s">
        <v>59</v>
      </c>
      <c r="K285">
        <v>3.4000000000000002E-2</v>
      </c>
      <c r="L285" t="s">
        <v>60</v>
      </c>
      <c r="M285">
        <v>1</v>
      </c>
      <c r="N285" t="s">
        <v>53</v>
      </c>
      <c r="O285" s="2">
        <v>0.3840277777777778</v>
      </c>
      <c r="P285">
        <f>-0.0010566953*3600</f>
        <v>-3.80410308</v>
      </c>
      <c r="Q285">
        <f>0.0004782866*3600</f>
        <v>1.7218317599999999</v>
      </c>
    </row>
    <row r="286" spans="1:18" x14ac:dyDescent="0.3">
      <c r="A286" s="4" t="s">
        <v>47</v>
      </c>
      <c r="B286" t="s">
        <v>63</v>
      </c>
      <c r="C286">
        <v>99.125641000000002</v>
      </c>
      <c r="D286">
        <v>109.329412</v>
      </c>
      <c r="E286">
        <v>8.0452999999999992</v>
      </c>
      <c r="F286">
        <v>7.9576000000000002</v>
      </c>
      <c r="G286">
        <v>0.26100000000000001</v>
      </c>
      <c r="H286">
        <v>0</v>
      </c>
      <c r="I286" t="s">
        <v>0</v>
      </c>
      <c r="J286" t="s">
        <v>59</v>
      </c>
      <c r="K286">
        <v>3.4000000000000002E-2</v>
      </c>
      <c r="L286" t="s">
        <v>60</v>
      </c>
      <c r="M286">
        <v>1</v>
      </c>
      <c r="N286" t="s">
        <v>53</v>
      </c>
      <c r="O286" s="2">
        <v>0.38819444444444445</v>
      </c>
      <c r="P286">
        <f>0.0002624472*3600</f>
        <v>0.94480991999999997</v>
      </c>
      <c r="Q286">
        <f>-0.0005195893*3600</f>
        <v>-1.8705214799999998</v>
      </c>
    </row>
    <row r="287" spans="1:18" x14ac:dyDescent="0.3">
      <c r="A287" s="4" t="s">
        <v>47</v>
      </c>
      <c r="B287" t="s">
        <v>63</v>
      </c>
      <c r="C287">
        <v>299.123603</v>
      </c>
      <c r="D287">
        <v>290.67200600000001</v>
      </c>
      <c r="E287">
        <v>8.0448000000000004</v>
      </c>
      <c r="F287">
        <v>7.9570999999999996</v>
      </c>
      <c r="G287">
        <v>0.26100000000000001</v>
      </c>
      <c r="H287">
        <v>0</v>
      </c>
      <c r="I287" t="s">
        <v>0</v>
      </c>
      <c r="J287" t="s">
        <v>59</v>
      </c>
      <c r="K287">
        <v>3.4000000000000002E-2</v>
      </c>
      <c r="L287" t="s">
        <v>60</v>
      </c>
      <c r="M287">
        <v>1</v>
      </c>
      <c r="N287" t="s">
        <v>53</v>
      </c>
      <c r="O287" s="2">
        <v>0.3888888888888889</v>
      </c>
      <c r="P287">
        <f>-0.0011170991*3600</f>
        <v>-4.0215567599999993</v>
      </c>
      <c r="Q287">
        <f>0.0004514872*3600</f>
        <v>1.62535392</v>
      </c>
    </row>
    <row r="288" spans="1:18" x14ac:dyDescent="0.3">
      <c r="A288" s="4" t="s">
        <v>47</v>
      </c>
      <c r="B288" t="s">
        <v>63</v>
      </c>
      <c r="C288">
        <v>99.125777999999997</v>
      </c>
      <c r="D288">
        <v>109.32786400000001</v>
      </c>
      <c r="E288">
        <v>8.0449999999999999</v>
      </c>
      <c r="F288">
        <v>7.9573</v>
      </c>
      <c r="G288">
        <v>0.26100000000000001</v>
      </c>
      <c r="H288">
        <v>0</v>
      </c>
      <c r="I288" t="s">
        <v>0</v>
      </c>
      <c r="J288" t="s">
        <v>59</v>
      </c>
      <c r="K288">
        <v>3.4000000000000002E-2</v>
      </c>
      <c r="L288" t="s">
        <v>60</v>
      </c>
      <c r="M288">
        <v>1</v>
      </c>
      <c r="N288" t="s">
        <v>53</v>
      </c>
      <c r="O288" s="2">
        <v>0.39305555555555555</v>
      </c>
      <c r="P288">
        <f>0.0002942082*3600</f>
        <v>1.0591495200000001</v>
      </c>
      <c r="Q288">
        <f>-0.0011078293*3600</f>
        <v>-3.9881854799999998</v>
      </c>
    </row>
    <row r="289" spans="1:17" x14ac:dyDescent="0.3">
      <c r="A289" s="4" t="s">
        <v>47</v>
      </c>
      <c r="B289" t="s">
        <v>63</v>
      </c>
      <c r="C289">
        <v>299.122885</v>
      </c>
      <c r="D289">
        <v>290.66692999999998</v>
      </c>
      <c r="E289">
        <v>8.0449999999999999</v>
      </c>
      <c r="F289">
        <v>7.9572000000000003</v>
      </c>
      <c r="G289">
        <v>0.26100000000000001</v>
      </c>
      <c r="H289">
        <v>0</v>
      </c>
      <c r="I289" t="s">
        <v>0</v>
      </c>
      <c r="J289" t="s">
        <v>59</v>
      </c>
      <c r="K289">
        <v>3.4000000000000002E-2</v>
      </c>
      <c r="L289" t="s">
        <v>60</v>
      </c>
      <c r="M289">
        <v>1</v>
      </c>
      <c r="N289" t="s">
        <v>53</v>
      </c>
      <c r="O289" s="2">
        <v>0.39374999999999999</v>
      </c>
      <c r="P289">
        <f>-0.0006644168*3600</f>
        <v>-2.3919004799999999</v>
      </c>
      <c r="Q289">
        <f>0.0007227374*3600</f>
        <v>2.60185464</v>
      </c>
    </row>
    <row r="290" spans="1:17" x14ac:dyDescent="0.3">
      <c r="A290" s="4" t="s">
        <v>47</v>
      </c>
      <c r="B290" t="s">
        <v>63</v>
      </c>
      <c r="C290">
        <v>99.125567000000004</v>
      </c>
      <c r="D290">
        <v>109.325457</v>
      </c>
      <c r="E290">
        <v>8.0451999999999995</v>
      </c>
      <c r="F290">
        <v>7.9576000000000002</v>
      </c>
      <c r="G290">
        <v>0.26100000000000001</v>
      </c>
      <c r="H290">
        <v>0</v>
      </c>
      <c r="I290" t="s">
        <v>0</v>
      </c>
      <c r="J290" t="s">
        <v>59</v>
      </c>
      <c r="K290">
        <v>3.4000000000000002E-2</v>
      </c>
      <c r="L290" t="s">
        <v>60</v>
      </c>
      <c r="M290">
        <v>1</v>
      </c>
      <c r="N290" t="s">
        <v>53</v>
      </c>
      <c r="O290" s="2">
        <v>0.39583333333333331</v>
      </c>
      <c r="P290">
        <f>0.0004514934*3600</f>
        <v>1.62537624</v>
      </c>
      <c r="Q290">
        <f>-0.0010341752*3600</f>
        <v>-3.7230307200000001</v>
      </c>
    </row>
    <row r="291" spans="1:17" x14ac:dyDescent="0.3">
      <c r="A291" s="4" t="s">
        <v>47</v>
      </c>
      <c r="B291" t="s">
        <v>63</v>
      </c>
      <c r="C291">
        <v>299.12365599999998</v>
      </c>
      <c r="D291">
        <v>290.67210899999998</v>
      </c>
      <c r="E291">
        <v>8.0446000000000009</v>
      </c>
      <c r="F291">
        <v>7.9569000000000001</v>
      </c>
      <c r="G291">
        <v>0.26100000000000001</v>
      </c>
      <c r="H291">
        <v>0</v>
      </c>
      <c r="I291" t="s">
        <v>0</v>
      </c>
      <c r="J291" t="s">
        <v>59</v>
      </c>
      <c r="K291">
        <v>3.4000000000000002E-2</v>
      </c>
      <c r="L291" t="s">
        <v>60</v>
      </c>
      <c r="M291">
        <v>1</v>
      </c>
      <c r="N291" t="s">
        <v>53</v>
      </c>
      <c r="O291" s="2">
        <v>0.3972222222222222</v>
      </c>
      <c r="P291">
        <f>-0.0006688744*3600</f>
        <v>-2.4079478399999998</v>
      </c>
      <c r="Q291">
        <f>0.0007136168*3600</f>
        <v>2.5690204799999998</v>
      </c>
    </row>
    <row r="292" spans="1:17" x14ac:dyDescent="0.3">
      <c r="A292" s="4" t="s">
        <v>47</v>
      </c>
      <c r="B292" t="s">
        <v>63</v>
      </c>
      <c r="C292">
        <v>99.125564999999995</v>
      </c>
      <c r="D292">
        <v>109.333073</v>
      </c>
      <c r="E292">
        <v>8.0455000000000005</v>
      </c>
      <c r="F292">
        <v>7.9577</v>
      </c>
      <c r="G292">
        <v>0.26100000000000001</v>
      </c>
      <c r="H292">
        <v>0</v>
      </c>
      <c r="I292" t="s">
        <v>0</v>
      </c>
      <c r="J292" t="s">
        <v>59</v>
      </c>
      <c r="K292">
        <v>3.4000000000000002E-2</v>
      </c>
      <c r="L292" t="s">
        <v>60</v>
      </c>
      <c r="M292">
        <v>1</v>
      </c>
      <c r="N292" t="s">
        <v>53</v>
      </c>
      <c r="O292" s="2">
        <v>0.39999999999999997</v>
      </c>
      <c r="P292">
        <f>0.0004007497*3600</f>
        <v>1.44269892</v>
      </c>
      <c r="Q292">
        <f>-0.0011680139*3600</f>
        <v>-4.2048500400000002</v>
      </c>
    </row>
    <row r="293" spans="1:17" x14ac:dyDescent="0.3">
      <c r="A293" s="4" t="s">
        <v>47</v>
      </c>
      <c r="B293" t="s">
        <v>63</v>
      </c>
      <c r="C293">
        <v>299.12390299999998</v>
      </c>
      <c r="D293">
        <v>290.67015900000001</v>
      </c>
      <c r="E293">
        <v>8.0448000000000004</v>
      </c>
      <c r="F293">
        <v>7.9570999999999996</v>
      </c>
      <c r="G293">
        <v>0.26100000000000001</v>
      </c>
      <c r="H293">
        <v>0</v>
      </c>
      <c r="I293" t="s">
        <v>0</v>
      </c>
      <c r="J293" t="s">
        <v>59</v>
      </c>
      <c r="K293">
        <v>3.4000000000000002E-2</v>
      </c>
      <c r="L293" t="s">
        <v>60</v>
      </c>
      <c r="M293">
        <v>1</v>
      </c>
      <c r="N293" t="s">
        <v>53</v>
      </c>
      <c r="O293" s="2">
        <v>0.40069444444444446</v>
      </c>
      <c r="P293">
        <f>-0.0007574516*3600</f>
        <v>-2.7268257600000001</v>
      </c>
      <c r="Q293">
        <f>0.000716488*3600</f>
        <v>2.5793568000000002</v>
      </c>
    </row>
    <row r="294" spans="1:17" x14ac:dyDescent="0.3">
      <c r="A294" s="4" t="s">
        <v>47</v>
      </c>
      <c r="B294" t="s">
        <v>63</v>
      </c>
      <c r="C294">
        <v>99.126227</v>
      </c>
      <c r="D294">
        <v>109.327089</v>
      </c>
      <c r="E294">
        <v>8.0451999999999995</v>
      </c>
      <c r="F294">
        <v>7.9574999999999996</v>
      </c>
      <c r="G294">
        <v>0.26100000000000001</v>
      </c>
      <c r="H294">
        <v>0</v>
      </c>
      <c r="I294" t="s">
        <v>0</v>
      </c>
      <c r="J294" t="s">
        <v>59</v>
      </c>
      <c r="K294">
        <v>3.4000000000000002E-2</v>
      </c>
      <c r="L294" t="s">
        <v>60</v>
      </c>
      <c r="M294">
        <v>1</v>
      </c>
      <c r="N294" t="s">
        <v>53</v>
      </c>
      <c r="O294" s="2">
        <v>0.40347222222222223</v>
      </c>
      <c r="P294">
        <f>0.0002901927*3600</f>
        <v>1.0446937199999999</v>
      </c>
      <c r="Q294">
        <f>-0.0005738191*3600</f>
        <v>-2.06574876</v>
      </c>
    </row>
    <row r="295" spans="1:17" x14ac:dyDescent="0.3">
      <c r="A295" s="4" t="s">
        <v>47</v>
      </c>
      <c r="B295" t="s">
        <v>63</v>
      </c>
      <c r="C295">
        <v>299.123672</v>
      </c>
      <c r="D295">
        <v>290.67166300000002</v>
      </c>
      <c r="E295">
        <v>8.0446000000000009</v>
      </c>
      <c r="F295">
        <v>7.9569000000000001</v>
      </c>
      <c r="G295">
        <v>0.26100000000000001</v>
      </c>
      <c r="H295">
        <v>0</v>
      </c>
      <c r="I295" t="s">
        <v>0</v>
      </c>
      <c r="J295" t="s">
        <v>59</v>
      </c>
      <c r="K295">
        <v>3.4000000000000002E-2</v>
      </c>
      <c r="L295" t="s">
        <v>60</v>
      </c>
      <c r="M295">
        <v>1</v>
      </c>
      <c r="N295" t="s">
        <v>53</v>
      </c>
      <c r="O295" s="2">
        <v>0.40416666666666662</v>
      </c>
      <c r="P295">
        <f>-0.0012501772*3600</f>
        <v>-4.50063792</v>
      </c>
      <c r="Q295">
        <f>0.0006670141*3600</f>
        <v>2.4012507599999999</v>
      </c>
    </row>
    <row r="296" spans="1:17" x14ac:dyDescent="0.3">
      <c r="A296" s="4" t="s">
        <v>47</v>
      </c>
      <c r="B296" t="s">
        <v>63</v>
      </c>
      <c r="C296">
        <v>99.125506999999999</v>
      </c>
      <c r="D296">
        <v>109.327144</v>
      </c>
      <c r="E296">
        <v>8.0454000000000008</v>
      </c>
      <c r="F296">
        <v>7.9577</v>
      </c>
      <c r="G296">
        <v>0.26100000000000001</v>
      </c>
      <c r="H296">
        <v>0</v>
      </c>
      <c r="I296" t="s">
        <v>0</v>
      </c>
      <c r="J296" t="s">
        <v>59</v>
      </c>
      <c r="K296">
        <v>3.4000000000000002E-2</v>
      </c>
      <c r="L296" t="s">
        <v>60</v>
      </c>
      <c r="M296">
        <v>1</v>
      </c>
      <c r="N296" t="s">
        <v>53</v>
      </c>
      <c r="O296" s="2">
        <v>0.4069444444444445</v>
      </c>
      <c r="P296">
        <f>0.0003437301*3600</f>
        <v>1.23742836</v>
      </c>
      <c r="Q296">
        <f>-0.0015623079*3600</f>
        <v>-5.6243084400000001</v>
      </c>
    </row>
    <row r="297" spans="1:17" x14ac:dyDescent="0.3">
      <c r="A297" s="4" t="s">
        <v>47</v>
      </c>
      <c r="B297" t="s">
        <v>63</v>
      </c>
      <c r="C297">
        <v>299.12394899999998</v>
      </c>
      <c r="D297">
        <v>290.67024500000002</v>
      </c>
      <c r="E297">
        <v>8.0449000000000002</v>
      </c>
      <c r="F297">
        <v>7.9572000000000003</v>
      </c>
      <c r="G297">
        <v>0.26100000000000001</v>
      </c>
      <c r="H297">
        <v>0</v>
      </c>
      <c r="I297" t="s">
        <v>0</v>
      </c>
      <c r="J297" t="s">
        <v>59</v>
      </c>
      <c r="K297">
        <v>3.4000000000000002E-2</v>
      </c>
      <c r="L297" t="s">
        <v>60</v>
      </c>
      <c r="M297">
        <v>1</v>
      </c>
      <c r="N297" t="s">
        <v>53</v>
      </c>
      <c r="O297" s="2">
        <v>0.40763888888888888</v>
      </c>
      <c r="P297">
        <f>-0.0011274355*3600</f>
        <v>-4.0587678</v>
      </c>
      <c r="Q297">
        <f>0.0006218662*3600</f>
        <v>2.2387183199999998</v>
      </c>
    </row>
    <row r="298" spans="1:17" x14ac:dyDescent="0.3">
      <c r="A298" s="4" t="s">
        <v>47</v>
      </c>
      <c r="B298" t="s">
        <v>63</v>
      </c>
      <c r="C298">
        <v>99.125325000000004</v>
      </c>
      <c r="D298">
        <v>109.326808</v>
      </c>
      <c r="E298">
        <v>8.0454000000000008</v>
      </c>
      <c r="F298">
        <v>7.9577</v>
      </c>
      <c r="G298">
        <v>0.26100000000000001</v>
      </c>
      <c r="H298">
        <v>0</v>
      </c>
      <c r="I298" t="s">
        <v>0</v>
      </c>
      <c r="J298" t="s">
        <v>59</v>
      </c>
      <c r="K298">
        <v>3.4000000000000002E-2</v>
      </c>
      <c r="L298" t="s">
        <v>60</v>
      </c>
      <c r="M298">
        <v>1</v>
      </c>
      <c r="N298" t="s">
        <v>53</v>
      </c>
      <c r="O298" s="2">
        <v>0.40972222222222227</v>
      </c>
      <c r="P298">
        <f>0.000464412*3600</f>
        <v>1.6718831999999999</v>
      </c>
      <c r="Q298">
        <f>-0.0009229101*3600</f>
        <v>-3.32247636</v>
      </c>
    </row>
    <row r="299" spans="1:17" x14ac:dyDescent="0.3">
      <c r="A299" s="4" t="s">
        <v>47</v>
      </c>
      <c r="B299" t="s">
        <v>63</v>
      </c>
      <c r="C299">
        <v>299.12417900000003</v>
      </c>
      <c r="D299">
        <v>290.671268</v>
      </c>
      <c r="E299">
        <v>8.0448000000000004</v>
      </c>
      <c r="F299">
        <v>7.9570999999999996</v>
      </c>
      <c r="G299">
        <v>0.26100000000000001</v>
      </c>
      <c r="H299">
        <v>0</v>
      </c>
      <c r="I299" t="s">
        <v>0</v>
      </c>
      <c r="J299" t="s">
        <v>59</v>
      </c>
      <c r="K299">
        <v>3.4000000000000002E-2</v>
      </c>
      <c r="L299" t="s">
        <v>60</v>
      </c>
      <c r="M299">
        <v>1</v>
      </c>
      <c r="N299" t="s">
        <v>53</v>
      </c>
      <c r="O299" s="2">
        <v>0.41041666666666665</v>
      </c>
      <c r="P299">
        <f>-0.0013992213*3600</f>
        <v>-5.0371966800000001</v>
      </c>
      <c r="Q299">
        <f>0.0005028748*3600</f>
        <v>1.8103492800000001</v>
      </c>
    </row>
    <row r="300" spans="1:17" x14ac:dyDescent="0.3">
      <c r="A300" s="4" t="s">
        <v>47</v>
      </c>
      <c r="B300" t="s">
        <v>63</v>
      </c>
      <c r="C300">
        <v>99.125577000000007</v>
      </c>
      <c r="D300">
        <v>109.32856700000001</v>
      </c>
      <c r="E300">
        <v>8.0454000000000008</v>
      </c>
      <c r="F300">
        <v>7.9577</v>
      </c>
      <c r="G300">
        <v>0.26100000000000001</v>
      </c>
      <c r="H300">
        <v>0</v>
      </c>
      <c r="I300" t="s">
        <v>0</v>
      </c>
      <c r="J300" t="s">
        <v>59</v>
      </c>
      <c r="K300">
        <v>3.4000000000000002E-2</v>
      </c>
      <c r="L300" t="s">
        <v>60</v>
      </c>
      <c r="M300">
        <v>1</v>
      </c>
      <c r="N300" t="s">
        <v>53</v>
      </c>
      <c r="O300" s="2">
        <v>0.41250000000000003</v>
      </c>
      <c r="P300">
        <f>0.0003713786*3600</f>
        <v>1.3369629599999999</v>
      </c>
      <c r="Q300">
        <f>-0.0006281399*3600</f>
        <v>-2.2613036399999999</v>
      </c>
    </row>
    <row r="301" spans="1:17" x14ac:dyDescent="0.3">
      <c r="A301" s="4" t="s">
        <v>47</v>
      </c>
      <c r="B301" t="s">
        <v>63</v>
      </c>
      <c r="C301">
        <v>299.124775</v>
      </c>
      <c r="D301">
        <v>290.67239799999999</v>
      </c>
      <c r="E301">
        <v>8.0447000000000006</v>
      </c>
      <c r="F301">
        <v>7.9569999999999999</v>
      </c>
      <c r="G301">
        <v>0.26100000000000001</v>
      </c>
      <c r="H301">
        <v>0</v>
      </c>
      <c r="I301" t="s">
        <v>0</v>
      </c>
      <c r="J301" t="s">
        <v>59</v>
      </c>
      <c r="K301">
        <v>3.4000000000000002E-2</v>
      </c>
      <c r="L301" t="s">
        <v>60</v>
      </c>
      <c r="M301">
        <v>1</v>
      </c>
      <c r="N301" t="s">
        <v>53</v>
      </c>
      <c r="O301" s="2">
        <v>0.41388888888888892</v>
      </c>
      <c r="P301">
        <f>-0.0013063098*3600</f>
        <v>-4.7027152799999996</v>
      </c>
      <c r="Q301">
        <f>0.0005647604*3600</f>
        <v>2.03313744</v>
      </c>
    </row>
    <row r="302" spans="1:17" x14ac:dyDescent="0.3">
      <c r="A302" s="4" t="s">
        <v>47</v>
      </c>
      <c r="B302" t="s">
        <v>63</v>
      </c>
      <c r="C302">
        <v>99.125774000000007</v>
      </c>
      <c r="D302">
        <v>109.32940600000001</v>
      </c>
      <c r="E302">
        <v>8.0450999999999997</v>
      </c>
      <c r="F302">
        <v>7.9573999999999998</v>
      </c>
      <c r="G302">
        <v>0.26100000000000001</v>
      </c>
      <c r="H302">
        <v>0</v>
      </c>
      <c r="I302" t="s">
        <v>0</v>
      </c>
      <c r="J302" t="s">
        <v>59</v>
      </c>
      <c r="K302">
        <v>3.4000000000000002E-2</v>
      </c>
      <c r="L302" t="s">
        <v>60</v>
      </c>
      <c r="M302">
        <v>1</v>
      </c>
      <c r="N302" t="s">
        <v>53</v>
      </c>
      <c r="O302" s="2">
        <v>0.41736111111111113</v>
      </c>
      <c r="P302">
        <f>0.0003883923*3600</f>
        <v>1.3982122799999999</v>
      </c>
      <c r="Q302">
        <f>-0.0007522974*3600</f>
        <v>-2.7082706399999998</v>
      </c>
    </row>
    <row r="303" spans="1:17" x14ac:dyDescent="0.3">
      <c r="A303" s="4" t="s">
        <v>47</v>
      </c>
      <c r="B303" t="s">
        <v>63</v>
      </c>
      <c r="C303">
        <v>299.12384300000002</v>
      </c>
      <c r="D303">
        <v>290.67159900000001</v>
      </c>
      <c r="E303">
        <v>8.0447000000000006</v>
      </c>
      <c r="F303">
        <v>7.9569999999999999</v>
      </c>
      <c r="G303">
        <v>0.26100000000000001</v>
      </c>
      <c r="H303">
        <v>0</v>
      </c>
      <c r="I303" t="s">
        <v>0</v>
      </c>
      <c r="J303" t="s">
        <v>59</v>
      </c>
      <c r="K303">
        <v>3.4000000000000002E-2</v>
      </c>
      <c r="L303" t="s">
        <v>60</v>
      </c>
      <c r="M303">
        <v>1</v>
      </c>
      <c r="N303" t="s">
        <v>53</v>
      </c>
      <c r="O303" s="2">
        <v>0.41805555555555557</v>
      </c>
      <c r="P303">
        <f>-0.0007518483*3600</f>
        <v>-2.7066538800000002</v>
      </c>
      <c r="Q303">
        <f>0.0009684846*3600</f>
        <v>3.48654456</v>
      </c>
    </row>
    <row r="304" spans="1:17" x14ac:dyDescent="0.3">
      <c r="A304" s="4" t="s">
        <v>47</v>
      </c>
      <c r="B304" t="s">
        <v>63</v>
      </c>
      <c r="C304">
        <v>99.124958000000007</v>
      </c>
      <c r="D304">
        <v>109.32719899999999</v>
      </c>
      <c r="E304">
        <v>8.0451999999999995</v>
      </c>
      <c r="F304">
        <v>7.9574999999999996</v>
      </c>
      <c r="G304">
        <v>0.26100000000000001</v>
      </c>
      <c r="H304">
        <v>0</v>
      </c>
      <c r="I304" t="s">
        <v>0</v>
      </c>
      <c r="J304" t="s">
        <v>59</v>
      </c>
      <c r="K304">
        <v>3.4000000000000002E-2</v>
      </c>
      <c r="L304" t="s">
        <v>60</v>
      </c>
      <c r="M304">
        <v>1</v>
      </c>
      <c r="N304" t="s">
        <v>53</v>
      </c>
      <c r="O304" s="2">
        <v>0.42083333333333334</v>
      </c>
      <c r="P304">
        <f>0.0005617295*3600</f>
        <v>2.0222262</v>
      </c>
      <c r="Q304">
        <f>-0.0011909117*3600</f>
        <v>-4.2872821200000004</v>
      </c>
    </row>
    <row r="305" spans="1:17" x14ac:dyDescent="0.3">
      <c r="A305" s="4" t="s">
        <v>47</v>
      </c>
      <c r="B305" t="s">
        <v>63</v>
      </c>
      <c r="C305">
        <v>299.12349999999998</v>
      </c>
      <c r="D305">
        <v>290.67244499999998</v>
      </c>
      <c r="E305">
        <v>8.0444999999999993</v>
      </c>
      <c r="F305">
        <v>7.9568000000000003</v>
      </c>
      <c r="G305">
        <v>0.26100000000000001</v>
      </c>
      <c r="H305">
        <v>0</v>
      </c>
      <c r="I305" t="s">
        <v>0</v>
      </c>
      <c r="J305" t="s">
        <v>59</v>
      </c>
      <c r="K305">
        <v>3.4000000000000002E-2</v>
      </c>
      <c r="L305" t="s">
        <v>60</v>
      </c>
      <c r="M305">
        <v>1</v>
      </c>
      <c r="N305" t="s">
        <v>53</v>
      </c>
      <c r="O305" s="2">
        <v>0.42152777777777778</v>
      </c>
      <c r="P305">
        <f>-0.0012587774*3600</f>
        <v>-4.5315986399999995</v>
      </c>
      <c r="Q305">
        <f>0.0007308686*3600</f>
        <v>2.63112696</v>
      </c>
    </row>
    <row r="306" spans="1:17" x14ac:dyDescent="0.3">
      <c r="A306" s="4" t="s">
        <v>47</v>
      </c>
      <c r="B306" t="s">
        <v>63</v>
      </c>
      <c r="C306">
        <v>99.125601000000003</v>
      </c>
      <c r="D306">
        <v>109.33002999999999</v>
      </c>
      <c r="E306">
        <v>8.0450999999999997</v>
      </c>
      <c r="F306">
        <v>7.9573999999999998</v>
      </c>
      <c r="G306">
        <v>0.26100000000000001</v>
      </c>
      <c r="H306">
        <v>0</v>
      </c>
      <c r="I306" t="s">
        <v>0</v>
      </c>
      <c r="J306" t="s">
        <v>59</v>
      </c>
      <c r="K306">
        <v>3.4000000000000002E-2</v>
      </c>
      <c r="L306" t="s">
        <v>60</v>
      </c>
      <c r="M306">
        <v>1</v>
      </c>
      <c r="N306" t="s">
        <v>53</v>
      </c>
      <c r="O306" s="2">
        <v>0.42638888888888887</v>
      </c>
      <c r="P306">
        <f>0.0004814809*3600</f>
        <v>1.7333312400000001</v>
      </c>
      <c r="Q306">
        <f>-0.0006160082*3600</f>
        <v>-2.21762952</v>
      </c>
    </row>
    <row r="307" spans="1:17" x14ac:dyDescent="0.3">
      <c r="A307" s="4" t="s">
        <v>47</v>
      </c>
      <c r="B307" t="s">
        <v>63</v>
      </c>
      <c r="C307">
        <v>299.12275099999999</v>
      </c>
      <c r="D307">
        <v>290.67194699999999</v>
      </c>
      <c r="E307">
        <v>8.0444999999999993</v>
      </c>
      <c r="F307">
        <v>7.9568000000000003</v>
      </c>
      <c r="G307">
        <v>0.26100000000000001</v>
      </c>
      <c r="H307">
        <v>0</v>
      </c>
      <c r="I307" t="s">
        <v>0</v>
      </c>
      <c r="J307" t="s">
        <v>59</v>
      </c>
      <c r="K307">
        <v>3.4000000000000002E-2</v>
      </c>
      <c r="L307" t="s">
        <v>60</v>
      </c>
      <c r="M307">
        <v>1</v>
      </c>
      <c r="N307" t="s">
        <v>53</v>
      </c>
      <c r="O307" s="2">
        <v>0.42777777777777781</v>
      </c>
      <c r="P307">
        <f>-0.0008064487*3600</f>
        <v>-2.9032153200000002</v>
      </c>
      <c r="Q307">
        <f>0.0008870625*3600</f>
        <v>3.193425</v>
      </c>
    </row>
    <row r="308" spans="1:17" x14ac:dyDescent="0.3">
      <c r="A308" s="4" t="s">
        <v>47</v>
      </c>
      <c r="B308" t="s">
        <v>63</v>
      </c>
      <c r="C308">
        <v>99.125152</v>
      </c>
      <c r="D308">
        <v>109.333217</v>
      </c>
      <c r="E308">
        <v>8.0454000000000008</v>
      </c>
      <c r="F308">
        <v>7.9576000000000002</v>
      </c>
      <c r="G308">
        <v>0.26100000000000001</v>
      </c>
      <c r="H308">
        <v>0</v>
      </c>
      <c r="I308" t="s">
        <v>0</v>
      </c>
      <c r="J308" t="s">
        <v>59</v>
      </c>
      <c r="K308">
        <v>3.4000000000000002E-2</v>
      </c>
      <c r="L308" t="s">
        <v>60</v>
      </c>
      <c r="M308">
        <v>1</v>
      </c>
      <c r="N308" t="s">
        <v>53</v>
      </c>
      <c r="O308" s="2">
        <v>0.4291666666666667</v>
      </c>
      <c r="P308">
        <f>0.0004437347*3600</f>
        <v>1.59744492</v>
      </c>
      <c r="Q308">
        <f>-0.0011561228*3600</f>
        <v>-4.16204208</v>
      </c>
    </row>
    <row r="309" spans="1:17" x14ac:dyDescent="0.3">
      <c r="A309" s="4" t="s">
        <v>47</v>
      </c>
      <c r="B309" t="s">
        <v>63</v>
      </c>
      <c r="C309">
        <v>299.12399299999998</v>
      </c>
      <c r="D309">
        <v>290.63359700000001</v>
      </c>
      <c r="E309">
        <v>8.0457000000000001</v>
      </c>
      <c r="F309">
        <v>7.9573</v>
      </c>
      <c r="G309">
        <v>0.26100000000000001</v>
      </c>
      <c r="H309">
        <v>0</v>
      </c>
      <c r="I309" t="s">
        <v>0</v>
      </c>
      <c r="J309" t="s">
        <v>59</v>
      </c>
      <c r="K309">
        <v>3.4000000000000002E-2</v>
      </c>
      <c r="L309" t="s">
        <v>60</v>
      </c>
      <c r="M309">
        <v>1</v>
      </c>
      <c r="N309" t="s">
        <v>53</v>
      </c>
      <c r="O309" s="2">
        <v>0.42986111111111108</v>
      </c>
      <c r="P309">
        <f>-0.0008937515*3600</f>
        <v>-3.2175053999999998</v>
      </c>
      <c r="Q309">
        <f>0.0008987992*3600</f>
        <v>3.2356771200000001</v>
      </c>
    </row>
    <row r="310" spans="1:17" x14ac:dyDescent="0.3">
      <c r="A310" s="4" t="s">
        <v>47</v>
      </c>
      <c r="B310" t="s">
        <v>63</v>
      </c>
      <c r="C310">
        <v>99.125793000000002</v>
      </c>
      <c r="D310">
        <v>109.32862900000001</v>
      </c>
      <c r="E310">
        <v>8.0455000000000005</v>
      </c>
      <c r="F310">
        <v>7.9577999999999998</v>
      </c>
      <c r="G310">
        <v>0.26100000000000001</v>
      </c>
      <c r="H310">
        <v>0</v>
      </c>
      <c r="I310" t="s">
        <v>0</v>
      </c>
      <c r="J310" t="s">
        <v>59</v>
      </c>
      <c r="K310">
        <v>3.4000000000000002E-2</v>
      </c>
      <c r="L310" t="s">
        <v>60</v>
      </c>
      <c r="M310">
        <v>1</v>
      </c>
      <c r="N310" t="s">
        <v>53</v>
      </c>
      <c r="O310" s="2">
        <v>0.43194444444444446</v>
      </c>
      <c r="P310">
        <f>0.0004607546*3600</f>
        <v>1.65871656</v>
      </c>
      <c r="Q310">
        <f>-0.0012708532*3600</f>
        <v>-4.5750715199999998</v>
      </c>
    </row>
    <row r="311" spans="1:17" x14ac:dyDescent="0.3">
      <c r="A311" s="4" t="s">
        <v>47</v>
      </c>
      <c r="B311" t="s">
        <v>63</v>
      </c>
      <c r="C311">
        <v>299.123988</v>
      </c>
      <c r="D311">
        <v>290.66969699999999</v>
      </c>
      <c r="E311">
        <v>8.0449000000000002</v>
      </c>
      <c r="F311">
        <v>7.9572000000000003</v>
      </c>
      <c r="G311">
        <v>0.26100000000000001</v>
      </c>
      <c r="H311">
        <v>0</v>
      </c>
      <c r="I311" t="s">
        <v>0</v>
      </c>
      <c r="J311" t="s">
        <v>59</v>
      </c>
      <c r="K311">
        <v>3.4000000000000002E-2</v>
      </c>
      <c r="L311" t="s">
        <v>60</v>
      </c>
      <c r="M311">
        <v>1</v>
      </c>
      <c r="N311" t="s">
        <v>53</v>
      </c>
      <c r="O311" s="2">
        <v>0.43263888888888885</v>
      </c>
      <c r="P311">
        <f>-0.0015486962*3600</f>
        <v>-5.5753063200000001</v>
      </c>
      <c r="Q311">
        <f>0.0007715662*3600</f>
        <v>2.7776383199999999</v>
      </c>
    </row>
    <row r="312" spans="1:17" x14ac:dyDescent="0.3">
      <c r="A312" s="4" t="s">
        <v>47</v>
      </c>
      <c r="B312" t="s">
        <v>63</v>
      </c>
      <c r="C312">
        <v>99.125681</v>
      </c>
      <c r="D312">
        <v>109.32916</v>
      </c>
      <c r="E312">
        <v>8.0456000000000003</v>
      </c>
      <c r="F312">
        <v>7.9579000000000004</v>
      </c>
      <c r="G312">
        <v>0.26100000000000001</v>
      </c>
      <c r="H312">
        <v>0</v>
      </c>
      <c r="I312" t="s">
        <v>0</v>
      </c>
      <c r="J312" t="s">
        <v>59</v>
      </c>
      <c r="K312">
        <v>3.4000000000000002E-2</v>
      </c>
      <c r="L312" t="s">
        <v>60</v>
      </c>
      <c r="M312">
        <v>1</v>
      </c>
      <c r="N312" t="s">
        <v>53</v>
      </c>
      <c r="O312" s="2">
        <v>0.43472222222222223</v>
      </c>
      <c r="P312">
        <f>0.0004171477*3600</f>
        <v>1.50173172</v>
      </c>
      <c r="Q312">
        <f>-0.001272951*3600</f>
        <v>-4.5826235999999998</v>
      </c>
    </row>
    <row r="313" spans="1:17" x14ac:dyDescent="0.3">
      <c r="A313" s="4" t="s">
        <v>47</v>
      </c>
      <c r="B313" t="s">
        <v>63</v>
      </c>
      <c r="C313">
        <v>299.12382500000001</v>
      </c>
      <c r="D313">
        <v>290.67026399999997</v>
      </c>
      <c r="E313">
        <v>8.0448000000000004</v>
      </c>
      <c r="F313">
        <v>7.9570999999999996</v>
      </c>
      <c r="G313">
        <v>0.26100000000000001</v>
      </c>
      <c r="H313">
        <v>0</v>
      </c>
      <c r="I313" t="s">
        <v>0</v>
      </c>
      <c r="J313" t="s">
        <v>59</v>
      </c>
      <c r="K313">
        <v>3.4000000000000002E-2</v>
      </c>
      <c r="L313" t="s">
        <v>60</v>
      </c>
      <c r="M313">
        <v>1</v>
      </c>
      <c r="N313" t="s">
        <v>53</v>
      </c>
      <c r="O313" s="2">
        <v>0.43472222222222223</v>
      </c>
      <c r="P313">
        <f>-0.0009847962*3600</f>
        <v>-3.5452663200000005</v>
      </c>
      <c r="Q313">
        <f>0.0008421522*3600</f>
        <v>3.0317479200000004</v>
      </c>
    </row>
    <row r="314" spans="1:17" x14ac:dyDescent="0.3">
      <c r="A314" s="4" t="s">
        <v>47</v>
      </c>
      <c r="B314" t="s">
        <v>63</v>
      </c>
      <c r="C314">
        <v>99.124217000000002</v>
      </c>
      <c r="D314">
        <v>109.32937200000001</v>
      </c>
      <c r="E314">
        <v>8.0456000000000003</v>
      </c>
      <c r="F314">
        <v>7.9579000000000004</v>
      </c>
      <c r="G314">
        <v>0.26100000000000001</v>
      </c>
      <c r="H314">
        <v>0</v>
      </c>
      <c r="I314" t="s">
        <v>0</v>
      </c>
      <c r="J314" t="s">
        <v>59</v>
      </c>
      <c r="K314">
        <v>3.4000000000000002E-2</v>
      </c>
      <c r="L314" t="s">
        <v>60</v>
      </c>
      <c r="M314">
        <v>1</v>
      </c>
      <c r="N314" t="s">
        <v>53</v>
      </c>
      <c r="O314" s="2">
        <v>0.4368055555555555</v>
      </c>
      <c r="P314">
        <f>0.0004477113*3600</f>
        <v>1.6117606799999999</v>
      </c>
      <c r="Q314">
        <f>-0.0013062026*3600</f>
        <v>-4.7023293600000002</v>
      </c>
    </row>
    <row r="315" spans="1:17" x14ac:dyDescent="0.3">
      <c r="A315" s="4" t="s">
        <v>47</v>
      </c>
      <c r="B315" t="s">
        <v>63</v>
      </c>
      <c r="C315">
        <v>299.124347</v>
      </c>
      <c r="D315">
        <v>290.673202</v>
      </c>
      <c r="E315">
        <v>8.0446000000000009</v>
      </c>
      <c r="F315">
        <v>7.9569999999999999</v>
      </c>
      <c r="G315">
        <v>0.26100000000000001</v>
      </c>
      <c r="H315">
        <v>0</v>
      </c>
      <c r="I315" t="s">
        <v>0</v>
      </c>
      <c r="J315" t="s">
        <v>59</v>
      </c>
      <c r="K315">
        <v>3.4000000000000002E-2</v>
      </c>
      <c r="L315" t="s">
        <v>60</v>
      </c>
      <c r="M315">
        <v>1</v>
      </c>
      <c r="N315" t="s">
        <v>53</v>
      </c>
      <c r="O315" s="2">
        <v>0.4375</v>
      </c>
      <c r="P315">
        <f>-0.0010816371*3600</f>
        <v>-3.8938935599999995</v>
      </c>
      <c r="Q315">
        <f>0.0010421752*3600</f>
        <v>3.7518307200000001</v>
      </c>
    </row>
    <row r="316" spans="1:17" x14ac:dyDescent="0.3">
      <c r="A316" s="4" t="s">
        <v>47</v>
      </c>
      <c r="B316" t="s">
        <v>63</v>
      </c>
      <c r="C316">
        <v>99.125058999999993</v>
      </c>
      <c r="D316">
        <v>109.327478</v>
      </c>
      <c r="E316">
        <v>8.0451999999999995</v>
      </c>
      <c r="F316">
        <v>7.9574999999999996</v>
      </c>
      <c r="G316">
        <v>0.26100000000000001</v>
      </c>
      <c r="H316">
        <v>0</v>
      </c>
      <c r="I316" t="s">
        <v>0</v>
      </c>
      <c r="J316" t="s">
        <v>59</v>
      </c>
      <c r="K316">
        <v>3.4000000000000002E-2</v>
      </c>
      <c r="L316" t="s">
        <v>60</v>
      </c>
      <c r="M316">
        <v>1</v>
      </c>
      <c r="N316" t="s">
        <v>53</v>
      </c>
      <c r="O316" s="2">
        <v>0.44166666666666665</v>
      </c>
      <c r="P316">
        <f>0.0004206249*3600</f>
        <v>1.5142496400000001</v>
      </c>
      <c r="Q316">
        <f>-0.0014215769*3600</f>
        <v>-5.1176768399999997</v>
      </c>
    </row>
    <row r="317" spans="1:17" x14ac:dyDescent="0.3">
      <c r="A317" s="4" t="s">
        <v>47</v>
      </c>
      <c r="B317" t="s">
        <v>63</v>
      </c>
      <c r="C317">
        <v>299.12371899999999</v>
      </c>
      <c r="D317">
        <v>290.67205000000001</v>
      </c>
      <c r="E317">
        <v>8.0448000000000004</v>
      </c>
      <c r="F317">
        <v>7.9570999999999996</v>
      </c>
      <c r="G317">
        <v>0.26100000000000001</v>
      </c>
      <c r="H317">
        <v>0</v>
      </c>
      <c r="I317" t="s">
        <v>0</v>
      </c>
      <c r="J317" t="s">
        <v>59</v>
      </c>
      <c r="K317">
        <v>3.4000000000000002E-2</v>
      </c>
      <c r="L317" t="s">
        <v>60</v>
      </c>
      <c r="M317">
        <v>1</v>
      </c>
      <c r="N317" t="s">
        <v>53</v>
      </c>
      <c r="O317" s="2">
        <v>0.44236111111111115</v>
      </c>
      <c r="P317">
        <f>-0.0011857021*3600</f>
        <v>-4.2685275600000008</v>
      </c>
      <c r="Q317">
        <f>0.0009968455*3600</f>
        <v>3.5886438000000003</v>
      </c>
    </row>
    <row r="318" spans="1:17" x14ac:dyDescent="0.3">
      <c r="A318" s="4" t="s">
        <v>47</v>
      </c>
      <c r="B318" t="s">
        <v>63</v>
      </c>
      <c r="C318">
        <v>99.125293999999997</v>
      </c>
      <c r="D318">
        <v>109.328598</v>
      </c>
      <c r="E318">
        <v>8.0456000000000003</v>
      </c>
      <c r="F318">
        <v>7.9579000000000004</v>
      </c>
      <c r="G318">
        <v>0.26100000000000001</v>
      </c>
      <c r="H318">
        <v>0</v>
      </c>
      <c r="I318" t="s">
        <v>0</v>
      </c>
      <c r="J318" t="s">
        <v>59</v>
      </c>
      <c r="K318">
        <v>3.4000000000000002E-2</v>
      </c>
      <c r="L318" t="s">
        <v>60</v>
      </c>
      <c r="M318">
        <v>1</v>
      </c>
      <c r="N318" t="s">
        <v>53</v>
      </c>
      <c r="O318" s="2">
        <v>0.44375000000000003</v>
      </c>
      <c r="P318">
        <f>0.0003423297*3600</f>
        <v>1.2323869200000002</v>
      </c>
      <c r="Q318">
        <f>-0.0014369693*3600</f>
        <v>-5.1730894799999998</v>
      </c>
    </row>
    <row r="319" spans="1:17" x14ac:dyDescent="0.3">
      <c r="A319" s="4" t="s">
        <v>47</v>
      </c>
      <c r="B319" t="s">
        <v>63</v>
      </c>
      <c r="C319">
        <v>299.12502599999999</v>
      </c>
      <c r="D319">
        <v>290.671178</v>
      </c>
      <c r="E319">
        <v>8.0448000000000004</v>
      </c>
      <c r="F319">
        <v>7.9570999999999996</v>
      </c>
      <c r="G319">
        <v>0.26100000000000001</v>
      </c>
      <c r="H319">
        <v>0</v>
      </c>
      <c r="I319" t="s">
        <v>0</v>
      </c>
      <c r="J319" t="s">
        <v>59</v>
      </c>
      <c r="K319">
        <v>3.4000000000000002E-2</v>
      </c>
      <c r="L319" t="s">
        <v>60</v>
      </c>
      <c r="M319">
        <v>1</v>
      </c>
      <c r="N319" t="s">
        <v>53</v>
      </c>
      <c r="O319" s="2">
        <v>0.44444444444444442</v>
      </c>
      <c r="P319">
        <f>-0.0011503825*3600</f>
        <v>-4.1413770000000003</v>
      </c>
      <c r="Q319">
        <f>0.0009582733*3600</f>
        <v>3.44978388</v>
      </c>
    </row>
    <row r="320" spans="1:17" x14ac:dyDescent="0.3">
      <c r="A320" s="4" t="s">
        <v>47</v>
      </c>
      <c r="B320" t="s">
        <v>64</v>
      </c>
      <c r="C320">
        <v>98.827602999999996</v>
      </c>
      <c r="D320">
        <v>105.258306</v>
      </c>
      <c r="E320">
        <v>19.671800000000001</v>
      </c>
      <c r="F320">
        <v>19.601299999999998</v>
      </c>
      <c r="G320">
        <v>0.26100000000000001</v>
      </c>
      <c r="H320">
        <v>0</v>
      </c>
      <c r="I320" t="s">
        <v>0</v>
      </c>
      <c r="J320" t="s">
        <v>59</v>
      </c>
      <c r="K320">
        <v>3.4000000000000002E-2</v>
      </c>
      <c r="L320" t="s">
        <v>60</v>
      </c>
      <c r="M320">
        <v>1</v>
      </c>
      <c r="N320" t="s">
        <v>53</v>
      </c>
      <c r="O320" s="2">
        <v>0.37708333333333338</v>
      </c>
      <c r="P320">
        <f>0.0003456815*3600</f>
        <v>1.2444533999999998</v>
      </c>
      <c r="Q320">
        <f>-0.0009507699*3600</f>
        <v>-3.4227716400000001</v>
      </c>
    </row>
    <row r="321" spans="1:17" x14ac:dyDescent="0.3">
      <c r="A321" s="4" t="s">
        <v>47</v>
      </c>
      <c r="B321" t="s">
        <v>64</v>
      </c>
      <c r="C321">
        <v>298.82689499999998</v>
      </c>
      <c r="D321">
        <v>294.74196799999999</v>
      </c>
      <c r="E321">
        <v>19.671600000000002</v>
      </c>
      <c r="F321">
        <v>19.601099999999999</v>
      </c>
      <c r="G321">
        <v>0.26100000000000001</v>
      </c>
      <c r="H321">
        <v>0</v>
      </c>
      <c r="I321" t="s">
        <v>0</v>
      </c>
      <c r="J321" t="s">
        <v>59</v>
      </c>
      <c r="K321">
        <v>3.4000000000000002E-2</v>
      </c>
      <c r="L321" t="s">
        <v>60</v>
      </c>
      <c r="M321">
        <v>1</v>
      </c>
      <c r="N321" t="s">
        <v>53</v>
      </c>
      <c r="O321" s="2">
        <v>0.37708333333333338</v>
      </c>
      <c r="P321">
        <f>-0.0009320193*3600</f>
        <v>-3.35526948</v>
      </c>
      <c r="Q321">
        <f>0.0004995762*3600</f>
        <v>1.79847432</v>
      </c>
    </row>
    <row r="322" spans="1:17" x14ac:dyDescent="0.3">
      <c r="A322" s="4" t="s">
        <v>47</v>
      </c>
      <c r="B322" t="s">
        <v>64</v>
      </c>
      <c r="C322">
        <v>98.828147999999999</v>
      </c>
      <c r="D322">
        <v>105.25066099999999</v>
      </c>
      <c r="E322">
        <v>19.671800000000001</v>
      </c>
      <c r="F322">
        <v>19.601500000000001</v>
      </c>
      <c r="G322">
        <v>0.26100000000000001</v>
      </c>
      <c r="H322">
        <v>0</v>
      </c>
      <c r="I322" t="s">
        <v>0</v>
      </c>
      <c r="J322" t="s">
        <v>59</v>
      </c>
      <c r="K322">
        <v>3.4000000000000002E-2</v>
      </c>
      <c r="L322" t="s">
        <v>60</v>
      </c>
      <c r="M322">
        <v>1</v>
      </c>
      <c r="N322" t="s">
        <v>53</v>
      </c>
      <c r="O322" s="2">
        <v>0.37916666666666665</v>
      </c>
      <c r="P322">
        <f>0.0002204032*3600</f>
        <v>0.79345151999999997</v>
      </c>
      <c r="Q322">
        <f>-0.0010066631*3600</f>
        <v>-3.6239871599999995</v>
      </c>
    </row>
    <row r="323" spans="1:17" x14ac:dyDescent="0.3">
      <c r="A323" s="4" t="s">
        <v>47</v>
      </c>
      <c r="B323" t="s">
        <v>64</v>
      </c>
      <c r="C323">
        <v>298.82715999999999</v>
      </c>
      <c r="D323">
        <v>294.74167899999998</v>
      </c>
      <c r="E323">
        <v>19.671600000000002</v>
      </c>
      <c r="F323">
        <v>19.601099999999999</v>
      </c>
      <c r="G323">
        <v>0.26100000000000001</v>
      </c>
      <c r="H323">
        <v>0</v>
      </c>
      <c r="I323" t="s">
        <v>0</v>
      </c>
      <c r="J323" t="s">
        <v>59</v>
      </c>
      <c r="K323">
        <v>3.4000000000000002E-2</v>
      </c>
      <c r="L323" t="s">
        <v>60</v>
      </c>
      <c r="M323">
        <v>1</v>
      </c>
      <c r="N323" t="s">
        <v>53</v>
      </c>
      <c r="O323" s="2">
        <v>0.37986111111111115</v>
      </c>
      <c r="P323">
        <f>-0.0003551787*3600</f>
        <v>-1.27864332</v>
      </c>
      <c r="Q323">
        <f>0.0008090942*3600</f>
        <v>2.9127391199999999</v>
      </c>
    </row>
    <row r="324" spans="1:17" x14ac:dyDescent="0.3">
      <c r="A324" s="4" t="s">
        <v>47</v>
      </c>
      <c r="B324" t="s">
        <v>64</v>
      </c>
      <c r="C324">
        <v>98.827211000000005</v>
      </c>
      <c r="D324">
        <v>105.25109500000001</v>
      </c>
      <c r="E324">
        <v>19.671800000000001</v>
      </c>
      <c r="F324">
        <v>19.601400000000002</v>
      </c>
      <c r="G324">
        <v>0.26100000000000001</v>
      </c>
      <c r="H324">
        <v>0</v>
      </c>
      <c r="I324" t="s">
        <v>0</v>
      </c>
      <c r="J324" t="s">
        <v>59</v>
      </c>
      <c r="K324">
        <v>3.4000000000000002E-2</v>
      </c>
      <c r="L324" t="s">
        <v>60</v>
      </c>
      <c r="M324">
        <v>1</v>
      </c>
      <c r="N324" t="s">
        <v>53</v>
      </c>
      <c r="O324" s="2">
        <v>0.3840277777777778</v>
      </c>
      <c r="P324">
        <f>0.0001544407*3600</f>
        <v>0.55598651999999993</v>
      </c>
      <c r="Q324">
        <f>-0.0005077169*3600</f>
        <v>-1.8277808400000002</v>
      </c>
    </row>
    <row r="325" spans="1:17" x14ac:dyDescent="0.3">
      <c r="A325" s="4" t="s">
        <v>47</v>
      </c>
      <c r="B325" t="s">
        <v>64</v>
      </c>
      <c r="C325">
        <v>298.82760500000001</v>
      </c>
      <c r="D325">
        <v>294.74108100000001</v>
      </c>
      <c r="E325">
        <v>19.671800000000001</v>
      </c>
      <c r="F325">
        <v>19.601199999999999</v>
      </c>
      <c r="G325">
        <v>0.26100000000000001</v>
      </c>
      <c r="H325">
        <v>0</v>
      </c>
      <c r="I325" t="s">
        <v>0</v>
      </c>
      <c r="J325" t="s">
        <v>59</v>
      </c>
      <c r="K325">
        <v>3.4000000000000002E-2</v>
      </c>
      <c r="L325" t="s">
        <v>60</v>
      </c>
      <c r="M325">
        <v>1</v>
      </c>
      <c r="N325" t="s">
        <v>53</v>
      </c>
      <c r="O325" s="2">
        <v>0.3840277777777778</v>
      </c>
      <c r="P325">
        <f>-0.0010836943*3600</f>
        <v>-3.9012994799999996</v>
      </c>
      <c r="Q325">
        <f>0.0005711983*3600</f>
        <v>2.0563138799999998</v>
      </c>
    </row>
    <row r="326" spans="1:17" x14ac:dyDescent="0.3">
      <c r="A326" s="4" t="s">
        <v>47</v>
      </c>
      <c r="B326" t="s">
        <v>64</v>
      </c>
      <c r="C326">
        <v>98.827849000000001</v>
      </c>
      <c r="D326">
        <v>105.257863</v>
      </c>
      <c r="E326">
        <v>19.671600000000002</v>
      </c>
      <c r="F326">
        <v>19.601099999999999</v>
      </c>
      <c r="G326">
        <v>0.26100000000000001</v>
      </c>
      <c r="H326">
        <v>0</v>
      </c>
      <c r="I326" t="s">
        <v>0</v>
      </c>
      <c r="J326" t="s">
        <v>59</v>
      </c>
      <c r="K326">
        <v>3.4000000000000002E-2</v>
      </c>
      <c r="L326" t="s">
        <v>60</v>
      </c>
      <c r="M326">
        <v>1</v>
      </c>
      <c r="N326" t="s">
        <v>53</v>
      </c>
      <c r="O326" s="2">
        <v>0.38819444444444445</v>
      </c>
      <c r="P326">
        <f>0.0002931983*3600</f>
        <v>1.0555138799999999</v>
      </c>
      <c r="Q326">
        <f>-0.0005345265*3600</f>
        <v>-1.9242953999999999</v>
      </c>
    </row>
    <row r="327" spans="1:17" x14ac:dyDescent="0.3">
      <c r="A327" s="4" t="s">
        <v>47</v>
      </c>
      <c r="B327" t="s">
        <v>64</v>
      </c>
      <c r="C327">
        <v>298.82788399999998</v>
      </c>
      <c r="D327">
        <v>294.75005599999997</v>
      </c>
      <c r="E327">
        <v>19.671800000000001</v>
      </c>
      <c r="F327">
        <v>19.601500000000001</v>
      </c>
      <c r="G327">
        <v>0.26100000000000001</v>
      </c>
      <c r="H327">
        <v>0</v>
      </c>
      <c r="I327" t="s">
        <v>0</v>
      </c>
      <c r="J327" t="s">
        <v>59</v>
      </c>
      <c r="K327">
        <v>3.4000000000000002E-2</v>
      </c>
      <c r="L327" t="s">
        <v>60</v>
      </c>
      <c r="M327">
        <v>1</v>
      </c>
      <c r="N327" t="s">
        <v>53</v>
      </c>
      <c r="O327" s="2">
        <v>0.3888888888888889</v>
      </c>
      <c r="P327">
        <f>-0.0010493721*3600</f>
        <v>-3.7777395600000001</v>
      </c>
      <c r="Q327">
        <f>0.0006034133*3600</f>
        <v>2.1722878799999998</v>
      </c>
    </row>
    <row r="328" spans="1:17" x14ac:dyDescent="0.3">
      <c r="A328" s="4" t="s">
        <v>47</v>
      </c>
      <c r="B328" t="s">
        <v>64</v>
      </c>
      <c r="C328">
        <v>98.827147999999994</v>
      </c>
      <c r="D328">
        <v>105.25847899999999</v>
      </c>
      <c r="E328">
        <v>19.671900000000001</v>
      </c>
      <c r="F328">
        <v>19.601400000000002</v>
      </c>
      <c r="G328">
        <v>0.26100000000000001</v>
      </c>
      <c r="H328">
        <v>0</v>
      </c>
      <c r="I328" t="s">
        <v>0</v>
      </c>
      <c r="J328" t="s">
        <v>59</v>
      </c>
      <c r="K328">
        <v>3.4000000000000002E-2</v>
      </c>
      <c r="L328" t="s">
        <v>60</v>
      </c>
      <c r="M328">
        <v>1</v>
      </c>
      <c r="N328" t="s">
        <v>53</v>
      </c>
      <c r="O328" s="2">
        <v>0.39305555555555555</v>
      </c>
      <c r="P328">
        <f>0.0003660141*3600</f>
        <v>1.31765076</v>
      </c>
      <c r="Q328">
        <f>-0.0011619548*3600</f>
        <v>-4.1830372799999997</v>
      </c>
    </row>
    <row r="329" spans="1:17" x14ac:dyDescent="0.3">
      <c r="A329" s="4" t="s">
        <v>47</v>
      </c>
      <c r="B329" t="s">
        <v>64</v>
      </c>
      <c r="C329">
        <v>298.82745699999998</v>
      </c>
      <c r="D329">
        <v>294.740835</v>
      </c>
      <c r="E329">
        <v>19.671600000000002</v>
      </c>
      <c r="F329">
        <v>19.600999999999999</v>
      </c>
      <c r="G329">
        <v>0.26100000000000001</v>
      </c>
      <c r="H329">
        <v>0</v>
      </c>
      <c r="I329" t="s">
        <v>0</v>
      </c>
      <c r="J329" t="s">
        <v>59</v>
      </c>
      <c r="K329">
        <v>3.4000000000000002E-2</v>
      </c>
      <c r="L329" t="s">
        <v>60</v>
      </c>
      <c r="M329">
        <v>1</v>
      </c>
      <c r="N329" t="s">
        <v>53</v>
      </c>
      <c r="O329" s="2">
        <v>0.39374999999999999</v>
      </c>
      <c r="P329">
        <f>-0.0006043832*3600</f>
        <v>-2.1757795199999999</v>
      </c>
      <c r="Q329">
        <f>0.0006696298*3600</f>
        <v>2.4106672799999997</v>
      </c>
    </row>
    <row r="330" spans="1:17" x14ac:dyDescent="0.3">
      <c r="A330" s="4" t="s">
        <v>47</v>
      </c>
      <c r="B330" t="s">
        <v>64</v>
      </c>
      <c r="C330">
        <v>98.827747000000002</v>
      </c>
      <c r="D330">
        <v>105.257914</v>
      </c>
      <c r="E330">
        <v>19.671600000000002</v>
      </c>
      <c r="F330">
        <v>19.601099999999999</v>
      </c>
      <c r="G330">
        <v>0.26100000000000001</v>
      </c>
      <c r="H330">
        <v>0</v>
      </c>
      <c r="I330" t="s">
        <v>0</v>
      </c>
      <c r="J330" t="s">
        <v>59</v>
      </c>
      <c r="K330">
        <v>3.4000000000000002E-2</v>
      </c>
      <c r="L330" t="s">
        <v>60</v>
      </c>
      <c r="M330">
        <v>1</v>
      </c>
      <c r="N330" t="s">
        <v>53</v>
      </c>
      <c r="O330" s="2">
        <v>0.39583333333333331</v>
      </c>
      <c r="P330">
        <f>0.0004040068*3600</f>
        <v>1.4544244799999999</v>
      </c>
      <c r="Q330">
        <f>-0.0010056172*3600</f>
        <v>-3.6202219199999996</v>
      </c>
    </row>
    <row r="331" spans="1:17" x14ac:dyDescent="0.3">
      <c r="A331" s="4" t="s">
        <v>47</v>
      </c>
      <c r="B331" t="s">
        <v>64</v>
      </c>
      <c r="C331">
        <v>298.82738999999998</v>
      </c>
      <c r="D331">
        <v>294.74274800000001</v>
      </c>
      <c r="E331">
        <v>19.671700000000001</v>
      </c>
      <c r="F331">
        <v>19.601199999999999</v>
      </c>
      <c r="G331">
        <v>0.26100000000000001</v>
      </c>
      <c r="H331">
        <v>0</v>
      </c>
      <c r="I331" t="s">
        <v>0</v>
      </c>
      <c r="J331" t="s">
        <v>59</v>
      </c>
      <c r="K331">
        <v>3.4000000000000002E-2</v>
      </c>
      <c r="L331" t="s">
        <v>60</v>
      </c>
      <c r="M331">
        <v>1</v>
      </c>
      <c r="N331" t="s">
        <v>53</v>
      </c>
      <c r="O331" s="2">
        <v>0.39652777777777781</v>
      </c>
      <c r="P331">
        <f>-0.0007280813*3600</f>
        <v>-2.6210926799999998</v>
      </c>
      <c r="Q331">
        <f>0.0007114139*3600</f>
        <v>2.5610900400000003</v>
      </c>
    </row>
    <row r="332" spans="1:17" x14ac:dyDescent="0.3">
      <c r="A332" s="4" t="s">
        <v>47</v>
      </c>
      <c r="B332" t="s">
        <v>64</v>
      </c>
      <c r="C332">
        <v>98.828789999999998</v>
      </c>
      <c r="D332">
        <v>105.257953</v>
      </c>
      <c r="E332">
        <v>19.671700000000001</v>
      </c>
      <c r="F332">
        <v>19.601199999999999</v>
      </c>
      <c r="G332">
        <v>0.26100000000000001</v>
      </c>
      <c r="H332">
        <v>0</v>
      </c>
      <c r="I332" t="s">
        <v>0</v>
      </c>
      <c r="J332" t="s">
        <v>59</v>
      </c>
      <c r="K332">
        <v>3.4000000000000002E-2</v>
      </c>
      <c r="L332" t="s">
        <v>60</v>
      </c>
      <c r="M332">
        <v>1</v>
      </c>
      <c r="N332" t="s">
        <v>53</v>
      </c>
      <c r="O332" s="2">
        <v>0.39999999999999997</v>
      </c>
      <c r="P332">
        <f>0.0003650231*3600</f>
        <v>1.31408316</v>
      </c>
      <c r="Q332">
        <f>-0.0011161395*3600</f>
        <v>-4.0181022000000004</v>
      </c>
    </row>
    <row r="333" spans="1:17" x14ac:dyDescent="0.3">
      <c r="A333" s="4" t="s">
        <v>47</v>
      </c>
      <c r="B333" t="s">
        <v>64</v>
      </c>
      <c r="C333">
        <v>298.82804700000003</v>
      </c>
      <c r="D333">
        <v>294.74511999999999</v>
      </c>
      <c r="E333">
        <v>19.671700000000001</v>
      </c>
      <c r="F333">
        <v>19.601199999999999</v>
      </c>
      <c r="G333">
        <v>0.26100000000000001</v>
      </c>
      <c r="H333">
        <v>0</v>
      </c>
      <c r="I333" t="s">
        <v>0</v>
      </c>
      <c r="J333" t="s">
        <v>59</v>
      </c>
      <c r="K333">
        <v>3.4000000000000002E-2</v>
      </c>
      <c r="L333" t="s">
        <v>60</v>
      </c>
      <c r="M333">
        <v>1</v>
      </c>
      <c r="N333" t="s">
        <v>53</v>
      </c>
      <c r="O333" s="2">
        <v>0.40069444444444446</v>
      </c>
      <c r="P333">
        <f>-0.0008145934*3600</f>
        <v>-2.9325362400000001</v>
      </c>
      <c r="Q333">
        <f>0.0007049783*3600</f>
        <v>2.5379218799999999</v>
      </c>
    </row>
    <row r="334" spans="1:17" x14ac:dyDescent="0.3">
      <c r="A334" s="4" t="s">
        <v>47</v>
      </c>
      <c r="B334" t="s">
        <v>64</v>
      </c>
      <c r="C334">
        <v>98.828728999999996</v>
      </c>
      <c r="D334">
        <v>105.258217</v>
      </c>
      <c r="E334">
        <v>19.671600000000002</v>
      </c>
      <c r="F334">
        <v>19.601099999999999</v>
      </c>
      <c r="G334">
        <v>0.26100000000000001</v>
      </c>
      <c r="H334">
        <v>0</v>
      </c>
      <c r="I334" t="s">
        <v>0</v>
      </c>
      <c r="J334" t="s">
        <v>59</v>
      </c>
      <c r="K334">
        <v>3.4000000000000002E-2</v>
      </c>
      <c r="L334" t="s">
        <v>60</v>
      </c>
      <c r="M334">
        <v>1</v>
      </c>
      <c r="N334" t="s">
        <v>53</v>
      </c>
      <c r="O334" s="2">
        <v>0.40347222222222223</v>
      </c>
      <c r="P334">
        <f>0.0002560826*3600</f>
        <v>0.92189736000000011</v>
      </c>
      <c r="Q334">
        <f>-0.0005968532*3600</f>
        <v>-2.1486715200000002</v>
      </c>
    </row>
    <row r="335" spans="1:17" x14ac:dyDescent="0.3">
      <c r="A335" s="4" t="s">
        <v>47</v>
      </c>
      <c r="B335" t="s">
        <v>64</v>
      </c>
      <c r="C335">
        <v>298.82704100000001</v>
      </c>
      <c r="D335">
        <v>294.74077799999998</v>
      </c>
      <c r="E335">
        <v>19.671800000000001</v>
      </c>
      <c r="F335">
        <v>19.601199999999999</v>
      </c>
      <c r="G335">
        <v>0.26100000000000001</v>
      </c>
      <c r="H335">
        <v>0</v>
      </c>
      <c r="I335" t="s">
        <v>0</v>
      </c>
      <c r="J335" t="s">
        <v>59</v>
      </c>
      <c r="K335">
        <v>3.4000000000000002E-2</v>
      </c>
      <c r="L335" t="s">
        <v>60</v>
      </c>
      <c r="M335">
        <v>1</v>
      </c>
      <c r="N335" t="s">
        <v>53</v>
      </c>
      <c r="O335" s="2">
        <v>0.40416666666666662</v>
      </c>
      <c r="P335">
        <f>-0.0011297395*3600</f>
        <v>-4.0670621999999996</v>
      </c>
      <c r="Q335">
        <f>0.0005813421*3600</f>
        <v>2.09283156</v>
      </c>
    </row>
    <row r="336" spans="1:17" x14ac:dyDescent="0.3">
      <c r="A336" s="4" t="s">
        <v>47</v>
      </c>
      <c r="B336" t="s">
        <v>64</v>
      </c>
      <c r="C336">
        <v>98.827901999999995</v>
      </c>
      <c r="D336">
        <v>105.257927</v>
      </c>
      <c r="E336">
        <v>19.671700000000001</v>
      </c>
      <c r="F336">
        <v>19.601199999999999</v>
      </c>
      <c r="G336">
        <v>0.26100000000000001</v>
      </c>
      <c r="H336">
        <v>0</v>
      </c>
      <c r="I336" t="s">
        <v>0</v>
      </c>
      <c r="J336" t="s">
        <v>59</v>
      </c>
      <c r="K336">
        <v>3.4000000000000002E-2</v>
      </c>
      <c r="L336" t="s">
        <v>60</v>
      </c>
      <c r="M336">
        <v>1</v>
      </c>
      <c r="N336" t="s">
        <v>53</v>
      </c>
      <c r="O336" s="2">
        <v>0.4069444444444445</v>
      </c>
      <c r="P336">
        <f>0.0002083082*3600</f>
        <v>0.74990952</v>
      </c>
      <c r="Q336">
        <f>-0.000598904*3600</f>
        <v>-2.1560543999999999</v>
      </c>
    </row>
    <row r="337" spans="1:17" x14ac:dyDescent="0.3">
      <c r="A337" s="4" t="s">
        <v>47</v>
      </c>
      <c r="B337" t="s">
        <v>64</v>
      </c>
      <c r="C337">
        <v>298.827606</v>
      </c>
      <c r="D337">
        <v>294.74085500000001</v>
      </c>
      <c r="E337">
        <v>19.671800000000001</v>
      </c>
      <c r="F337">
        <v>19.601199999999999</v>
      </c>
      <c r="G337">
        <v>0.26100000000000001</v>
      </c>
      <c r="H337">
        <v>0</v>
      </c>
      <c r="I337" t="s">
        <v>0</v>
      </c>
      <c r="J337" t="s">
        <v>59</v>
      </c>
      <c r="K337">
        <v>3.4000000000000002E-2</v>
      </c>
      <c r="L337" t="s">
        <v>60</v>
      </c>
      <c r="M337">
        <v>1</v>
      </c>
      <c r="N337" t="s">
        <v>53</v>
      </c>
      <c r="O337" s="2">
        <v>0.40763888888888888</v>
      </c>
      <c r="P337">
        <f>-0.0012694923*3600</f>
        <v>-4.5701722799999995</v>
      </c>
      <c r="Q337">
        <f>0.0005861263*3600</f>
        <v>2.1100546799999997</v>
      </c>
    </row>
    <row r="338" spans="1:17" x14ac:dyDescent="0.3">
      <c r="A338" s="4" t="s">
        <v>47</v>
      </c>
      <c r="B338" t="s">
        <v>64</v>
      </c>
      <c r="C338">
        <v>98.826451000000006</v>
      </c>
      <c r="D338">
        <v>105.25310899999999</v>
      </c>
      <c r="E338">
        <v>19.671900000000001</v>
      </c>
      <c r="F338">
        <v>19.601500000000001</v>
      </c>
      <c r="G338">
        <v>0.26100000000000001</v>
      </c>
      <c r="H338">
        <v>0</v>
      </c>
      <c r="I338" t="s">
        <v>0</v>
      </c>
      <c r="J338" t="s">
        <v>59</v>
      </c>
      <c r="K338">
        <v>3.4000000000000002E-2</v>
      </c>
      <c r="L338" t="s">
        <v>60</v>
      </c>
      <c r="M338">
        <v>1</v>
      </c>
      <c r="N338" t="s">
        <v>53</v>
      </c>
      <c r="O338" s="2">
        <v>0.41041666666666665</v>
      </c>
      <c r="P338">
        <f>0.0005067353*3600</f>
        <v>1.8242470800000001</v>
      </c>
      <c r="Q338">
        <f>-0.0010479172*3600</f>
        <v>-3.7725019200000003</v>
      </c>
    </row>
    <row r="339" spans="1:17" x14ac:dyDescent="0.3">
      <c r="A339" s="4" t="s">
        <v>47</v>
      </c>
      <c r="B339" t="s">
        <v>64</v>
      </c>
      <c r="C339">
        <v>298.82823300000001</v>
      </c>
      <c r="D339">
        <v>294.74211100000002</v>
      </c>
      <c r="E339">
        <v>19.671800000000001</v>
      </c>
      <c r="F339">
        <v>19.601299999999998</v>
      </c>
      <c r="G339">
        <v>0.26100000000000001</v>
      </c>
      <c r="H339">
        <v>0</v>
      </c>
      <c r="I339" t="s">
        <v>0</v>
      </c>
      <c r="J339" t="s">
        <v>59</v>
      </c>
      <c r="K339">
        <v>3.4000000000000002E-2</v>
      </c>
      <c r="L339" t="s">
        <v>60</v>
      </c>
      <c r="M339">
        <v>1</v>
      </c>
      <c r="N339" t="s">
        <v>53</v>
      </c>
      <c r="O339" s="2">
        <v>0.41041666666666665</v>
      </c>
      <c r="P339">
        <f>-0.0013872299*3600</f>
        <v>-4.9940276399999997</v>
      </c>
      <c r="Q339">
        <f>0.0004318428*3600</f>
        <v>1.55463408</v>
      </c>
    </row>
    <row r="340" spans="1:17" x14ac:dyDescent="0.3">
      <c r="A340" s="4" t="s">
        <v>47</v>
      </c>
      <c r="B340" t="s">
        <v>64</v>
      </c>
      <c r="C340">
        <v>98.828890000000001</v>
      </c>
      <c r="D340">
        <v>105.260846</v>
      </c>
      <c r="E340">
        <v>19.6721</v>
      </c>
      <c r="F340">
        <v>19.601500000000001</v>
      </c>
      <c r="G340">
        <v>0.26100000000000001</v>
      </c>
      <c r="H340">
        <v>0</v>
      </c>
      <c r="I340" t="s">
        <v>0</v>
      </c>
      <c r="J340" t="s">
        <v>59</v>
      </c>
      <c r="K340">
        <v>3.4000000000000002E-2</v>
      </c>
      <c r="L340" t="s">
        <v>60</v>
      </c>
      <c r="M340">
        <v>1</v>
      </c>
      <c r="N340" t="s">
        <v>53</v>
      </c>
      <c r="O340" s="2">
        <v>0.41319444444444442</v>
      </c>
      <c r="P340">
        <f>0.0003490158*3600</f>
        <v>1.25645688</v>
      </c>
      <c r="Q340">
        <f>-0.0007164092*3600</f>
        <v>-2.5790731199999999</v>
      </c>
    </row>
    <row r="341" spans="1:17" x14ac:dyDescent="0.3">
      <c r="A341" s="4" t="s">
        <v>47</v>
      </c>
      <c r="B341" t="s">
        <v>64</v>
      </c>
      <c r="C341">
        <v>298.828078</v>
      </c>
      <c r="D341">
        <v>294.74592799999999</v>
      </c>
      <c r="E341">
        <v>19.671700000000001</v>
      </c>
      <c r="F341">
        <v>19.601299999999998</v>
      </c>
      <c r="G341">
        <v>0.26100000000000001</v>
      </c>
      <c r="H341">
        <v>0</v>
      </c>
      <c r="I341" t="s">
        <v>0</v>
      </c>
      <c r="J341" t="s">
        <v>59</v>
      </c>
      <c r="K341">
        <v>3.4000000000000002E-2</v>
      </c>
      <c r="L341" t="s">
        <v>60</v>
      </c>
      <c r="M341">
        <v>1</v>
      </c>
      <c r="N341" t="s">
        <v>53</v>
      </c>
      <c r="O341" s="2">
        <v>0.41319444444444442</v>
      </c>
      <c r="P341">
        <f>-0.0013378822*3600</f>
        <v>-4.8163759199999996</v>
      </c>
      <c r="Q341">
        <f>0.0004626041*3600</f>
        <v>1.66537476</v>
      </c>
    </row>
    <row r="342" spans="1:17" x14ac:dyDescent="0.3">
      <c r="A342" s="4" t="s">
        <v>47</v>
      </c>
      <c r="B342" t="s">
        <v>64</v>
      </c>
      <c r="C342">
        <v>98.827223000000004</v>
      </c>
      <c r="D342">
        <v>105.25847</v>
      </c>
      <c r="E342">
        <v>19.671600000000002</v>
      </c>
      <c r="F342">
        <v>19.601099999999999</v>
      </c>
      <c r="G342">
        <v>0.26100000000000001</v>
      </c>
      <c r="H342">
        <v>0</v>
      </c>
      <c r="I342" t="s">
        <v>0</v>
      </c>
      <c r="J342" t="s">
        <v>59</v>
      </c>
      <c r="K342">
        <v>3.4000000000000002E-2</v>
      </c>
      <c r="L342" t="s">
        <v>60</v>
      </c>
      <c r="M342">
        <v>1</v>
      </c>
      <c r="N342" t="s">
        <v>53</v>
      </c>
      <c r="O342" s="2">
        <v>0.41736111111111113</v>
      </c>
      <c r="P342">
        <f>0.0003829053*3600</f>
        <v>1.3784590800000001</v>
      </c>
      <c r="Q342">
        <f>-0.0006494955*3600</f>
        <v>-2.3381837999999999</v>
      </c>
    </row>
    <row r="343" spans="1:17" x14ac:dyDescent="0.3">
      <c r="A343" s="4" t="s">
        <v>47</v>
      </c>
      <c r="B343" t="s">
        <v>64</v>
      </c>
      <c r="C343">
        <v>298.827562</v>
      </c>
      <c r="D343">
        <v>294.742054</v>
      </c>
      <c r="E343">
        <v>19.671800000000001</v>
      </c>
      <c r="F343">
        <v>19.601299999999998</v>
      </c>
      <c r="G343">
        <v>0.26100000000000001</v>
      </c>
      <c r="H343">
        <v>0</v>
      </c>
      <c r="I343" t="s">
        <v>0</v>
      </c>
      <c r="J343" t="s">
        <v>59</v>
      </c>
      <c r="K343">
        <v>3.4000000000000002E-2</v>
      </c>
      <c r="L343" t="s">
        <v>60</v>
      </c>
      <c r="M343">
        <v>1</v>
      </c>
      <c r="N343" t="s">
        <v>53</v>
      </c>
      <c r="O343" s="2">
        <v>0.41805555555555557</v>
      </c>
      <c r="P343">
        <f>-0.0007084241*3600</f>
        <v>-2.5503267599999999</v>
      </c>
      <c r="Q343">
        <f>0.0008399617*3600</f>
        <v>3.02386212</v>
      </c>
    </row>
    <row r="344" spans="1:17" x14ac:dyDescent="0.3">
      <c r="A344" s="4" t="s">
        <v>47</v>
      </c>
      <c r="B344" t="s">
        <v>64</v>
      </c>
      <c r="C344">
        <v>98.827216000000007</v>
      </c>
      <c r="D344">
        <v>105.258365</v>
      </c>
      <c r="E344">
        <v>19.671700000000001</v>
      </c>
      <c r="F344">
        <v>19.601199999999999</v>
      </c>
      <c r="G344">
        <v>0.26100000000000001</v>
      </c>
      <c r="H344">
        <v>0</v>
      </c>
      <c r="I344" t="s">
        <v>0</v>
      </c>
      <c r="J344" t="s">
        <v>59</v>
      </c>
      <c r="K344">
        <v>3.4000000000000002E-2</v>
      </c>
      <c r="L344" t="s">
        <v>60</v>
      </c>
      <c r="M344">
        <v>1</v>
      </c>
      <c r="N344" t="s">
        <v>53</v>
      </c>
      <c r="O344" s="2">
        <v>0.42083333333333334</v>
      </c>
      <c r="P344">
        <f>0.0005681936*3600</f>
        <v>2.0454969599999999</v>
      </c>
      <c r="Q344">
        <f>-0.001324867*3600</f>
        <v>-4.7695211999999998</v>
      </c>
    </row>
    <row r="345" spans="1:17" x14ac:dyDescent="0.3">
      <c r="A345" s="4" t="s">
        <v>47</v>
      </c>
      <c r="B345" t="s">
        <v>64</v>
      </c>
      <c r="C345">
        <v>298.82825500000001</v>
      </c>
      <c r="D345">
        <v>294.74113699999998</v>
      </c>
      <c r="E345">
        <v>19.671800000000001</v>
      </c>
      <c r="F345">
        <v>19.601199999999999</v>
      </c>
      <c r="G345">
        <v>0.26100000000000001</v>
      </c>
      <c r="H345">
        <v>0</v>
      </c>
      <c r="I345" t="s">
        <v>0</v>
      </c>
      <c r="J345" t="s">
        <v>59</v>
      </c>
      <c r="K345">
        <v>3.4000000000000002E-2</v>
      </c>
      <c r="L345" t="s">
        <v>60</v>
      </c>
      <c r="M345">
        <v>1</v>
      </c>
      <c r="N345" t="s">
        <v>53</v>
      </c>
      <c r="O345" s="2">
        <v>0.42152777777777778</v>
      </c>
      <c r="P345">
        <f>-0.0013761714*3600</f>
        <v>-4.9542170399999996</v>
      </c>
      <c r="Q345">
        <f>0.0007179277*3600</f>
        <v>2.58453972</v>
      </c>
    </row>
    <row r="346" spans="1:17" x14ac:dyDescent="0.3">
      <c r="A346" s="4" t="s">
        <v>47</v>
      </c>
      <c r="B346" t="s">
        <v>64</v>
      </c>
      <c r="C346">
        <v>98.828327000000002</v>
      </c>
      <c r="D346">
        <v>105.255608</v>
      </c>
      <c r="E346">
        <v>19.671700000000001</v>
      </c>
      <c r="F346">
        <v>19.601199999999999</v>
      </c>
      <c r="G346">
        <v>0.26100000000000001</v>
      </c>
      <c r="H346">
        <v>0</v>
      </c>
      <c r="I346" t="s">
        <v>0</v>
      </c>
      <c r="J346" t="s">
        <v>59</v>
      </c>
      <c r="K346">
        <v>3.4000000000000002E-2</v>
      </c>
      <c r="L346" t="s">
        <v>60</v>
      </c>
      <c r="M346">
        <v>1</v>
      </c>
      <c r="N346" t="s">
        <v>53</v>
      </c>
      <c r="O346" s="2">
        <v>0.42708333333333331</v>
      </c>
      <c r="P346">
        <f>0.0004513197*3600</f>
        <v>1.6247509200000001</v>
      </c>
      <c r="Q346">
        <f>-0.0006697114*3600</f>
        <v>-2.4109610400000001</v>
      </c>
    </row>
    <row r="347" spans="1:17" x14ac:dyDescent="0.3">
      <c r="A347" s="4" t="s">
        <v>47</v>
      </c>
      <c r="B347" t="s">
        <v>64</v>
      </c>
      <c r="C347">
        <v>298.82754799999998</v>
      </c>
      <c r="D347">
        <v>294.74161299999997</v>
      </c>
      <c r="E347">
        <v>19.671500000000002</v>
      </c>
      <c r="F347">
        <v>19.600999999999999</v>
      </c>
      <c r="G347">
        <v>0.26100000000000001</v>
      </c>
      <c r="H347">
        <v>0</v>
      </c>
      <c r="I347" t="s">
        <v>0</v>
      </c>
      <c r="J347" t="s">
        <v>59</v>
      </c>
      <c r="K347">
        <v>3.4000000000000002E-2</v>
      </c>
      <c r="L347" t="s">
        <v>60</v>
      </c>
      <c r="M347">
        <v>1</v>
      </c>
      <c r="N347" t="s">
        <v>53</v>
      </c>
      <c r="O347" s="2">
        <v>0.42708333333333331</v>
      </c>
      <c r="P347">
        <f>-0.0007738969*3600</f>
        <v>-2.7860288400000002</v>
      </c>
      <c r="Q347">
        <f>0.000982137*3600</f>
        <v>3.5356931999999994</v>
      </c>
    </row>
    <row r="348" spans="1:17" x14ac:dyDescent="0.3">
      <c r="A348" s="4" t="s">
        <v>47</v>
      </c>
      <c r="B348" t="s">
        <v>64</v>
      </c>
      <c r="C348">
        <v>98.828688</v>
      </c>
      <c r="D348">
        <v>105.257226</v>
      </c>
      <c r="E348">
        <v>19.671800000000001</v>
      </c>
      <c r="F348">
        <v>19.601299999999998</v>
      </c>
      <c r="G348">
        <v>0.26100000000000001</v>
      </c>
      <c r="H348">
        <v>0</v>
      </c>
      <c r="I348" t="s">
        <v>0</v>
      </c>
      <c r="J348" t="s">
        <v>59</v>
      </c>
      <c r="K348">
        <v>3.4000000000000002E-2</v>
      </c>
      <c r="L348" t="s">
        <v>60</v>
      </c>
      <c r="M348">
        <v>1</v>
      </c>
      <c r="N348" t="s">
        <v>53</v>
      </c>
      <c r="O348" s="2">
        <v>0.42986111111111108</v>
      </c>
      <c r="P348">
        <f>0.000410416*3600</f>
        <v>1.4774976</v>
      </c>
      <c r="Q348">
        <f>-0.0013027095*3600</f>
        <v>-4.6897541999999994</v>
      </c>
    </row>
    <row r="349" spans="1:17" x14ac:dyDescent="0.3">
      <c r="A349" s="4" t="s">
        <v>47</v>
      </c>
      <c r="B349" t="s">
        <v>64</v>
      </c>
      <c r="C349">
        <v>298.82774599999999</v>
      </c>
      <c r="D349">
        <v>294.74159900000001</v>
      </c>
      <c r="E349">
        <v>19.672000000000001</v>
      </c>
      <c r="F349">
        <v>19.601500000000001</v>
      </c>
      <c r="G349">
        <v>0.26100000000000001</v>
      </c>
      <c r="H349">
        <v>0</v>
      </c>
      <c r="I349" t="s">
        <v>0</v>
      </c>
      <c r="J349" t="s">
        <v>59</v>
      </c>
      <c r="K349">
        <v>3.4000000000000002E-2</v>
      </c>
      <c r="L349" t="s">
        <v>60</v>
      </c>
      <c r="M349">
        <v>1</v>
      </c>
      <c r="N349" t="s">
        <v>53</v>
      </c>
      <c r="O349" s="2">
        <v>0.42986111111111108</v>
      </c>
      <c r="P349">
        <f>-0.0007876007*3600</f>
        <v>-2.8353625199999999</v>
      </c>
      <c r="Q349">
        <f>0.0009527263*3600</f>
        <v>3.4298146799999998</v>
      </c>
    </row>
    <row r="350" spans="1:17" x14ac:dyDescent="0.3">
      <c r="A350" s="4" t="s">
        <v>47</v>
      </c>
      <c r="B350" t="s">
        <v>64</v>
      </c>
      <c r="C350">
        <v>98.827984999999998</v>
      </c>
      <c r="D350">
        <v>105.26465</v>
      </c>
      <c r="E350">
        <v>19.6721</v>
      </c>
      <c r="F350">
        <v>19.601400000000002</v>
      </c>
      <c r="G350">
        <v>0.26100000000000001</v>
      </c>
      <c r="H350">
        <v>0</v>
      </c>
      <c r="I350" t="s">
        <v>0</v>
      </c>
      <c r="J350" t="s">
        <v>59</v>
      </c>
      <c r="K350">
        <v>3.4000000000000002E-2</v>
      </c>
      <c r="L350" t="s">
        <v>60</v>
      </c>
      <c r="M350">
        <v>1</v>
      </c>
      <c r="N350" t="s">
        <v>53</v>
      </c>
      <c r="O350" s="2">
        <v>0.43194444444444446</v>
      </c>
      <c r="P350">
        <f>0.0004388325*3600</f>
        <v>1.5797970000000001</v>
      </c>
      <c r="Q350">
        <f>-0.001265101*3600</f>
        <v>-4.5543636000000003</v>
      </c>
    </row>
    <row r="351" spans="1:17" x14ac:dyDescent="0.3">
      <c r="A351" s="4" t="s">
        <v>47</v>
      </c>
      <c r="B351" t="s">
        <v>64</v>
      </c>
      <c r="C351">
        <v>298.82833499999998</v>
      </c>
      <c r="D351">
        <v>294.74138799999997</v>
      </c>
      <c r="E351">
        <v>19.671800000000001</v>
      </c>
      <c r="F351">
        <v>19.601299999999998</v>
      </c>
      <c r="G351">
        <v>0.26100000000000001</v>
      </c>
      <c r="H351">
        <v>0</v>
      </c>
      <c r="I351" t="s">
        <v>0</v>
      </c>
      <c r="J351" t="s">
        <v>59</v>
      </c>
      <c r="K351">
        <v>3.4000000000000002E-2</v>
      </c>
      <c r="L351" t="s">
        <v>60</v>
      </c>
      <c r="M351">
        <v>1</v>
      </c>
      <c r="N351" t="s">
        <v>53</v>
      </c>
      <c r="O351" s="2">
        <v>0.43263888888888885</v>
      </c>
      <c r="P351">
        <f>-0.0016364875*3600</f>
        <v>-5.8913549999999999</v>
      </c>
      <c r="Q351">
        <f>0.0008297323*3600</f>
        <v>2.9870362799999999</v>
      </c>
    </row>
    <row r="352" spans="1:17" x14ac:dyDescent="0.3">
      <c r="A352" s="4" t="s">
        <v>47</v>
      </c>
      <c r="B352" t="s">
        <v>64</v>
      </c>
      <c r="C352">
        <v>98.827797000000004</v>
      </c>
      <c r="D352">
        <v>105.258869</v>
      </c>
      <c r="E352">
        <v>19.6721</v>
      </c>
      <c r="F352">
        <v>19.601500000000001</v>
      </c>
      <c r="G352">
        <v>0.26100000000000001</v>
      </c>
      <c r="H352">
        <v>0</v>
      </c>
      <c r="I352" t="s">
        <v>0</v>
      </c>
      <c r="J352" t="s">
        <v>59</v>
      </c>
      <c r="K352">
        <v>3.4000000000000002E-2</v>
      </c>
      <c r="L352" t="s">
        <v>60</v>
      </c>
      <c r="M352">
        <v>1</v>
      </c>
      <c r="N352" t="s">
        <v>53</v>
      </c>
      <c r="O352" s="2">
        <v>0.43472222222222223</v>
      </c>
      <c r="P352">
        <f>0.0004343372*3600</f>
        <v>1.5636139199999999</v>
      </c>
      <c r="Q352">
        <f>-0.001157905*3600</f>
        <v>-4.1684580000000002</v>
      </c>
    </row>
    <row r="353" spans="1:18" x14ac:dyDescent="0.3">
      <c r="A353" s="4" t="s">
        <v>47</v>
      </c>
      <c r="B353" t="s">
        <v>64</v>
      </c>
      <c r="C353">
        <v>298.827494</v>
      </c>
      <c r="D353">
        <v>294.74104699999998</v>
      </c>
      <c r="E353">
        <v>19.671700000000001</v>
      </c>
      <c r="F353">
        <v>19.601099999999999</v>
      </c>
      <c r="G353">
        <v>0.26100000000000001</v>
      </c>
      <c r="H353">
        <v>0</v>
      </c>
      <c r="I353" t="s">
        <v>0</v>
      </c>
      <c r="J353" t="s">
        <v>59</v>
      </c>
      <c r="K353">
        <v>3.4000000000000002E-2</v>
      </c>
      <c r="L353" t="s">
        <v>60</v>
      </c>
      <c r="M353">
        <v>1</v>
      </c>
      <c r="N353" t="s">
        <v>53</v>
      </c>
      <c r="O353" s="2">
        <v>0.43472222222222223</v>
      </c>
      <c r="P353">
        <f>-0.0009198463*3600</f>
        <v>-3.31144668</v>
      </c>
      <c r="Q353">
        <f>0.0010331023*3600</f>
        <v>3.7191682800000003</v>
      </c>
    </row>
    <row r="354" spans="1:18" x14ac:dyDescent="0.3">
      <c r="A354" s="4" t="s">
        <v>47</v>
      </c>
      <c r="B354" t="s">
        <v>64</v>
      </c>
      <c r="C354">
        <v>98.827067</v>
      </c>
      <c r="D354">
        <v>105.25942999999999</v>
      </c>
      <c r="E354">
        <v>19.672000000000001</v>
      </c>
      <c r="F354">
        <v>19.601400000000002</v>
      </c>
      <c r="G354">
        <v>0.26100000000000001</v>
      </c>
      <c r="H354">
        <v>0</v>
      </c>
      <c r="I354" t="s">
        <v>0</v>
      </c>
      <c r="J354" t="s">
        <v>59</v>
      </c>
      <c r="K354">
        <v>3.4000000000000002E-2</v>
      </c>
      <c r="L354" t="s">
        <v>60</v>
      </c>
      <c r="M354">
        <v>1</v>
      </c>
      <c r="N354" t="s">
        <v>53</v>
      </c>
      <c r="O354" s="2">
        <v>0.4368055555555555</v>
      </c>
      <c r="P354">
        <f>0.0004120538*3600</f>
        <v>1.48339368</v>
      </c>
      <c r="Q354">
        <f>-0.0014696521*3600</f>
        <v>-5.2907475599999998</v>
      </c>
    </row>
    <row r="355" spans="1:18" x14ac:dyDescent="0.3">
      <c r="A355" s="4" t="s">
        <v>47</v>
      </c>
      <c r="B355" t="s">
        <v>64</v>
      </c>
      <c r="C355">
        <v>298.82681700000001</v>
      </c>
      <c r="D355">
        <v>294.74127299999998</v>
      </c>
      <c r="E355">
        <v>19.671600000000002</v>
      </c>
      <c r="F355">
        <v>19.601099999999999</v>
      </c>
      <c r="G355">
        <v>0.26100000000000001</v>
      </c>
      <c r="H355">
        <v>0</v>
      </c>
      <c r="I355" t="s">
        <v>0</v>
      </c>
      <c r="J355" t="s">
        <v>59</v>
      </c>
      <c r="K355">
        <v>3.4000000000000002E-2</v>
      </c>
      <c r="L355" t="s">
        <v>60</v>
      </c>
      <c r="M355">
        <v>1</v>
      </c>
      <c r="N355" t="s">
        <v>53</v>
      </c>
      <c r="O355" s="2">
        <v>0.4375</v>
      </c>
      <c r="P355">
        <f>-0.0010302514*3600</f>
        <v>-3.7089050399999999</v>
      </c>
      <c r="Q355">
        <f>0.0009654338*3600</f>
        <v>3.4755616799999998</v>
      </c>
    </row>
    <row r="356" spans="1:18" x14ac:dyDescent="0.3">
      <c r="A356" s="4" t="s">
        <v>47</v>
      </c>
      <c r="B356" t="s">
        <v>64</v>
      </c>
      <c r="C356">
        <v>98.828821000000005</v>
      </c>
      <c r="D356">
        <v>105.25765699999999</v>
      </c>
      <c r="E356">
        <v>19.671600000000002</v>
      </c>
      <c r="F356">
        <v>19.601099999999999</v>
      </c>
      <c r="G356">
        <v>0.26100000000000001</v>
      </c>
      <c r="H356">
        <v>0</v>
      </c>
      <c r="I356" t="s">
        <v>0</v>
      </c>
      <c r="J356" t="s">
        <v>59</v>
      </c>
      <c r="K356">
        <v>3.4000000000000002E-2</v>
      </c>
      <c r="L356" t="s">
        <v>60</v>
      </c>
      <c r="M356">
        <v>1</v>
      </c>
      <c r="N356" t="s">
        <v>53</v>
      </c>
      <c r="O356" s="2">
        <v>0.44166666666666665</v>
      </c>
      <c r="P356">
        <f>0.0003849891*3600</f>
        <v>1.3859607599999999</v>
      </c>
      <c r="Q356">
        <f>-0.0014008516*3600</f>
        <v>-5.0430657600000002</v>
      </c>
    </row>
    <row r="357" spans="1:18" x14ac:dyDescent="0.3">
      <c r="A357" s="4" t="s">
        <v>47</v>
      </c>
      <c r="B357" t="s">
        <v>64</v>
      </c>
      <c r="C357">
        <v>298.826819</v>
      </c>
      <c r="D357">
        <v>294.741401</v>
      </c>
      <c r="E357">
        <v>19.671700000000001</v>
      </c>
      <c r="F357">
        <v>19.601199999999999</v>
      </c>
      <c r="G357">
        <v>0.26100000000000001</v>
      </c>
      <c r="H357">
        <v>0</v>
      </c>
      <c r="I357" t="s">
        <v>0</v>
      </c>
      <c r="J357" t="s">
        <v>59</v>
      </c>
      <c r="K357">
        <v>3.4000000000000002E-2</v>
      </c>
      <c r="L357" t="s">
        <v>60</v>
      </c>
      <c r="M357">
        <v>1</v>
      </c>
      <c r="N357" t="s">
        <v>53</v>
      </c>
      <c r="O357" s="2">
        <v>0.44166666666666665</v>
      </c>
      <c r="P357">
        <f>-0.0010529759*3600</f>
        <v>-3.7907132399999997</v>
      </c>
      <c r="Q357">
        <f>0.0010639689*3600</f>
        <v>3.8302880400000001</v>
      </c>
    </row>
    <row r="358" spans="1:18" x14ac:dyDescent="0.3">
      <c r="A358" s="4" t="s">
        <v>47</v>
      </c>
      <c r="B358" t="s">
        <v>64</v>
      </c>
      <c r="C358">
        <v>98.827890999999994</v>
      </c>
      <c r="D358">
        <v>105.258017</v>
      </c>
      <c r="E358">
        <v>19.671900000000001</v>
      </c>
      <c r="F358">
        <v>19.601400000000002</v>
      </c>
      <c r="G358">
        <v>0.26100000000000001</v>
      </c>
      <c r="H358">
        <v>0</v>
      </c>
      <c r="I358" t="s">
        <v>0</v>
      </c>
      <c r="J358" t="s">
        <v>59</v>
      </c>
      <c r="K358">
        <v>3.4000000000000002E-2</v>
      </c>
      <c r="L358" t="s">
        <v>60</v>
      </c>
      <c r="M358">
        <v>1</v>
      </c>
      <c r="N358" t="s">
        <v>53</v>
      </c>
      <c r="O358" s="2">
        <v>0.44375000000000003</v>
      </c>
      <c r="P358">
        <f>0.00036727*3600</f>
        <v>1.3221719999999999</v>
      </c>
      <c r="Q358">
        <f>-0.0015178245*3600</f>
        <v>-5.4641682000000005</v>
      </c>
    </row>
    <row r="359" spans="1:18" x14ac:dyDescent="0.3">
      <c r="A359" s="4" t="s">
        <v>47</v>
      </c>
      <c r="B359" t="s">
        <v>64</v>
      </c>
      <c r="C359">
        <v>298.83016099999998</v>
      </c>
      <c r="D359">
        <v>294.741873</v>
      </c>
      <c r="E359">
        <v>19.671600000000002</v>
      </c>
      <c r="F359">
        <v>19.601099999999999</v>
      </c>
      <c r="G359">
        <v>0.26100000000000001</v>
      </c>
      <c r="H359">
        <v>0</v>
      </c>
      <c r="I359" t="s">
        <v>0</v>
      </c>
      <c r="J359" t="s">
        <v>59</v>
      </c>
      <c r="K359">
        <v>3.4000000000000002E-2</v>
      </c>
      <c r="L359" t="s">
        <v>60</v>
      </c>
      <c r="M359">
        <v>1</v>
      </c>
      <c r="N359" t="s">
        <v>53</v>
      </c>
      <c r="O359" s="2">
        <v>0.44375000000000003</v>
      </c>
      <c r="P359">
        <f>-0.0012024842*3600</f>
        <v>-4.3289431199999999</v>
      </c>
      <c r="Q359">
        <f>0.0010346479*3600</f>
        <v>3.7247324399999999</v>
      </c>
    </row>
    <row r="360" spans="1:18" x14ac:dyDescent="0.3">
      <c r="A360" s="4" t="s">
        <v>47</v>
      </c>
      <c r="B360" t="s">
        <v>40</v>
      </c>
      <c r="C360" t="s">
        <v>41</v>
      </c>
      <c r="D360" t="s">
        <v>42</v>
      </c>
      <c r="E360">
        <v>6</v>
      </c>
    </row>
    <row r="361" spans="1:18" x14ac:dyDescent="0.3">
      <c r="A361" s="4" t="s">
        <v>47</v>
      </c>
      <c r="B361" t="s">
        <v>43</v>
      </c>
      <c r="C361" t="s">
        <v>44</v>
      </c>
      <c r="D361">
        <v>-179</v>
      </c>
    </row>
    <row r="362" spans="1:18" x14ac:dyDescent="0.3">
      <c r="A362" s="4" t="s">
        <v>47</v>
      </c>
      <c r="B362" t="s">
        <v>43</v>
      </c>
      <c r="C362" t="s">
        <v>45</v>
      </c>
      <c r="D362" t="s">
        <v>44</v>
      </c>
      <c r="E362">
        <v>0.99982127129999998</v>
      </c>
    </row>
    <row r="366" spans="1:18" x14ac:dyDescent="0.3">
      <c r="A366" t="s">
        <v>46</v>
      </c>
      <c r="B366" s="4" t="s">
        <v>47</v>
      </c>
    </row>
    <row r="367" spans="1:18" x14ac:dyDescent="0.3">
      <c r="A367" s="4" t="s">
        <v>47</v>
      </c>
      <c r="B367" t="s">
        <v>49</v>
      </c>
      <c r="C367">
        <v>202.35008099999999</v>
      </c>
      <c r="D367">
        <v>99.288820000000001</v>
      </c>
      <c r="E367">
        <v>503.00009999999997</v>
      </c>
      <c r="F367">
        <v>502.8784</v>
      </c>
      <c r="G367">
        <v>0.26100000000000001</v>
      </c>
      <c r="H367">
        <v>1.746</v>
      </c>
      <c r="I367" t="s">
        <v>0</v>
      </c>
      <c r="J367" t="s">
        <v>50</v>
      </c>
      <c r="K367" t="s">
        <v>51</v>
      </c>
      <c r="L367">
        <v>0</v>
      </c>
      <c r="M367" t="s">
        <v>52</v>
      </c>
      <c r="N367">
        <v>1</v>
      </c>
      <c r="O367" t="s">
        <v>53</v>
      </c>
      <c r="P367" s="2">
        <v>0.44791666666666669</v>
      </c>
      <c r="Q367">
        <f>-0.0003045889*3600</f>
        <v>-1.0965200399999999</v>
      </c>
      <c r="R367">
        <f>-0.0001109822*3600</f>
        <v>-0.39953591999999999</v>
      </c>
    </row>
    <row r="368" spans="1:18" s="8" customFormat="1" x14ac:dyDescent="0.3">
      <c r="A368" s="8" t="s">
        <v>1781</v>
      </c>
      <c r="P368" s="9"/>
    </row>
    <row r="369" spans="1:18" x14ac:dyDescent="0.3">
      <c r="A369" s="4" t="s">
        <v>47</v>
      </c>
      <c r="B369" t="s">
        <v>54</v>
      </c>
      <c r="C369">
        <v>341.80827699999998</v>
      </c>
      <c r="D369">
        <v>104.16777399999999</v>
      </c>
      <c r="E369">
        <v>15.4016</v>
      </c>
      <c r="F369">
        <v>15.3659</v>
      </c>
      <c r="G369">
        <v>0.26100000000000001</v>
      </c>
      <c r="H369">
        <v>1.6479999999999999</v>
      </c>
      <c r="I369" t="s">
        <v>0</v>
      </c>
      <c r="J369" t="s">
        <v>50</v>
      </c>
      <c r="K369" t="s">
        <v>51</v>
      </c>
      <c r="L369">
        <v>0</v>
      </c>
      <c r="M369" t="s">
        <v>52</v>
      </c>
      <c r="N369">
        <v>1</v>
      </c>
      <c r="O369" t="s">
        <v>53</v>
      </c>
      <c r="P369" s="2">
        <v>0.45</v>
      </c>
      <c r="Q369">
        <f>-0.0018325014*3600</f>
        <v>-6.59700504</v>
      </c>
      <c r="R369">
        <f>0.0005612932*3600</f>
        <v>2.02065552</v>
      </c>
    </row>
    <row r="370" spans="1:18" x14ac:dyDescent="0.3">
      <c r="A370" s="4" t="s">
        <v>47</v>
      </c>
      <c r="B370" t="s">
        <v>54</v>
      </c>
      <c r="C370">
        <v>141.80735999999999</v>
      </c>
      <c r="D370">
        <v>295.83203900000001</v>
      </c>
      <c r="E370">
        <v>15.4017</v>
      </c>
      <c r="F370">
        <v>15.366</v>
      </c>
      <c r="G370">
        <v>0.26100000000000001</v>
      </c>
      <c r="H370">
        <v>1.6479999999999999</v>
      </c>
      <c r="I370" t="s">
        <v>0</v>
      </c>
      <c r="J370" t="s">
        <v>50</v>
      </c>
      <c r="K370" t="s">
        <v>51</v>
      </c>
      <c r="L370">
        <v>0</v>
      </c>
      <c r="M370" t="s">
        <v>52</v>
      </c>
      <c r="N370">
        <v>1</v>
      </c>
      <c r="O370" t="s">
        <v>53</v>
      </c>
      <c r="P370" s="2">
        <v>0.45208333333333334</v>
      </c>
      <c r="Q370">
        <f>0.0011324734*3600</f>
        <v>4.0769042400000002</v>
      </c>
      <c r="R370">
        <f>-0.0007271416*3600</f>
        <v>-2.6177097600000003</v>
      </c>
    </row>
    <row r="371" spans="1:18" x14ac:dyDescent="0.3">
      <c r="A371" s="4" t="s">
        <v>47</v>
      </c>
      <c r="B371" t="s">
        <v>54</v>
      </c>
      <c r="C371">
        <v>341.80778299999997</v>
      </c>
      <c r="D371">
        <v>104.16784</v>
      </c>
      <c r="E371">
        <v>15.4016</v>
      </c>
      <c r="F371">
        <v>15.3659</v>
      </c>
      <c r="G371">
        <v>0.26100000000000001</v>
      </c>
      <c r="H371">
        <v>1.6479999999999999</v>
      </c>
      <c r="I371" t="s">
        <v>0</v>
      </c>
      <c r="J371" t="s">
        <v>50</v>
      </c>
      <c r="K371" t="s">
        <v>51</v>
      </c>
      <c r="L371">
        <v>0</v>
      </c>
      <c r="M371" t="s">
        <v>52</v>
      </c>
      <c r="N371">
        <v>1</v>
      </c>
      <c r="O371" t="s">
        <v>53</v>
      </c>
      <c r="P371" s="2">
        <v>0.45347222222222222</v>
      </c>
      <c r="Q371">
        <f>-0.0022116068*3600</f>
        <v>-7.9617844799999995</v>
      </c>
      <c r="R371">
        <f>0.000696199*3600</f>
        <v>2.5063163999999998</v>
      </c>
    </row>
    <row r="372" spans="1:18" x14ac:dyDescent="0.3">
      <c r="A372" s="4" t="s">
        <v>47</v>
      </c>
      <c r="B372" t="s">
        <v>54</v>
      </c>
      <c r="C372">
        <v>141.80872600000001</v>
      </c>
      <c r="D372">
        <v>295.83188200000001</v>
      </c>
      <c r="E372">
        <v>15.4017</v>
      </c>
      <c r="F372">
        <v>15.366</v>
      </c>
      <c r="G372">
        <v>0.26100000000000001</v>
      </c>
      <c r="H372">
        <v>1.6479999999999999</v>
      </c>
      <c r="I372" t="s">
        <v>0</v>
      </c>
      <c r="J372" t="s">
        <v>50</v>
      </c>
      <c r="K372" t="s">
        <v>51</v>
      </c>
      <c r="L372">
        <v>0</v>
      </c>
      <c r="M372" t="s">
        <v>52</v>
      </c>
      <c r="N372">
        <v>1</v>
      </c>
      <c r="O372" t="s">
        <v>53</v>
      </c>
      <c r="P372" s="2">
        <v>0.45416666666666666</v>
      </c>
      <c r="Q372">
        <f>0.0009602813*3600</f>
        <v>3.4570126800000001</v>
      </c>
      <c r="R372">
        <f>-0.0007821081*3600</f>
        <v>-2.81558916</v>
      </c>
    </row>
    <row r="373" spans="1:18" x14ac:dyDescent="0.3">
      <c r="A373" s="4" t="s">
        <v>47</v>
      </c>
      <c r="B373" t="s">
        <v>54</v>
      </c>
      <c r="C373">
        <v>341.80826400000001</v>
      </c>
      <c r="D373">
        <v>104.167688</v>
      </c>
      <c r="E373">
        <v>15.4015</v>
      </c>
      <c r="F373">
        <v>15.3658</v>
      </c>
      <c r="G373">
        <v>0.26100000000000001</v>
      </c>
      <c r="H373">
        <v>1.6479999999999999</v>
      </c>
      <c r="I373" t="s">
        <v>0</v>
      </c>
      <c r="J373" t="s">
        <v>50</v>
      </c>
      <c r="K373" t="s">
        <v>51</v>
      </c>
      <c r="L373">
        <v>0</v>
      </c>
      <c r="M373" t="s">
        <v>52</v>
      </c>
      <c r="N373">
        <v>1</v>
      </c>
      <c r="O373" t="s">
        <v>53</v>
      </c>
      <c r="P373" s="2">
        <v>0.45416666666666666</v>
      </c>
      <c r="Q373">
        <f>-0.0021422355*3600</f>
        <v>-7.7120477999999997</v>
      </c>
      <c r="R373">
        <f>0.0008090684*3600</f>
        <v>2.9126462399999999</v>
      </c>
    </row>
    <row r="374" spans="1:18" x14ac:dyDescent="0.3">
      <c r="A374" s="4" t="s">
        <v>47</v>
      </c>
      <c r="B374" t="s">
        <v>54</v>
      </c>
      <c r="C374">
        <v>141.807332</v>
      </c>
      <c r="D374">
        <v>295.83188799999999</v>
      </c>
      <c r="E374">
        <v>15.401999999999999</v>
      </c>
      <c r="F374">
        <v>15.366300000000001</v>
      </c>
      <c r="G374">
        <v>0.26100000000000001</v>
      </c>
      <c r="H374">
        <v>1.6479999999999999</v>
      </c>
      <c r="I374" t="s">
        <v>0</v>
      </c>
      <c r="J374" t="s">
        <v>50</v>
      </c>
      <c r="K374" t="s">
        <v>51</v>
      </c>
      <c r="L374">
        <v>0</v>
      </c>
      <c r="M374" t="s">
        <v>52</v>
      </c>
      <c r="N374">
        <v>1</v>
      </c>
      <c r="O374" t="s">
        <v>53</v>
      </c>
      <c r="P374" s="2">
        <v>0.4548611111111111</v>
      </c>
      <c r="Q374">
        <f>0.0008532012*3600</f>
        <v>3.07152432</v>
      </c>
      <c r="R374">
        <f>-0.0008850825*3600</f>
        <v>-3.1862970000000002</v>
      </c>
    </row>
    <row r="375" spans="1:18" x14ac:dyDescent="0.3">
      <c r="A375" s="4" t="s">
        <v>47</v>
      </c>
      <c r="B375" t="s">
        <v>54</v>
      </c>
      <c r="C375">
        <v>341.80756200000002</v>
      </c>
      <c r="D375">
        <v>104.167531</v>
      </c>
      <c r="E375">
        <v>15.4018</v>
      </c>
      <c r="F375">
        <v>15.366099999999999</v>
      </c>
      <c r="G375">
        <v>0.26100000000000001</v>
      </c>
      <c r="H375">
        <v>1.6479999999999999</v>
      </c>
      <c r="I375" t="s">
        <v>0</v>
      </c>
      <c r="J375" t="s">
        <v>50</v>
      </c>
      <c r="K375" t="s">
        <v>51</v>
      </c>
      <c r="L375">
        <v>0</v>
      </c>
      <c r="M375" t="s">
        <v>52</v>
      </c>
      <c r="N375">
        <v>1</v>
      </c>
      <c r="O375" t="s">
        <v>53</v>
      </c>
      <c r="P375" s="2">
        <v>0.45555555555555555</v>
      </c>
      <c r="Q375">
        <f>-0.0016552697*3600</f>
        <v>-5.9589709200000005</v>
      </c>
      <c r="R375">
        <f>0.0009375281*3600</f>
        <v>3.3751011599999998</v>
      </c>
    </row>
    <row r="376" spans="1:18" x14ac:dyDescent="0.3">
      <c r="A376" s="4" t="s">
        <v>47</v>
      </c>
      <c r="B376" t="s">
        <v>54</v>
      </c>
      <c r="C376">
        <v>141.807301</v>
      </c>
      <c r="D376">
        <v>295.831638</v>
      </c>
      <c r="E376">
        <v>15.4017</v>
      </c>
      <c r="F376">
        <v>15.366</v>
      </c>
      <c r="G376">
        <v>0.26100000000000001</v>
      </c>
      <c r="H376">
        <v>1.6479999999999999</v>
      </c>
      <c r="I376" t="s">
        <v>0</v>
      </c>
      <c r="J376" t="s">
        <v>50</v>
      </c>
      <c r="K376" t="s">
        <v>51</v>
      </c>
      <c r="L376">
        <v>0</v>
      </c>
      <c r="M376" t="s">
        <v>52</v>
      </c>
      <c r="N376">
        <v>1</v>
      </c>
      <c r="O376" t="s">
        <v>53</v>
      </c>
      <c r="P376" s="2">
        <v>0.45555555555555555</v>
      </c>
      <c r="Q376">
        <f>0.0010230657*3600</f>
        <v>3.6830365200000004</v>
      </c>
      <c r="R376">
        <f>-0.0009109873*3600</f>
        <v>-3.2795542800000002</v>
      </c>
    </row>
    <row r="377" spans="1:18" x14ac:dyDescent="0.3">
      <c r="A377" s="4" t="s">
        <v>47</v>
      </c>
      <c r="B377" t="s">
        <v>54</v>
      </c>
      <c r="C377">
        <v>341.80790500000001</v>
      </c>
      <c r="D377">
        <v>104.167727</v>
      </c>
      <c r="E377">
        <v>15.4015</v>
      </c>
      <c r="F377">
        <v>15.3658</v>
      </c>
      <c r="G377">
        <v>0.26100000000000001</v>
      </c>
      <c r="H377">
        <v>1.6479999999999999</v>
      </c>
      <c r="I377" t="s">
        <v>0</v>
      </c>
      <c r="J377" t="s">
        <v>50</v>
      </c>
      <c r="K377" t="s">
        <v>51</v>
      </c>
      <c r="L377">
        <v>0</v>
      </c>
      <c r="M377" t="s">
        <v>52</v>
      </c>
      <c r="N377">
        <v>1</v>
      </c>
      <c r="O377" t="s">
        <v>53</v>
      </c>
      <c r="P377" s="2">
        <v>0.45624999999999999</v>
      </c>
      <c r="Q377">
        <f>-0.0016035265*3600</f>
        <v>-5.7726953999999999</v>
      </c>
      <c r="R377">
        <f>0.0009296974*3600</f>
        <v>3.3469106399999999</v>
      </c>
    </row>
    <row r="378" spans="1:18" x14ac:dyDescent="0.3">
      <c r="A378" s="4" t="s">
        <v>47</v>
      </c>
      <c r="B378" t="s">
        <v>54</v>
      </c>
      <c r="C378">
        <v>141.80735200000001</v>
      </c>
      <c r="D378">
        <v>295.83184999999997</v>
      </c>
      <c r="E378">
        <v>15.4016</v>
      </c>
      <c r="F378">
        <v>15.3659</v>
      </c>
      <c r="G378">
        <v>0.26100000000000001</v>
      </c>
      <c r="H378">
        <v>1.6479999999999999</v>
      </c>
      <c r="I378" t="s">
        <v>0</v>
      </c>
      <c r="J378" t="s">
        <v>50</v>
      </c>
      <c r="K378" t="s">
        <v>51</v>
      </c>
      <c r="L378">
        <v>0</v>
      </c>
      <c r="M378" t="s">
        <v>52</v>
      </c>
      <c r="N378">
        <v>1</v>
      </c>
      <c r="O378" t="s">
        <v>53</v>
      </c>
      <c r="P378" s="2">
        <v>0.45694444444444443</v>
      </c>
      <c r="Q378">
        <f>0.0008320662*3600</f>
        <v>2.9954383199999999</v>
      </c>
      <c r="R378">
        <f>-0.0014375571*3600</f>
        <v>-5.1752055599999993</v>
      </c>
    </row>
    <row r="379" spans="1:18" x14ac:dyDescent="0.3">
      <c r="A379" s="4" t="s">
        <v>47</v>
      </c>
      <c r="B379" t="s">
        <v>54</v>
      </c>
      <c r="C379">
        <v>341.80753700000002</v>
      </c>
      <c r="D379">
        <v>104.167518</v>
      </c>
      <c r="E379">
        <v>15.4016</v>
      </c>
      <c r="F379">
        <v>15.3659</v>
      </c>
      <c r="G379">
        <v>0.26100000000000001</v>
      </c>
      <c r="H379">
        <v>1.6479999999999999</v>
      </c>
      <c r="I379" t="s">
        <v>0</v>
      </c>
      <c r="J379" t="s">
        <v>50</v>
      </c>
      <c r="K379" t="s">
        <v>51</v>
      </c>
      <c r="L379">
        <v>0</v>
      </c>
      <c r="M379" t="s">
        <v>52</v>
      </c>
      <c r="N379">
        <v>1</v>
      </c>
      <c r="O379" t="s">
        <v>53</v>
      </c>
      <c r="P379" s="2">
        <v>0.45833333333333331</v>
      </c>
      <c r="Q379">
        <f>-0.001745679*3600</f>
        <v>-6.2844443999999999</v>
      </c>
      <c r="R379">
        <f>0.0009320529*3600</f>
        <v>3.3553904400000003</v>
      </c>
    </row>
    <row r="380" spans="1:18" x14ac:dyDescent="0.3">
      <c r="A380" s="4" t="s">
        <v>47</v>
      </c>
      <c r="B380" t="s">
        <v>54</v>
      </c>
      <c r="C380">
        <v>141.807456</v>
      </c>
      <c r="D380">
        <v>295.831547</v>
      </c>
      <c r="E380">
        <v>15.4016</v>
      </c>
      <c r="F380">
        <v>15.3658</v>
      </c>
      <c r="G380">
        <v>0.26100000000000001</v>
      </c>
      <c r="H380">
        <v>1.6479999999999999</v>
      </c>
      <c r="I380" t="s">
        <v>0</v>
      </c>
      <c r="J380" t="s">
        <v>50</v>
      </c>
      <c r="K380" t="s">
        <v>51</v>
      </c>
      <c r="L380">
        <v>0</v>
      </c>
      <c r="M380" t="s">
        <v>52</v>
      </c>
      <c r="N380">
        <v>1</v>
      </c>
      <c r="O380" t="s">
        <v>53</v>
      </c>
      <c r="P380" s="2">
        <v>0.45902777777777781</v>
      </c>
      <c r="Q380">
        <f>0.0010162566*3600</f>
        <v>3.6585237600000005</v>
      </c>
      <c r="R380">
        <f>-0.001121476*3600</f>
        <v>-4.0373136000000001</v>
      </c>
    </row>
    <row r="381" spans="1:18" x14ac:dyDescent="0.3">
      <c r="A381" s="4" t="s">
        <v>47</v>
      </c>
      <c r="B381" t="s">
        <v>54</v>
      </c>
      <c r="C381">
        <v>341.80790300000001</v>
      </c>
      <c r="D381">
        <v>104.167604</v>
      </c>
      <c r="E381">
        <v>15.4017</v>
      </c>
      <c r="F381">
        <v>15.366</v>
      </c>
      <c r="G381">
        <v>0.26100000000000001</v>
      </c>
      <c r="H381">
        <v>1.6479999999999999</v>
      </c>
      <c r="I381" t="s">
        <v>0</v>
      </c>
      <c r="J381" t="s">
        <v>50</v>
      </c>
      <c r="K381" t="s">
        <v>51</v>
      </c>
      <c r="L381">
        <v>0</v>
      </c>
      <c r="M381" t="s">
        <v>52</v>
      </c>
      <c r="N381">
        <v>1</v>
      </c>
      <c r="O381" t="s">
        <v>53</v>
      </c>
      <c r="P381" s="2">
        <v>0.45902777777777781</v>
      </c>
      <c r="Q381">
        <f>-0.0021418777*3600</f>
        <v>-7.7107597200000004</v>
      </c>
      <c r="R381">
        <f>0.0009832976*3600</f>
        <v>3.5398713599999998</v>
      </c>
    </row>
    <row r="382" spans="1:18" x14ac:dyDescent="0.3">
      <c r="A382" s="4" t="s">
        <v>47</v>
      </c>
      <c r="B382" t="s">
        <v>54</v>
      </c>
      <c r="C382">
        <v>141.80738199999999</v>
      </c>
      <c r="D382">
        <v>295.83169199999998</v>
      </c>
      <c r="E382">
        <v>15.4018</v>
      </c>
      <c r="F382">
        <v>15.366099999999999</v>
      </c>
      <c r="G382">
        <v>0.26100000000000001</v>
      </c>
      <c r="H382">
        <v>1.6479999999999999</v>
      </c>
      <c r="I382" t="s">
        <v>0</v>
      </c>
      <c r="J382" t="s">
        <v>50</v>
      </c>
      <c r="K382" t="s">
        <v>51</v>
      </c>
      <c r="L382">
        <v>0</v>
      </c>
      <c r="M382" t="s">
        <v>52</v>
      </c>
      <c r="N382">
        <v>1</v>
      </c>
      <c r="O382" t="s">
        <v>53</v>
      </c>
      <c r="P382" s="2">
        <v>0.4597222222222222</v>
      </c>
      <c r="Q382">
        <f>0.0009203727*3600</f>
        <v>3.3133417200000004</v>
      </c>
      <c r="R382">
        <f>-0.0010272015*3600</f>
        <v>-3.6979253999999995</v>
      </c>
    </row>
    <row r="383" spans="1:18" x14ac:dyDescent="0.3">
      <c r="A383" s="4" t="s">
        <v>47</v>
      </c>
      <c r="B383" t="s">
        <v>54</v>
      </c>
      <c r="C383">
        <v>341.807682</v>
      </c>
      <c r="D383">
        <v>104.167787</v>
      </c>
      <c r="E383">
        <v>15.4018</v>
      </c>
      <c r="F383">
        <v>15.366099999999999</v>
      </c>
      <c r="G383">
        <v>0.26100000000000001</v>
      </c>
      <c r="H383">
        <v>1.6479999999999999</v>
      </c>
      <c r="I383" t="s">
        <v>0</v>
      </c>
      <c r="J383" t="s">
        <v>50</v>
      </c>
      <c r="K383" t="s">
        <v>51</v>
      </c>
      <c r="L383">
        <v>0</v>
      </c>
      <c r="M383" t="s">
        <v>52</v>
      </c>
      <c r="N383">
        <v>1</v>
      </c>
      <c r="O383" t="s">
        <v>53</v>
      </c>
      <c r="P383" s="2">
        <v>0.4604166666666667</v>
      </c>
      <c r="Q383">
        <f>-0.00213171*3600</f>
        <v>-7.6741560000000009</v>
      </c>
      <c r="R383">
        <f>0.0009014123*3600</f>
        <v>3.2450842799999999</v>
      </c>
    </row>
    <row r="384" spans="1:18" x14ac:dyDescent="0.3">
      <c r="A384" s="4" t="s">
        <v>47</v>
      </c>
      <c r="B384" t="s">
        <v>54</v>
      </c>
      <c r="C384">
        <v>141.80726799999999</v>
      </c>
      <c r="D384">
        <v>295.83201100000002</v>
      </c>
      <c r="E384">
        <v>15.4016</v>
      </c>
      <c r="F384">
        <v>15.3659</v>
      </c>
      <c r="G384">
        <v>0.26100000000000001</v>
      </c>
      <c r="H384">
        <v>1.6479999999999999</v>
      </c>
      <c r="I384" t="s">
        <v>0</v>
      </c>
      <c r="J384" t="s">
        <v>50</v>
      </c>
      <c r="K384" t="s">
        <v>51</v>
      </c>
      <c r="L384">
        <v>0</v>
      </c>
      <c r="M384" t="s">
        <v>52</v>
      </c>
      <c r="N384">
        <v>1</v>
      </c>
      <c r="O384" t="s">
        <v>53</v>
      </c>
      <c r="P384" s="2">
        <v>0.4604166666666667</v>
      </c>
      <c r="Q384">
        <f>0.000852875*3600</f>
        <v>3.0703499999999999</v>
      </c>
      <c r="R384">
        <f>-0.0016490559*3600</f>
        <v>-5.9366012399999999</v>
      </c>
    </row>
    <row r="385" spans="1:18" x14ac:dyDescent="0.3">
      <c r="A385" s="4" t="s">
        <v>47</v>
      </c>
      <c r="B385" t="s">
        <v>54</v>
      </c>
      <c r="C385">
        <v>341.80759599999999</v>
      </c>
      <c r="D385">
        <v>104.16765100000001</v>
      </c>
      <c r="E385">
        <v>15.4018</v>
      </c>
      <c r="F385">
        <v>15.366099999999999</v>
      </c>
      <c r="G385">
        <v>0.26100000000000001</v>
      </c>
      <c r="H385">
        <v>1.6479999999999999</v>
      </c>
      <c r="I385" t="s">
        <v>0</v>
      </c>
      <c r="J385" t="s">
        <v>50</v>
      </c>
      <c r="K385" t="s">
        <v>51</v>
      </c>
      <c r="L385">
        <v>0</v>
      </c>
      <c r="M385" t="s">
        <v>52</v>
      </c>
      <c r="N385">
        <v>1</v>
      </c>
      <c r="O385" t="s">
        <v>53</v>
      </c>
      <c r="P385" s="2">
        <v>0.46111111111111108</v>
      </c>
      <c r="Q385">
        <f>-0.0022130985*3600</f>
        <v>-7.9671545999999998</v>
      </c>
      <c r="R385">
        <f>0.0009735455*3600</f>
        <v>3.5047638000000001</v>
      </c>
    </row>
    <row r="386" spans="1:18" x14ac:dyDescent="0.3">
      <c r="A386" s="4" t="s">
        <v>47</v>
      </c>
      <c r="B386" t="s">
        <v>54</v>
      </c>
      <c r="C386">
        <v>141.80752000000001</v>
      </c>
      <c r="D386">
        <v>295.83191499999998</v>
      </c>
      <c r="E386">
        <v>15.4018</v>
      </c>
      <c r="F386">
        <v>15.366099999999999</v>
      </c>
      <c r="G386">
        <v>0.26100000000000001</v>
      </c>
      <c r="H386">
        <v>1.6479999999999999</v>
      </c>
      <c r="I386" t="s">
        <v>0</v>
      </c>
      <c r="J386" t="s">
        <v>50</v>
      </c>
      <c r="K386" t="s">
        <v>51</v>
      </c>
      <c r="L386">
        <v>0</v>
      </c>
      <c r="M386" t="s">
        <v>52</v>
      </c>
      <c r="N386">
        <v>1</v>
      </c>
      <c r="O386" t="s">
        <v>53</v>
      </c>
      <c r="P386" s="2">
        <v>0.46180555555555558</v>
      </c>
      <c r="Q386">
        <f>0.0006950589*3600</f>
        <v>2.5022120399999999</v>
      </c>
      <c r="R386">
        <f>-0.0017094006*3600</f>
        <v>-6.15384216</v>
      </c>
    </row>
    <row r="387" spans="1:18" x14ac:dyDescent="0.3">
      <c r="A387" s="4" t="s">
        <v>47</v>
      </c>
      <c r="B387" t="s">
        <v>54</v>
      </c>
      <c r="C387">
        <v>341.80769900000001</v>
      </c>
      <c r="D387">
        <v>104.167796</v>
      </c>
      <c r="E387">
        <v>15.4017</v>
      </c>
      <c r="F387">
        <v>15.366</v>
      </c>
      <c r="G387">
        <v>0.26100000000000001</v>
      </c>
      <c r="H387">
        <v>1.6479999999999999</v>
      </c>
      <c r="I387" t="s">
        <v>0</v>
      </c>
      <c r="J387" t="s">
        <v>50</v>
      </c>
      <c r="K387" t="s">
        <v>51</v>
      </c>
      <c r="L387">
        <v>0</v>
      </c>
      <c r="M387" t="s">
        <v>52</v>
      </c>
      <c r="N387">
        <v>1</v>
      </c>
      <c r="O387" t="s">
        <v>53</v>
      </c>
      <c r="P387" s="2">
        <v>0.46180555555555558</v>
      </c>
      <c r="Q387">
        <f>-0.0016366851*3600</f>
        <v>-5.8920663599999994</v>
      </c>
      <c r="R387">
        <f>0.0012809163*3600</f>
        <v>4.61129868</v>
      </c>
    </row>
    <row r="388" spans="1:18" x14ac:dyDescent="0.3">
      <c r="A388" s="4" t="s">
        <v>47</v>
      </c>
      <c r="B388" t="s">
        <v>54</v>
      </c>
      <c r="C388">
        <v>141.807241</v>
      </c>
      <c r="D388">
        <v>295.83170999999999</v>
      </c>
      <c r="E388">
        <v>15.4018</v>
      </c>
      <c r="F388">
        <v>15.366099999999999</v>
      </c>
      <c r="G388">
        <v>0.26100000000000001</v>
      </c>
      <c r="H388">
        <v>1.6479999999999999</v>
      </c>
      <c r="I388" t="s">
        <v>0</v>
      </c>
      <c r="J388" t="s">
        <v>50</v>
      </c>
      <c r="K388" t="s">
        <v>51</v>
      </c>
      <c r="L388">
        <v>0</v>
      </c>
      <c r="M388" t="s">
        <v>52</v>
      </c>
      <c r="N388">
        <v>1</v>
      </c>
      <c r="O388" t="s">
        <v>53</v>
      </c>
      <c r="P388" s="2">
        <v>0.46249999999999997</v>
      </c>
      <c r="Q388">
        <f>0.0006369016*3600</f>
        <v>2.2928457600000001</v>
      </c>
      <c r="R388">
        <f>-0.0017180643*3600</f>
        <v>-6.1850314800000001</v>
      </c>
    </row>
    <row r="389" spans="1:18" x14ac:dyDescent="0.3">
      <c r="A389" s="4" t="s">
        <v>47</v>
      </c>
      <c r="B389" t="s">
        <v>65</v>
      </c>
      <c r="C389">
        <v>341.80755699999997</v>
      </c>
      <c r="D389">
        <v>104.16789</v>
      </c>
      <c r="E389">
        <v>15.401300000000001</v>
      </c>
      <c r="F389">
        <v>15.365600000000001</v>
      </c>
      <c r="G389">
        <v>0.26100000000000001</v>
      </c>
      <c r="H389">
        <v>1.6479999999999999</v>
      </c>
      <c r="I389" t="s">
        <v>0</v>
      </c>
      <c r="J389" t="s">
        <v>50</v>
      </c>
      <c r="K389" t="s">
        <v>51</v>
      </c>
      <c r="L389">
        <v>0</v>
      </c>
      <c r="M389" t="s">
        <v>52</v>
      </c>
      <c r="N389">
        <v>1</v>
      </c>
      <c r="O389" t="s">
        <v>53</v>
      </c>
      <c r="P389" s="2">
        <v>0.4513888888888889</v>
      </c>
      <c r="Q389">
        <f>-0.0017151553*3600</f>
        <v>-6.1745590799999999</v>
      </c>
      <c r="R389">
        <f>0.000402935*3600</f>
        <v>1.450566</v>
      </c>
    </row>
    <row r="390" spans="1:18" x14ac:dyDescent="0.3">
      <c r="A390" s="4" t="s">
        <v>47</v>
      </c>
      <c r="B390" t="s">
        <v>65</v>
      </c>
      <c r="C390">
        <v>141.80761200000001</v>
      </c>
      <c r="D390">
        <v>295.83193699999998</v>
      </c>
      <c r="E390">
        <v>15.4016</v>
      </c>
      <c r="F390">
        <v>15.3659</v>
      </c>
      <c r="G390">
        <v>0.26100000000000001</v>
      </c>
      <c r="H390">
        <v>1.6479999999999999</v>
      </c>
      <c r="I390" t="s">
        <v>0</v>
      </c>
      <c r="J390" t="s">
        <v>50</v>
      </c>
      <c r="K390" t="s">
        <v>51</v>
      </c>
      <c r="L390">
        <v>0</v>
      </c>
      <c r="M390" t="s">
        <v>52</v>
      </c>
      <c r="N390">
        <v>1</v>
      </c>
      <c r="O390" t="s">
        <v>53</v>
      </c>
      <c r="P390" s="2">
        <v>0.45208333333333334</v>
      </c>
      <c r="Q390">
        <f>0.0010363628*3600</f>
        <v>3.7309060799999996</v>
      </c>
      <c r="R390">
        <f>-0.0006719909*3600</f>
        <v>-2.4191672400000002</v>
      </c>
    </row>
    <row r="391" spans="1:18" x14ac:dyDescent="0.3">
      <c r="A391" s="4" t="s">
        <v>47</v>
      </c>
      <c r="B391" t="s">
        <v>65</v>
      </c>
      <c r="C391">
        <v>341.80800299999999</v>
      </c>
      <c r="D391">
        <v>104.167646</v>
      </c>
      <c r="E391">
        <v>15.4016</v>
      </c>
      <c r="F391">
        <v>15.3659</v>
      </c>
      <c r="G391">
        <v>0.26100000000000001</v>
      </c>
      <c r="H391">
        <v>1.6479999999999999</v>
      </c>
      <c r="I391" t="s">
        <v>0</v>
      </c>
      <c r="J391" t="s">
        <v>50</v>
      </c>
      <c r="K391" t="s">
        <v>51</v>
      </c>
      <c r="L391">
        <v>0</v>
      </c>
      <c r="M391" t="s">
        <v>52</v>
      </c>
      <c r="N391">
        <v>1</v>
      </c>
      <c r="O391" t="s">
        <v>53</v>
      </c>
      <c r="P391" s="2">
        <v>0.45347222222222222</v>
      </c>
      <c r="Q391">
        <f>-0.0022235335*3600</f>
        <v>-8.0047206000000006</v>
      </c>
      <c r="R391">
        <f>0.0008369612*3600</f>
        <v>3.0130603199999997</v>
      </c>
    </row>
    <row r="392" spans="1:18" x14ac:dyDescent="0.3">
      <c r="A392" s="4" t="s">
        <v>47</v>
      </c>
      <c r="B392" t="s">
        <v>65</v>
      </c>
      <c r="C392">
        <v>141.80749299999999</v>
      </c>
      <c r="D392">
        <v>295.83202899999998</v>
      </c>
      <c r="E392">
        <v>15.4016</v>
      </c>
      <c r="F392">
        <v>15.3659</v>
      </c>
      <c r="G392">
        <v>0.26100000000000001</v>
      </c>
      <c r="H392">
        <v>1.6479999999999999</v>
      </c>
      <c r="I392" t="s">
        <v>0</v>
      </c>
      <c r="J392" t="s">
        <v>50</v>
      </c>
      <c r="K392" t="s">
        <v>51</v>
      </c>
      <c r="L392">
        <v>0</v>
      </c>
      <c r="M392" t="s">
        <v>52</v>
      </c>
      <c r="N392">
        <v>1</v>
      </c>
      <c r="O392" t="s">
        <v>53</v>
      </c>
      <c r="P392" s="2">
        <v>0.45416666666666666</v>
      </c>
      <c r="Q392">
        <f>0.0009290852*3600</f>
        <v>3.34470672</v>
      </c>
      <c r="R392">
        <f>-0.0006781489*3600</f>
        <v>-2.4413360399999999</v>
      </c>
    </row>
    <row r="393" spans="1:18" x14ac:dyDescent="0.3">
      <c r="A393" s="4" t="s">
        <v>47</v>
      </c>
      <c r="B393" t="s">
        <v>65</v>
      </c>
      <c r="C393">
        <v>341.80813899999998</v>
      </c>
      <c r="D393">
        <v>104.16748800000001</v>
      </c>
      <c r="E393">
        <v>15.4016</v>
      </c>
      <c r="F393">
        <v>15.3659</v>
      </c>
      <c r="G393">
        <v>0.26100000000000001</v>
      </c>
      <c r="H393">
        <v>1.6479999999999999</v>
      </c>
      <c r="I393" t="s">
        <v>0</v>
      </c>
      <c r="J393" t="s">
        <v>50</v>
      </c>
      <c r="K393" t="s">
        <v>51</v>
      </c>
      <c r="L393">
        <v>0</v>
      </c>
      <c r="M393" t="s">
        <v>52</v>
      </c>
      <c r="N393">
        <v>1</v>
      </c>
      <c r="O393" t="s">
        <v>53</v>
      </c>
      <c r="P393" s="2">
        <v>0.45416666666666666</v>
      </c>
      <c r="Q393">
        <f>-0.0020720363*3600</f>
        <v>-7.4593306799999999</v>
      </c>
      <c r="R393">
        <f>0.0008236289*3600</f>
        <v>2.9650640399999997</v>
      </c>
    </row>
    <row r="394" spans="1:18" x14ac:dyDescent="0.3">
      <c r="A394" s="4" t="s">
        <v>47</v>
      </c>
      <c r="B394" t="s">
        <v>65</v>
      </c>
      <c r="C394">
        <v>141.80739399999999</v>
      </c>
      <c r="D394">
        <v>295.831951</v>
      </c>
      <c r="E394">
        <v>15.4018</v>
      </c>
      <c r="F394">
        <v>15.366099999999999</v>
      </c>
      <c r="G394">
        <v>0.26100000000000001</v>
      </c>
      <c r="H394">
        <v>1.6479999999999999</v>
      </c>
      <c r="I394" t="s">
        <v>0</v>
      </c>
      <c r="J394" t="s">
        <v>50</v>
      </c>
      <c r="K394" t="s">
        <v>51</v>
      </c>
      <c r="L394">
        <v>0</v>
      </c>
      <c r="M394" t="s">
        <v>52</v>
      </c>
      <c r="N394">
        <v>1</v>
      </c>
      <c r="O394" t="s">
        <v>53</v>
      </c>
      <c r="P394" s="2">
        <v>0.4548611111111111</v>
      </c>
      <c r="Q394">
        <f>0.0008661548*3600</f>
        <v>3.1181572800000001</v>
      </c>
      <c r="R394">
        <f>-0.0008332431*3600</f>
        <v>-2.9996751600000002</v>
      </c>
    </row>
    <row r="395" spans="1:18" x14ac:dyDescent="0.3">
      <c r="A395" s="4" t="s">
        <v>47</v>
      </c>
      <c r="B395" t="s">
        <v>65</v>
      </c>
      <c r="C395">
        <v>341.80794700000001</v>
      </c>
      <c r="D395">
        <v>104.167626</v>
      </c>
      <c r="E395">
        <v>15.401400000000001</v>
      </c>
      <c r="F395">
        <v>15.3657</v>
      </c>
      <c r="G395">
        <v>0.26100000000000001</v>
      </c>
      <c r="H395">
        <v>1.6479999999999999</v>
      </c>
      <c r="I395" t="s">
        <v>0</v>
      </c>
      <c r="J395" t="s">
        <v>50</v>
      </c>
      <c r="K395" t="s">
        <v>51</v>
      </c>
      <c r="L395">
        <v>0</v>
      </c>
      <c r="M395" t="s">
        <v>52</v>
      </c>
      <c r="N395">
        <v>1</v>
      </c>
      <c r="O395" t="s">
        <v>53</v>
      </c>
      <c r="P395" s="2">
        <v>0.45555555555555555</v>
      </c>
      <c r="Q395">
        <f>-0.0016489873*3600</f>
        <v>-5.9363542800000006</v>
      </c>
      <c r="R395">
        <f>0.0009564539*3600</f>
        <v>3.4432340400000001</v>
      </c>
    </row>
    <row r="396" spans="1:18" x14ac:dyDescent="0.3">
      <c r="A396" s="4" t="s">
        <v>47</v>
      </c>
      <c r="B396" t="s">
        <v>65</v>
      </c>
      <c r="C396">
        <v>141.807717</v>
      </c>
      <c r="D396">
        <v>295.83204699999999</v>
      </c>
      <c r="E396">
        <v>15.4017</v>
      </c>
      <c r="F396">
        <v>15.366</v>
      </c>
      <c r="G396">
        <v>0.26100000000000001</v>
      </c>
      <c r="H396">
        <v>1.6479999999999999</v>
      </c>
      <c r="I396" t="s">
        <v>0</v>
      </c>
      <c r="J396" t="s">
        <v>50</v>
      </c>
      <c r="K396" t="s">
        <v>51</v>
      </c>
      <c r="L396">
        <v>0</v>
      </c>
      <c r="M396" t="s">
        <v>52</v>
      </c>
      <c r="N396">
        <v>1</v>
      </c>
      <c r="O396" t="s">
        <v>53</v>
      </c>
      <c r="P396" s="2">
        <v>0.45555555555555555</v>
      </c>
      <c r="Q396">
        <f>0.0010355319*3600</f>
        <v>3.72791484</v>
      </c>
      <c r="R396">
        <f>-0.0009599169*3600</f>
        <v>-3.45570084</v>
      </c>
    </row>
    <row r="397" spans="1:18" x14ac:dyDescent="0.3">
      <c r="A397" s="4" t="s">
        <v>47</v>
      </c>
      <c r="B397" t="s">
        <v>65</v>
      </c>
      <c r="C397">
        <v>341.807884</v>
      </c>
      <c r="D397">
        <v>104.16758299999999</v>
      </c>
      <c r="E397">
        <v>15.401899999999999</v>
      </c>
      <c r="F397">
        <v>15.366199999999999</v>
      </c>
      <c r="G397">
        <v>0.26100000000000001</v>
      </c>
      <c r="H397">
        <v>1.6479999999999999</v>
      </c>
      <c r="I397" t="s">
        <v>0</v>
      </c>
      <c r="J397" t="s">
        <v>50</v>
      </c>
      <c r="K397" t="s">
        <v>51</v>
      </c>
      <c r="L397">
        <v>0</v>
      </c>
      <c r="M397" t="s">
        <v>52</v>
      </c>
      <c r="N397">
        <v>1</v>
      </c>
      <c r="O397" t="s">
        <v>53</v>
      </c>
      <c r="P397" s="2">
        <v>0.45624999999999999</v>
      </c>
      <c r="Q397">
        <f>-0.0015837208*3600</f>
        <v>-5.7013948800000005</v>
      </c>
      <c r="R397">
        <f>0.0008982612*3600</f>
        <v>3.2337403199999999</v>
      </c>
    </row>
    <row r="398" spans="1:18" x14ac:dyDescent="0.3">
      <c r="A398" s="4" t="s">
        <v>47</v>
      </c>
      <c r="B398" t="s">
        <v>65</v>
      </c>
      <c r="C398">
        <v>141.80748299999999</v>
      </c>
      <c r="D398">
        <v>295.83145999999999</v>
      </c>
      <c r="E398">
        <v>15.4017</v>
      </c>
      <c r="F398">
        <v>15.3659</v>
      </c>
      <c r="G398">
        <v>0.26100000000000001</v>
      </c>
      <c r="H398">
        <v>1.6479999999999999</v>
      </c>
      <c r="I398" t="s">
        <v>0</v>
      </c>
      <c r="J398" t="s">
        <v>50</v>
      </c>
      <c r="K398" t="s">
        <v>51</v>
      </c>
      <c r="L398">
        <v>0</v>
      </c>
      <c r="M398" t="s">
        <v>52</v>
      </c>
      <c r="N398">
        <v>1</v>
      </c>
      <c r="O398" t="s">
        <v>53</v>
      </c>
      <c r="P398" s="2">
        <v>0.45694444444444443</v>
      </c>
      <c r="Q398">
        <f>0.0009111794*3600</f>
        <v>3.2802458400000001</v>
      </c>
      <c r="R398">
        <f>-0.0014331842*3600</f>
        <v>-5.1594631199999998</v>
      </c>
    </row>
    <row r="399" spans="1:18" x14ac:dyDescent="0.3">
      <c r="A399" s="4" t="s">
        <v>47</v>
      </c>
      <c r="B399" t="s">
        <v>65</v>
      </c>
      <c r="C399">
        <v>341.80785800000001</v>
      </c>
      <c r="D399">
        <v>104.167377</v>
      </c>
      <c r="E399">
        <v>15.4016</v>
      </c>
      <c r="F399">
        <v>15.3659</v>
      </c>
      <c r="G399">
        <v>0.26100000000000001</v>
      </c>
      <c r="H399">
        <v>1.6479999999999999</v>
      </c>
      <c r="I399" t="s">
        <v>0</v>
      </c>
      <c r="J399" t="s">
        <v>50</v>
      </c>
      <c r="K399" t="s">
        <v>51</v>
      </c>
      <c r="L399">
        <v>0</v>
      </c>
      <c r="M399" t="s">
        <v>52</v>
      </c>
      <c r="N399">
        <v>1</v>
      </c>
      <c r="O399" t="s">
        <v>53</v>
      </c>
      <c r="P399" s="2">
        <v>0.45833333333333331</v>
      </c>
      <c r="Q399">
        <f>-0.0016932248*3600</f>
        <v>-6.0956092799999997</v>
      </c>
      <c r="R399">
        <f>0.0009119807*3600</f>
        <v>3.2831305199999998</v>
      </c>
    </row>
    <row r="400" spans="1:18" x14ac:dyDescent="0.3">
      <c r="A400" s="4" t="s">
        <v>47</v>
      </c>
      <c r="B400" t="s">
        <v>65</v>
      </c>
      <c r="C400">
        <v>141.807411</v>
      </c>
      <c r="D400">
        <v>295.83192100000002</v>
      </c>
      <c r="E400">
        <v>15.4017</v>
      </c>
      <c r="F400">
        <v>15.366</v>
      </c>
      <c r="G400">
        <v>0.26100000000000001</v>
      </c>
      <c r="H400">
        <v>1.6479999999999999</v>
      </c>
      <c r="I400" t="s">
        <v>0</v>
      </c>
      <c r="J400" t="s">
        <v>50</v>
      </c>
      <c r="K400" t="s">
        <v>51</v>
      </c>
      <c r="L400">
        <v>0</v>
      </c>
      <c r="M400" t="s">
        <v>52</v>
      </c>
      <c r="N400">
        <v>1</v>
      </c>
      <c r="O400" t="s">
        <v>53</v>
      </c>
      <c r="P400" s="2">
        <v>0.45902777777777781</v>
      </c>
      <c r="Q400">
        <f>0.0010392367*3600</f>
        <v>3.74125212</v>
      </c>
      <c r="R400">
        <f>-0.0011181304*3600</f>
        <v>-4.0252694400000006</v>
      </c>
    </row>
    <row r="401" spans="1:18" x14ac:dyDescent="0.3">
      <c r="A401" s="4" t="s">
        <v>47</v>
      </c>
      <c r="B401" t="s">
        <v>65</v>
      </c>
      <c r="C401">
        <v>341.80783300000002</v>
      </c>
      <c r="D401">
        <v>104.167575</v>
      </c>
      <c r="E401">
        <v>15.4017</v>
      </c>
      <c r="F401">
        <v>15.366</v>
      </c>
      <c r="G401">
        <v>0.26100000000000001</v>
      </c>
      <c r="H401">
        <v>1.6479999999999999</v>
      </c>
      <c r="I401" t="s">
        <v>0</v>
      </c>
      <c r="J401" t="s">
        <v>50</v>
      </c>
      <c r="K401" t="s">
        <v>51</v>
      </c>
      <c r="L401">
        <v>0</v>
      </c>
      <c r="M401" t="s">
        <v>52</v>
      </c>
      <c r="N401">
        <v>1</v>
      </c>
      <c r="O401" t="s">
        <v>53</v>
      </c>
      <c r="P401" s="2">
        <v>0.4597222222222222</v>
      </c>
      <c r="Q401">
        <f>-0.0021779281*3600</f>
        <v>-7.8405411599999999</v>
      </c>
      <c r="R401">
        <f>0.0009300122*3600</f>
        <v>3.3480439199999998</v>
      </c>
    </row>
    <row r="402" spans="1:18" x14ac:dyDescent="0.3">
      <c r="A402" s="4" t="s">
        <v>47</v>
      </c>
      <c r="B402" t="s">
        <v>65</v>
      </c>
      <c r="C402">
        <v>141.80756700000001</v>
      </c>
      <c r="D402">
        <v>295.83173499999998</v>
      </c>
      <c r="E402">
        <v>15.401899999999999</v>
      </c>
      <c r="F402">
        <v>15.366199999999999</v>
      </c>
      <c r="G402">
        <v>0.26100000000000001</v>
      </c>
      <c r="H402">
        <v>1.6479999999999999</v>
      </c>
      <c r="I402" t="s">
        <v>0</v>
      </c>
      <c r="J402" t="s">
        <v>50</v>
      </c>
      <c r="K402" t="s">
        <v>51</v>
      </c>
      <c r="L402">
        <v>0</v>
      </c>
      <c r="M402" t="s">
        <v>52</v>
      </c>
      <c r="N402">
        <v>1</v>
      </c>
      <c r="O402" t="s">
        <v>53</v>
      </c>
      <c r="P402" s="2">
        <v>0.4597222222222222</v>
      </c>
      <c r="Q402">
        <f>0.00094341*3600</f>
        <v>3.3962759999999999</v>
      </c>
      <c r="R402">
        <f>-0.0010588208*3600</f>
        <v>-3.8117548800000005</v>
      </c>
    </row>
    <row r="403" spans="1:18" x14ac:dyDescent="0.3">
      <c r="A403" s="4" t="s">
        <v>47</v>
      </c>
      <c r="B403" t="s">
        <v>65</v>
      </c>
      <c r="C403">
        <v>341.807659</v>
      </c>
      <c r="D403">
        <v>104.16786</v>
      </c>
      <c r="E403">
        <v>15.4017</v>
      </c>
      <c r="F403">
        <v>15.366</v>
      </c>
      <c r="G403">
        <v>0.26100000000000001</v>
      </c>
      <c r="H403">
        <v>1.6479999999999999</v>
      </c>
      <c r="I403" t="s">
        <v>0</v>
      </c>
      <c r="J403" t="s">
        <v>50</v>
      </c>
      <c r="K403" t="s">
        <v>51</v>
      </c>
      <c r="L403">
        <v>0</v>
      </c>
      <c r="M403" t="s">
        <v>52</v>
      </c>
      <c r="N403">
        <v>1</v>
      </c>
      <c r="O403" t="s">
        <v>53</v>
      </c>
      <c r="P403" s="2">
        <v>0.4604166666666667</v>
      </c>
      <c r="Q403">
        <f>-0.0021774674*3600</f>
        <v>-7.8388826399999996</v>
      </c>
      <c r="R403">
        <f>0.0009240347*3600</f>
        <v>3.3265249200000002</v>
      </c>
    </row>
    <row r="404" spans="1:18" x14ac:dyDescent="0.3">
      <c r="A404" s="4" t="s">
        <v>47</v>
      </c>
      <c r="B404" t="s">
        <v>65</v>
      </c>
      <c r="C404">
        <v>141.80716100000001</v>
      </c>
      <c r="D404">
        <v>295.83145300000001</v>
      </c>
      <c r="E404">
        <v>15.401400000000001</v>
      </c>
      <c r="F404">
        <v>15.365600000000001</v>
      </c>
      <c r="G404">
        <v>0.26100000000000001</v>
      </c>
      <c r="H404">
        <v>1.6479999999999999</v>
      </c>
      <c r="I404" t="s">
        <v>0</v>
      </c>
      <c r="J404" t="s">
        <v>50</v>
      </c>
      <c r="K404" t="s">
        <v>51</v>
      </c>
      <c r="L404">
        <v>0</v>
      </c>
      <c r="M404" t="s">
        <v>52</v>
      </c>
      <c r="N404">
        <v>1</v>
      </c>
      <c r="O404" t="s">
        <v>53</v>
      </c>
      <c r="P404" s="2">
        <v>0.4604166666666667</v>
      </c>
      <c r="Q404">
        <f>0.000917771*3600</f>
        <v>3.3039755999999998</v>
      </c>
      <c r="R404">
        <f>-0.0018419294*3600</f>
        <v>-6.6309458400000008</v>
      </c>
    </row>
    <row r="405" spans="1:18" x14ac:dyDescent="0.3">
      <c r="A405" s="4" t="s">
        <v>47</v>
      </c>
      <c r="B405" t="s">
        <v>65</v>
      </c>
      <c r="C405">
        <v>341.80765200000002</v>
      </c>
      <c r="D405">
        <v>104.167828</v>
      </c>
      <c r="E405">
        <v>15.401899999999999</v>
      </c>
      <c r="F405">
        <v>15.366199999999999</v>
      </c>
      <c r="G405">
        <v>0.26100000000000001</v>
      </c>
      <c r="H405">
        <v>1.6479999999999999</v>
      </c>
      <c r="I405" t="s">
        <v>0</v>
      </c>
      <c r="J405" t="s">
        <v>50</v>
      </c>
      <c r="K405" t="s">
        <v>51</v>
      </c>
      <c r="L405">
        <v>0</v>
      </c>
      <c r="M405" t="s">
        <v>52</v>
      </c>
      <c r="N405">
        <v>1</v>
      </c>
      <c r="O405" t="s">
        <v>53</v>
      </c>
      <c r="P405" s="2">
        <v>0.46111111111111108</v>
      </c>
      <c r="Q405">
        <f>-0.0020699608*3600</f>
        <v>-7.4518588799999996</v>
      </c>
      <c r="R405">
        <f>0.0009045959*3600</f>
        <v>3.2565452399999999</v>
      </c>
    </row>
    <row r="406" spans="1:18" x14ac:dyDescent="0.3">
      <c r="A406" s="4" t="s">
        <v>47</v>
      </c>
      <c r="B406" t="s">
        <v>65</v>
      </c>
      <c r="C406">
        <v>341.80791299999999</v>
      </c>
      <c r="D406">
        <v>104.16750999999999</v>
      </c>
      <c r="E406">
        <v>15.4016</v>
      </c>
      <c r="F406">
        <v>15.3659</v>
      </c>
      <c r="G406">
        <v>0.26100000000000001</v>
      </c>
      <c r="H406">
        <v>1.6479999999999999</v>
      </c>
      <c r="I406" t="s">
        <v>0</v>
      </c>
      <c r="J406" t="s">
        <v>50</v>
      </c>
      <c r="K406" t="s">
        <v>51</v>
      </c>
      <c r="L406">
        <v>0</v>
      </c>
      <c r="M406" t="s">
        <v>52</v>
      </c>
      <c r="N406">
        <v>1</v>
      </c>
      <c r="O406" t="s">
        <v>53</v>
      </c>
      <c r="P406" s="2">
        <v>0.46249999999999997</v>
      </c>
      <c r="Q406">
        <f>-0.0016773193*3600</f>
        <v>-6.0383494799999999</v>
      </c>
      <c r="R406">
        <f>0.0012361835*3600</f>
        <v>4.4502606</v>
      </c>
    </row>
    <row r="407" spans="1:18" x14ac:dyDescent="0.3">
      <c r="A407" s="4" t="s">
        <v>47</v>
      </c>
      <c r="B407" t="s">
        <v>65</v>
      </c>
      <c r="C407">
        <v>141.807299</v>
      </c>
      <c r="D407">
        <v>295.831501</v>
      </c>
      <c r="E407">
        <v>15.4016</v>
      </c>
      <c r="F407">
        <v>15.3658</v>
      </c>
      <c r="G407">
        <v>0.26100000000000001</v>
      </c>
      <c r="H407">
        <v>1.6479999999999999</v>
      </c>
      <c r="I407" t="s">
        <v>0</v>
      </c>
      <c r="J407" t="s">
        <v>50</v>
      </c>
      <c r="K407" t="s">
        <v>51</v>
      </c>
      <c r="L407">
        <v>0</v>
      </c>
      <c r="M407" t="s">
        <v>52</v>
      </c>
      <c r="N407">
        <v>1</v>
      </c>
      <c r="O407" t="s">
        <v>53</v>
      </c>
      <c r="P407" s="2">
        <v>0.46458333333333335</v>
      </c>
      <c r="Q407">
        <f>0.0006892572*3600</f>
        <v>2.4813259200000002</v>
      </c>
      <c r="R407">
        <f>-0.0014801145*3600</f>
        <v>-5.3284121999999998</v>
      </c>
    </row>
    <row r="408" spans="1:18" x14ac:dyDescent="0.3">
      <c r="A408" s="4" t="s">
        <v>47</v>
      </c>
      <c r="B408" t="s">
        <v>65</v>
      </c>
      <c r="C408">
        <v>141.80744100000001</v>
      </c>
      <c r="D408">
        <v>295.831726</v>
      </c>
      <c r="E408">
        <v>15.4017</v>
      </c>
      <c r="F408">
        <v>15.366</v>
      </c>
      <c r="G408">
        <v>0.26100000000000001</v>
      </c>
      <c r="H408">
        <v>1.6479999999999999</v>
      </c>
      <c r="I408" t="s">
        <v>0</v>
      </c>
      <c r="J408" t="s">
        <v>50</v>
      </c>
      <c r="K408" t="s">
        <v>51</v>
      </c>
      <c r="L408">
        <v>0</v>
      </c>
      <c r="M408" t="s">
        <v>52</v>
      </c>
      <c r="N408">
        <v>1</v>
      </c>
      <c r="O408" t="s">
        <v>53</v>
      </c>
      <c r="P408" s="2">
        <v>0.46527777777777773</v>
      </c>
      <c r="Q408">
        <f>0.0007275454*3600</f>
        <v>2.6191634400000003</v>
      </c>
      <c r="R408">
        <f>-0.0014910564*3600</f>
        <v>-5.3678030400000001</v>
      </c>
    </row>
    <row r="409" spans="1:18" x14ac:dyDescent="0.3">
      <c r="A409" s="4" t="s">
        <v>47</v>
      </c>
      <c r="B409" t="s">
        <v>49</v>
      </c>
      <c r="C409">
        <v>202.35054400000001</v>
      </c>
      <c r="D409">
        <v>99.288109000000006</v>
      </c>
      <c r="E409">
        <v>502.99979999999999</v>
      </c>
      <c r="F409">
        <v>502.87799999999999</v>
      </c>
      <c r="G409">
        <v>0.26100000000000001</v>
      </c>
      <c r="H409">
        <v>1.746</v>
      </c>
      <c r="I409" t="s">
        <v>0</v>
      </c>
      <c r="J409" t="s">
        <v>50</v>
      </c>
      <c r="K409" t="s">
        <v>51</v>
      </c>
      <c r="L409">
        <v>0</v>
      </c>
      <c r="M409" t="s">
        <v>52</v>
      </c>
      <c r="N409">
        <v>1</v>
      </c>
      <c r="O409" t="s">
        <v>53</v>
      </c>
      <c r="P409" s="2">
        <v>0.44930555555555557</v>
      </c>
      <c r="Q409">
        <f>0.0012227329*3600</f>
        <v>4.4018384399999997</v>
      </c>
      <c r="R409">
        <f>0.0001728434*3600</f>
        <v>0.62223624</v>
      </c>
    </row>
    <row r="410" spans="1:18" x14ac:dyDescent="0.3">
      <c r="A410" s="4" t="s">
        <v>47</v>
      </c>
      <c r="B410" t="s">
        <v>49</v>
      </c>
      <c r="C410">
        <v>2.3490730000000002</v>
      </c>
      <c r="D410">
        <v>300.711052</v>
      </c>
      <c r="E410">
        <v>503.00009999999997</v>
      </c>
      <c r="F410">
        <v>502.8784</v>
      </c>
      <c r="G410">
        <v>0.26100000000000001</v>
      </c>
      <c r="H410">
        <v>1.746</v>
      </c>
      <c r="I410" t="s">
        <v>0</v>
      </c>
      <c r="J410" t="s">
        <v>50</v>
      </c>
      <c r="K410" t="s">
        <v>51</v>
      </c>
      <c r="L410">
        <v>0</v>
      </c>
      <c r="M410" t="s">
        <v>52</v>
      </c>
      <c r="N410">
        <v>1</v>
      </c>
      <c r="O410" t="s">
        <v>53</v>
      </c>
      <c r="P410" s="2">
        <v>0.45347222222222222</v>
      </c>
      <c r="Q410">
        <f>-0.0016692118*3600</f>
        <v>-6.0091624799999996</v>
      </c>
      <c r="R410">
        <f>-0.0008423349*3600</f>
        <v>-3.0324056399999999</v>
      </c>
    </row>
    <row r="411" spans="1:18" x14ac:dyDescent="0.3">
      <c r="A411" s="4" t="s">
        <v>47</v>
      </c>
      <c r="B411" t="s">
        <v>49</v>
      </c>
      <c r="C411">
        <v>202.34991400000001</v>
      </c>
      <c r="D411">
        <v>99.288657999999998</v>
      </c>
      <c r="E411">
        <v>502.99950000000001</v>
      </c>
      <c r="F411">
        <v>502.87779999999998</v>
      </c>
      <c r="G411">
        <v>0.26100000000000001</v>
      </c>
      <c r="H411">
        <v>1.746</v>
      </c>
      <c r="I411" t="s">
        <v>0</v>
      </c>
      <c r="J411" t="s">
        <v>50</v>
      </c>
      <c r="K411" t="s">
        <v>51</v>
      </c>
      <c r="L411">
        <v>0</v>
      </c>
      <c r="M411" t="s">
        <v>52</v>
      </c>
      <c r="N411">
        <v>1</v>
      </c>
      <c r="O411" t="s">
        <v>53</v>
      </c>
      <c r="P411" s="2">
        <v>0.45347222222222222</v>
      </c>
      <c r="Q411">
        <f>0.001175897*3600</f>
        <v>4.2332292000000002</v>
      </c>
      <c r="R411">
        <f>0.0007496076*3600</f>
        <v>2.6985873599999999</v>
      </c>
    </row>
    <row r="412" spans="1:18" x14ac:dyDescent="0.3">
      <c r="A412" s="4" t="s">
        <v>47</v>
      </c>
      <c r="B412" t="s">
        <v>49</v>
      </c>
      <c r="C412">
        <v>2.3491420000000001</v>
      </c>
      <c r="D412">
        <v>300.71147200000001</v>
      </c>
      <c r="E412">
        <v>503.00020000000001</v>
      </c>
      <c r="F412">
        <v>502.87849999999997</v>
      </c>
      <c r="G412">
        <v>0.26100000000000001</v>
      </c>
      <c r="H412">
        <v>1.746</v>
      </c>
      <c r="I412" t="s">
        <v>0</v>
      </c>
      <c r="J412" t="s">
        <v>50</v>
      </c>
      <c r="K412" t="s">
        <v>51</v>
      </c>
      <c r="L412">
        <v>0</v>
      </c>
      <c r="M412" t="s">
        <v>52</v>
      </c>
      <c r="N412">
        <v>1</v>
      </c>
      <c r="O412" t="s">
        <v>53</v>
      </c>
      <c r="P412" s="2">
        <v>0.45416666666666666</v>
      </c>
      <c r="Q412">
        <f>-0.0019957997*3600</f>
        <v>-7.1848789200000009</v>
      </c>
      <c r="R412">
        <f>-0.0006338162*3600</f>
        <v>-2.2817383200000001</v>
      </c>
    </row>
    <row r="413" spans="1:18" x14ac:dyDescent="0.3">
      <c r="A413" s="4" t="s">
        <v>47</v>
      </c>
      <c r="B413" t="s">
        <v>49</v>
      </c>
      <c r="C413">
        <v>202.349763</v>
      </c>
      <c r="D413">
        <v>99.288264999999996</v>
      </c>
      <c r="E413">
        <v>502.99939999999998</v>
      </c>
      <c r="F413">
        <v>502.8777</v>
      </c>
      <c r="G413">
        <v>0.26100000000000001</v>
      </c>
      <c r="H413">
        <v>1.746</v>
      </c>
      <c r="I413" t="s">
        <v>0</v>
      </c>
      <c r="J413" t="s">
        <v>50</v>
      </c>
      <c r="K413" t="s">
        <v>51</v>
      </c>
      <c r="L413">
        <v>0</v>
      </c>
      <c r="M413" t="s">
        <v>52</v>
      </c>
      <c r="N413">
        <v>1</v>
      </c>
      <c r="O413" t="s">
        <v>53</v>
      </c>
      <c r="P413" s="2">
        <v>0.45416666666666666</v>
      </c>
      <c r="Q413">
        <f>0.0014391483*3600</f>
        <v>5.1809338800000004</v>
      </c>
      <c r="R413">
        <f>0.0007078982*3600</f>
        <v>2.5484335199999997</v>
      </c>
    </row>
    <row r="414" spans="1:18" x14ac:dyDescent="0.3">
      <c r="A414" s="4" t="s">
        <v>47</v>
      </c>
      <c r="B414" t="s">
        <v>49</v>
      </c>
      <c r="C414">
        <v>2.3493909999999998</v>
      </c>
      <c r="D414">
        <v>300.71152599999999</v>
      </c>
      <c r="E414">
        <v>503.00009999999997</v>
      </c>
      <c r="F414">
        <v>502.8784</v>
      </c>
      <c r="G414">
        <v>0.26100000000000001</v>
      </c>
      <c r="H414">
        <v>1.746</v>
      </c>
      <c r="I414" t="s">
        <v>0</v>
      </c>
      <c r="J414" t="s">
        <v>50</v>
      </c>
      <c r="K414" t="s">
        <v>51</v>
      </c>
      <c r="L414">
        <v>0</v>
      </c>
      <c r="M414" t="s">
        <v>52</v>
      </c>
      <c r="N414">
        <v>1</v>
      </c>
      <c r="O414" t="s">
        <v>53</v>
      </c>
      <c r="P414" s="2">
        <v>0.45555555555555555</v>
      </c>
      <c r="Q414">
        <f>-0.0019379155*3600</f>
        <v>-6.9764958000000004</v>
      </c>
      <c r="R414">
        <f>-0.0005745629*3600</f>
        <v>-2.0684264400000001</v>
      </c>
    </row>
    <row r="415" spans="1:18" x14ac:dyDescent="0.3">
      <c r="A415" s="4" t="s">
        <v>47</v>
      </c>
      <c r="B415" t="s">
        <v>49</v>
      </c>
      <c r="C415">
        <v>202.349794</v>
      </c>
      <c r="D415">
        <v>99.288000999999994</v>
      </c>
      <c r="E415">
        <v>502.99950000000001</v>
      </c>
      <c r="F415">
        <v>502.8777</v>
      </c>
      <c r="G415">
        <v>0.26100000000000001</v>
      </c>
      <c r="H415">
        <v>1.746</v>
      </c>
      <c r="I415" t="s">
        <v>0</v>
      </c>
      <c r="J415" t="s">
        <v>50</v>
      </c>
      <c r="K415" t="s">
        <v>51</v>
      </c>
      <c r="L415">
        <v>0</v>
      </c>
      <c r="M415" t="s">
        <v>52</v>
      </c>
      <c r="N415">
        <v>1</v>
      </c>
      <c r="O415" t="s">
        <v>53</v>
      </c>
      <c r="P415" s="2">
        <v>0.45555555555555555</v>
      </c>
      <c r="Q415">
        <f>0.0019928199*3600</f>
        <v>7.1741516400000007</v>
      </c>
      <c r="R415">
        <f>-0.0001197386*3600</f>
        <v>-0.43105895999999999</v>
      </c>
    </row>
    <row r="416" spans="1:18" x14ac:dyDescent="0.3">
      <c r="A416" s="4" t="s">
        <v>47</v>
      </c>
      <c r="B416" t="s">
        <v>49</v>
      </c>
      <c r="C416">
        <v>202.34988200000001</v>
      </c>
      <c r="D416">
        <v>99.288347000000002</v>
      </c>
      <c r="E416">
        <v>502.99959999999999</v>
      </c>
      <c r="F416">
        <v>502.87790000000001</v>
      </c>
      <c r="G416">
        <v>0.26100000000000001</v>
      </c>
      <c r="H416">
        <v>1.746</v>
      </c>
      <c r="I416" t="s">
        <v>0</v>
      </c>
      <c r="J416" t="s">
        <v>50</v>
      </c>
      <c r="K416" t="s">
        <v>51</v>
      </c>
      <c r="L416">
        <v>0</v>
      </c>
      <c r="M416" t="s">
        <v>52</v>
      </c>
      <c r="N416">
        <v>1</v>
      </c>
      <c r="O416" t="s">
        <v>53</v>
      </c>
      <c r="P416" s="2">
        <v>0.45624999999999999</v>
      </c>
      <c r="Q416">
        <f>0.0018498596*3600</f>
        <v>6.6594945599999997</v>
      </c>
      <c r="R416">
        <f>0.00009013*3600</f>
        <v>0.32446800000000003</v>
      </c>
    </row>
    <row r="417" spans="1:18" x14ac:dyDescent="0.3">
      <c r="A417" s="4" t="s">
        <v>47</v>
      </c>
      <c r="B417" t="s">
        <v>49</v>
      </c>
      <c r="C417">
        <v>2.3510059999999999</v>
      </c>
      <c r="D417">
        <v>300.71034900000001</v>
      </c>
      <c r="E417">
        <v>502.99979999999999</v>
      </c>
      <c r="F417">
        <v>502.87819999999999</v>
      </c>
      <c r="G417">
        <v>0.26100000000000001</v>
      </c>
      <c r="H417">
        <v>1.746</v>
      </c>
      <c r="I417" t="s">
        <v>0</v>
      </c>
      <c r="J417" t="s">
        <v>50</v>
      </c>
      <c r="K417" t="s">
        <v>51</v>
      </c>
      <c r="L417">
        <v>0</v>
      </c>
      <c r="M417" t="s">
        <v>52</v>
      </c>
      <c r="N417">
        <v>1</v>
      </c>
      <c r="O417" t="s">
        <v>53</v>
      </c>
      <c r="P417" s="2">
        <v>0.45833333333333331</v>
      </c>
      <c r="Q417">
        <f>-0.0027377327*3600</f>
        <v>-9.8558377200000002</v>
      </c>
      <c r="R417">
        <f>-0.0009309386*3600</f>
        <v>-3.3513789599999999</v>
      </c>
    </row>
    <row r="418" spans="1:18" x14ac:dyDescent="0.3">
      <c r="A418" s="4" t="s">
        <v>47</v>
      </c>
      <c r="B418" t="s">
        <v>49</v>
      </c>
      <c r="C418">
        <v>202.34964299999999</v>
      </c>
      <c r="D418">
        <v>99.288345000000007</v>
      </c>
      <c r="E418">
        <v>502.99950000000001</v>
      </c>
      <c r="F418">
        <v>502.87779999999998</v>
      </c>
      <c r="G418">
        <v>0.26100000000000001</v>
      </c>
      <c r="H418">
        <v>1.746</v>
      </c>
      <c r="I418" t="s">
        <v>0</v>
      </c>
      <c r="J418" t="s">
        <v>50</v>
      </c>
      <c r="K418" t="s">
        <v>51</v>
      </c>
      <c r="L418">
        <v>0</v>
      </c>
      <c r="M418" t="s">
        <v>52</v>
      </c>
      <c r="N418">
        <v>1</v>
      </c>
      <c r="O418" t="s">
        <v>53</v>
      </c>
      <c r="P418" s="2">
        <v>0.45833333333333331</v>
      </c>
      <c r="Q418">
        <f>0.0018367304*3600</f>
        <v>6.6122294400000001</v>
      </c>
      <c r="R418">
        <f>0.000120122*3600</f>
        <v>0.43243920000000002</v>
      </c>
    </row>
    <row r="419" spans="1:18" x14ac:dyDescent="0.3">
      <c r="A419" s="4" t="s">
        <v>47</v>
      </c>
      <c r="B419" t="s">
        <v>49</v>
      </c>
      <c r="C419">
        <v>2.3496980000000001</v>
      </c>
      <c r="D419">
        <v>300.71054900000001</v>
      </c>
      <c r="E419">
        <v>503</v>
      </c>
      <c r="F419">
        <v>502.8784</v>
      </c>
      <c r="G419">
        <v>0.26100000000000001</v>
      </c>
      <c r="H419">
        <v>1.746</v>
      </c>
      <c r="I419" t="s">
        <v>0</v>
      </c>
      <c r="J419" t="s">
        <v>50</v>
      </c>
      <c r="K419" t="s">
        <v>51</v>
      </c>
      <c r="L419">
        <v>0</v>
      </c>
      <c r="M419" t="s">
        <v>52</v>
      </c>
      <c r="N419">
        <v>1</v>
      </c>
      <c r="O419" t="s">
        <v>53</v>
      </c>
      <c r="P419" s="2">
        <v>0.45902777777777781</v>
      </c>
      <c r="Q419">
        <f>-0.0022011324*3600</f>
        <v>-7.9240766399999991</v>
      </c>
      <c r="R419">
        <f>-0.0005522866*3600</f>
        <v>-1.9882317600000001</v>
      </c>
    </row>
    <row r="420" spans="1:18" x14ac:dyDescent="0.3">
      <c r="A420" s="4" t="s">
        <v>47</v>
      </c>
      <c r="B420" t="s">
        <v>49</v>
      </c>
      <c r="C420">
        <v>202.350056</v>
      </c>
      <c r="D420">
        <v>99.289463999999995</v>
      </c>
      <c r="E420">
        <v>502.99970000000002</v>
      </c>
      <c r="F420">
        <v>502.87810000000002</v>
      </c>
      <c r="G420">
        <v>0.26100000000000001</v>
      </c>
      <c r="H420">
        <v>1.746</v>
      </c>
      <c r="I420" t="s">
        <v>0</v>
      </c>
      <c r="J420" t="s">
        <v>50</v>
      </c>
      <c r="K420" t="s">
        <v>51</v>
      </c>
      <c r="L420">
        <v>0</v>
      </c>
      <c r="M420" t="s">
        <v>52</v>
      </c>
      <c r="N420">
        <v>1</v>
      </c>
      <c r="O420" t="s">
        <v>53</v>
      </c>
      <c r="P420" s="2">
        <v>0.45902777777777781</v>
      </c>
      <c r="Q420">
        <f>0.0015429295*3600</f>
        <v>5.5545461999999999</v>
      </c>
      <c r="R420">
        <f>0.0006118775*3600</f>
        <v>2.2027589999999999</v>
      </c>
    </row>
    <row r="421" spans="1:18" x14ac:dyDescent="0.3">
      <c r="A421" s="4" t="s">
        <v>47</v>
      </c>
      <c r="B421" t="s">
        <v>49</v>
      </c>
      <c r="C421">
        <v>2.3502299999999998</v>
      </c>
      <c r="D421">
        <v>300.71180500000003</v>
      </c>
      <c r="E421">
        <v>503</v>
      </c>
      <c r="F421">
        <v>502.87830000000002</v>
      </c>
      <c r="G421">
        <v>0.26100000000000001</v>
      </c>
      <c r="H421">
        <v>1.746</v>
      </c>
      <c r="I421" t="s">
        <v>0</v>
      </c>
      <c r="J421" t="s">
        <v>50</v>
      </c>
      <c r="K421" t="s">
        <v>51</v>
      </c>
      <c r="L421">
        <v>0</v>
      </c>
      <c r="M421" t="s">
        <v>52</v>
      </c>
      <c r="N421">
        <v>1</v>
      </c>
      <c r="O421" t="s">
        <v>53</v>
      </c>
      <c r="P421" s="2">
        <v>0.4597222222222222</v>
      </c>
      <c r="Q421">
        <f>-0.0020953932*3600</f>
        <v>-7.5434155200000008</v>
      </c>
      <c r="R421">
        <f>-0.0003523292*3600</f>
        <v>-1.26838512</v>
      </c>
    </row>
    <row r="422" spans="1:18" x14ac:dyDescent="0.3">
      <c r="A422" s="4" t="s">
        <v>47</v>
      </c>
      <c r="B422" t="s">
        <v>49</v>
      </c>
      <c r="C422">
        <v>2.350149</v>
      </c>
      <c r="D422">
        <v>300.71206599999999</v>
      </c>
      <c r="E422">
        <v>502.99950000000001</v>
      </c>
      <c r="F422">
        <v>502.8777</v>
      </c>
      <c r="G422">
        <v>0.26100000000000001</v>
      </c>
      <c r="H422">
        <v>1.746</v>
      </c>
      <c r="I422" t="s">
        <v>0</v>
      </c>
      <c r="J422" t="s">
        <v>50</v>
      </c>
      <c r="K422" t="s">
        <v>51</v>
      </c>
      <c r="L422">
        <v>0</v>
      </c>
      <c r="M422" t="s">
        <v>52</v>
      </c>
      <c r="N422">
        <v>1</v>
      </c>
      <c r="O422" t="s">
        <v>53</v>
      </c>
      <c r="P422" s="2">
        <v>0.46111111111111108</v>
      </c>
      <c r="Q422">
        <f>-0.0026002793*3600</f>
        <v>-9.3610054800000011</v>
      </c>
      <c r="R422">
        <f>-0.0007179088*3600</f>
        <v>-2.58447168</v>
      </c>
    </row>
    <row r="423" spans="1:18" x14ac:dyDescent="0.3">
      <c r="A423" s="4" t="s">
        <v>47</v>
      </c>
      <c r="B423" t="s">
        <v>49</v>
      </c>
      <c r="C423">
        <v>202.34982099999999</v>
      </c>
      <c r="D423">
        <v>99.288901999999993</v>
      </c>
      <c r="E423">
        <v>502.99959999999999</v>
      </c>
      <c r="F423">
        <v>502.87790000000001</v>
      </c>
      <c r="G423">
        <v>0.26100000000000001</v>
      </c>
      <c r="H423">
        <v>1.746</v>
      </c>
      <c r="I423" t="s">
        <v>0</v>
      </c>
      <c r="J423" t="s">
        <v>50</v>
      </c>
      <c r="K423" t="s">
        <v>51</v>
      </c>
      <c r="L423">
        <v>0</v>
      </c>
      <c r="M423" t="s">
        <v>52</v>
      </c>
      <c r="N423">
        <v>1</v>
      </c>
      <c r="O423" t="s">
        <v>53</v>
      </c>
      <c r="P423" s="2">
        <v>0.46111111111111108</v>
      </c>
      <c r="Q423">
        <f>0.0013494363*3600</f>
        <v>4.8579706800000002</v>
      </c>
      <c r="R423">
        <f>0.0004476301*3600</f>
        <v>1.6114683599999999</v>
      </c>
    </row>
    <row r="424" spans="1:18" x14ac:dyDescent="0.3">
      <c r="A424" s="4" t="s">
        <v>47</v>
      </c>
      <c r="B424" t="s">
        <v>49</v>
      </c>
      <c r="C424">
        <v>2.3489140000000002</v>
      </c>
      <c r="D424">
        <v>300.71239800000001</v>
      </c>
      <c r="E424">
        <v>502.99950000000001</v>
      </c>
      <c r="F424">
        <v>502.8777</v>
      </c>
      <c r="G424">
        <v>0.26100000000000001</v>
      </c>
      <c r="H424">
        <v>1.746</v>
      </c>
      <c r="I424" t="s">
        <v>0</v>
      </c>
      <c r="J424" t="s">
        <v>50</v>
      </c>
      <c r="K424" t="s">
        <v>51</v>
      </c>
      <c r="L424">
        <v>0</v>
      </c>
      <c r="M424" t="s">
        <v>52</v>
      </c>
      <c r="N424">
        <v>1</v>
      </c>
      <c r="O424" t="s">
        <v>53</v>
      </c>
      <c r="P424" s="2">
        <v>0.46319444444444446</v>
      </c>
      <c r="Q424">
        <f>-0.0027531408*3600</f>
        <v>-9.9113068799999997</v>
      </c>
      <c r="R424">
        <f>-0.0005581448*3600</f>
        <v>-2.00932128</v>
      </c>
    </row>
    <row r="425" spans="1:18" x14ac:dyDescent="0.3">
      <c r="A425" s="4" t="s">
        <v>47</v>
      </c>
      <c r="B425" t="s">
        <v>49</v>
      </c>
      <c r="C425">
        <v>2.3490519999999999</v>
      </c>
      <c r="D425">
        <v>300.71074800000002</v>
      </c>
      <c r="E425">
        <v>502.99970000000002</v>
      </c>
      <c r="F425">
        <v>502.87799999999999</v>
      </c>
      <c r="G425">
        <v>0.26100000000000001</v>
      </c>
      <c r="H425">
        <v>1.746</v>
      </c>
      <c r="I425" t="s">
        <v>0</v>
      </c>
      <c r="J425" t="s">
        <v>50</v>
      </c>
      <c r="K425" t="s">
        <v>51</v>
      </c>
      <c r="L425">
        <v>0</v>
      </c>
      <c r="M425" t="s">
        <v>52</v>
      </c>
      <c r="N425">
        <v>1</v>
      </c>
      <c r="O425" t="s">
        <v>53</v>
      </c>
      <c r="P425" s="2">
        <v>0.46527777777777773</v>
      </c>
      <c r="Q425">
        <f>-0.0025086671*3600</f>
        <v>-9.0312015599999995</v>
      </c>
      <c r="R425">
        <f>-0.0000222702*3600</f>
        <v>-8.0172720000000003E-2</v>
      </c>
    </row>
    <row r="426" spans="1:18" x14ac:dyDescent="0.3">
      <c r="A426" s="4" t="s">
        <v>47</v>
      </c>
      <c r="B426" t="s">
        <v>49</v>
      </c>
      <c r="C426">
        <v>202.34933000000001</v>
      </c>
      <c r="D426">
        <v>99.288634000000002</v>
      </c>
      <c r="E426">
        <v>502.99939999999998</v>
      </c>
      <c r="F426">
        <v>502.8777</v>
      </c>
      <c r="G426">
        <v>0.26100000000000001</v>
      </c>
      <c r="H426">
        <v>1.746</v>
      </c>
      <c r="I426" t="s">
        <v>0</v>
      </c>
      <c r="J426" t="s">
        <v>50</v>
      </c>
      <c r="K426" t="s">
        <v>51</v>
      </c>
      <c r="L426">
        <v>0</v>
      </c>
      <c r="M426" t="s">
        <v>52</v>
      </c>
      <c r="N426">
        <v>1</v>
      </c>
      <c r="O426" t="s">
        <v>53</v>
      </c>
      <c r="P426" s="2">
        <v>0.46527777777777773</v>
      </c>
      <c r="Q426">
        <f>0.0016266992*3600</f>
        <v>5.8561171199999995</v>
      </c>
      <c r="R426">
        <f>0.0001003867*3600</f>
        <v>0.36139212000000004</v>
      </c>
    </row>
    <row r="427" spans="1:18" x14ac:dyDescent="0.3">
      <c r="A427" s="4" t="s">
        <v>47</v>
      </c>
      <c r="B427" t="s">
        <v>49</v>
      </c>
      <c r="C427">
        <v>202.34929500000001</v>
      </c>
      <c r="D427">
        <v>99.290526</v>
      </c>
      <c r="E427">
        <v>502.99919999999997</v>
      </c>
      <c r="F427">
        <v>502.8777</v>
      </c>
      <c r="G427">
        <v>0.26100000000000001</v>
      </c>
      <c r="H427">
        <v>1.746</v>
      </c>
      <c r="I427" t="s">
        <v>0</v>
      </c>
      <c r="J427" t="s">
        <v>50</v>
      </c>
      <c r="K427" t="s">
        <v>51</v>
      </c>
      <c r="L427">
        <v>0</v>
      </c>
      <c r="M427" t="s">
        <v>52</v>
      </c>
      <c r="N427">
        <v>1</v>
      </c>
      <c r="O427" t="s">
        <v>53</v>
      </c>
      <c r="P427" s="2">
        <v>0.46597222222222223</v>
      </c>
      <c r="Q427">
        <f>0.0021003018*3600</f>
        <v>7.5610864800000002</v>
      </c>
      <c r="R427">
        <f>-0.0004418305*3600</f>
        <v>-1.5905898000000001</v>
      </c>
    </row>
    <row r="428" spans="1:18" x14ac:dyDescent="0.3">
      <c r="A428" s="4" t="s">
        <v>47</v>
      </c>
      <c r="B428" t="s">
        <v>49</v>
      </c>
      <c r="C428">
        <v>2.3492419999999998</v>
      </c>
      <c r="D428">
        <v>300.71113800000001</v>
      </c>
      <c r="E428">
        <v>502.99950000000001</v>
      </c>
      <c r="F428">
        <v>502.87779999999998</v>
      </c>
      <c r="G428">
        <v>0.26100000000000001</v>
      </c>
      <c r="H428">
        <v>1.746</v>
      </c>
      <c r="I428" t="s">
        <v>0</v>
      </c>
      <c r="J428" t="s">
        <v>50</v>
      </c>
      <c r="K428" t="s">
        <v>51</v>
      </c>
      <c r="L428">
        <v>0</v>
      </c>
      <c r="M428" t="s">
        <v>52</v>
      </c>
      <c r="N428">
        <v>1</v>
      </c>
      <c r="O428" t="s">
        <v>53</v>
      </c>
      <c r="P428" s="2">
        <v>0.4680555555555555</v>
      </c>
      <c r="Q428">
        <f>-0.0038296974*3600</f>
        <v>-13.78691064</v>
      </c>
      <c r="R428">
        <f>0.0000724116*3600</f>
        <v>0.26068175999999998</v>
      </c>
    </row>
    <row r="429" spans="1:18" x14ac:dyDescent="0.3">
      <c r="A429" s="4" t="s">
        <v>47</v>
      </c>
      <c r="B429" t="s">
        <v>57</v>
      </c>
      <c r="C429">
        <v>1.2856719999999999</v>
      </c>
      <c r="D429">
        <v>99.158405000000002</v>
      </c>
      <c r="E429">
        <v>37.385599999999997</v>
      </c>
      <c r="F429">
        <v>37.375700000000002</v>
      </c>
      <c r="G429">
        <v>0.26100000000000001</v>
      </c>
      <c r="H429">
        <v>0</v>
      </c>
      <c r="I429" t="s">
        <v>0</v>
      </c>
      <c r="J429" t="s">
        <v>50</v>
      </c>
      <c r="K429" t="s">
        <v>51</v>
      </c>
      <c r="L429">
        <v>0</v>
      </c>
      <c r="M429" t="s">
        <v>52</v>
      </c>
      <c r="N429">
        <v>1</v>
      </c>
      <c r="O429" t="s">
        <v>53</v>
      </c>
      <c r="P429" s="2">
        <v>0.45208333333333334</v>
      </c>
      <c r="Q429">
        <f>-0.0018073163*3600</f>
        <v>-6.5063386800000007</v>
      </c>
      <c r="R429">
        <f>-0.0007107354*3600</f>
        <v>-2.5586474400000001</v>
      </c>
    </row>
    <row r="430" spans="1:18" x14ac:dyDescent="0.3">
      <c r="A430" s="4" t="s">
        <v>47</v>
      </c>
      <c r="B430" t="s">
        <v>57</v>
      </c>
      <c r="C430">
        <v>201.28627</v>
      </c>
      <c r="D430">
        <v>300.84152</v>
      </c>
      <c r="E430">
        <v>37.3855</v>
      </c>
      <c r="F430">
        <v>37.375599999999999</v>
      </c>
      <c r="G430">
        <v>0.26100000000000001</v>
      </c>
      <c r="H430">
        <v>0</v>
      </c>
      <c r="I430" t="s">
        <v>0</v>
      </c>
      <c r="J430" t="s">
        <v>50</v>
      </c>
      <c r="K430" t="s">
        <v>51</v>
      </c>
      <c r="L430">
        <v>0</v>
      </c>
      <c r="M430" t="s">
        <v>52</v>
      </c>
      <c r="N430">
        <v>1</v>
      </c>
      <c r="O430" t="s">
        <v>53</v>
      </c>
      <c r="P430" s="2">
        <v>0.45208333333333334</v>
      </c>
      <c r="Q430">
        <f>0.0010449267*3600</f>
        <v>3.7617361200000001</v>
      </c>
      <c r="R430">
        <f>0.0007418223*3600</f>
        <v>2.6705602800000001</v>
      </c>
    </row>
    <row r="431" spans="1:18" x14ac:dyDescent="0.3">
      <c r="A431" s="4" t="s">
        <v>47</v>
      </c>
      <c r="B431" t="s">
        <v>57</v>
      </c>
      <c r="C431">
        <v>1.2861229999999999</v>
      </c>
      <c r="D431">
        <v>99.158338000000001</v>
      </c>
      <c r="E431">
        <v>37.385399999999997</v>
      </c>
      <c r="F431">
        <v>37.375500000000002</v>
      </c>
      <c r="G431">
        <v>0.26100000000000001</v>
      </c>
      <c r="H431">
        <v>0</v>
      </c>
      <c r="I431" t="s">
        <v>0</v>
      </c>
      <c r="J431" t="s">
        <v>50</v>
      </c>
      <c r="K431" t="s">
        <v>51</v>
      </c>
      <c r="L431">
        <v>0</v>
      </c>
      <c r="M431" t="s">
        <v>52</v>
      </c>
      <c r="N431">
        <v>1</v>
      </c>
      <c r="O431" t="s">
        <v>53</v>
      </c>
      <c r="P431" s="2">
        <v>0.45347222222222222</v>
      </c>
      <c r="Q431">
        <f>-0.0022550703*3600</f>
        <v>-8.1182530800000006</v>
      </c>
      <c r="R431">
        <f>-0.0008949605*3600</f>
        <v>-3.2218578</v>
      </c>
    </row>
    <row r="432" spans="1:18" x14ac:dyDescent="0.3">
      <c r="A432" s="4" t="s">
        <v>47</v>
      </c>
      <c r="B432" t="s">
        <v>57</v>
      </c>
      <c r="C432">
        <v>201.28626700000001</v>
      </c>
      <c r="D432">
        <v>300.84150099999999</v>
      </c>
      <c r="E432">
        <v>37.3855</v>
      </c>
      <c r="F432">
        <v>37.375599999999999</v>
      </c>
      <c r="G432">
        <v>0.26100000000000001</v>
      </c>
      <c r="H432">
        <v>0</v>
      </c>
      <c r="I432" t="s">
        <v>0</v>
      </c>
      <c r="J432" t="s">
        <v>50</v>
      </c>
      <c r="K432" t="s">
        <v>51</v>
      </c>
      <c r="L432">
        <v>0</v>
      </c>
      <c r="M432" t="s">
        <v>52</v>
      </c>
      <c r="N432">
        <v>1</v>
      </c>
      <c r="O432" t="s">
        <v>53</v>
      </c>
      <c r="P432" s="2">
        <v>0.45416666666666666</v>
      </c>
      <c r="Q432">
        <f>0.0010508152*3600</f>
        <v>3.7829347199999996</v>
      </c>
      <c r="R432">
        <f>0.0007000416*3600</f>
        <v>2.5201497599999998</v>
      </c>
    </row>
    <row r="433" spans="1:18" x14ac:dyDescent="0.3">
      <c r="A433" s="4" t="s">
        <v>47</v>
      </c>
      <c r="B433" t="s">
        <v>57</v>
      </c>
      <c r="C433">
        <v>1.286367</v>
      </c>
      <c r="D433">
        <v>99.158297000000005</v>
      </c>
      <c r="E433">
        <v>37.385399999999997</v>
      </c>
      <c r="F433">
        <v>37.375500000000002</v>
      </c>
      <c r="G433">
        <v>0.26100000000000001</v>
      </c>
      <c r="H433">
        <v>0</v>
      </c>
      <c r="I433" t="s">
        <v>0</v>
      </c>
      <c r="J433" t="s">
        <v>50</v>
      </c>
      <c r="K433" t="s">
        <v>51</v>
      </c>
      <c r="L433">
        <v>0</v>
      </c>
      <c r="M433" t="s">
        <v>52</v>
      </c>
      <c r="N433">
        <v>1</v>
      </c>
      <c r="O433" t="s">
        <v>53</v>
      </c>
      <c r="P433" s="2">
        <v>0.4548611111111111</v>
      </c>
      <c r="Q433">
        <f>-0.0021554581*3600</f>
        <v>-7.7596491599999995</v>
      </c>
      <c r="R433">
        <f>-0.0008312987*3600</f>
        <v>-2.99267532</v>
      </c>
    </row>
    <row r="434" spans="1:18" x14ac:dyDescent="0.3">
      <c r="A434" s="4" t="s">
        <v>47</v>
      </c>
      <c r="B434" t="s">
        <v>57</v>
      </c>
      <c r="C434">
        <v>201.28607099999999</v>
      </c>
      <c r="D434">
        <v>300.84096799999998</v>
      </c>
      <c r="E434">
        <v>37.385599999999997</v>
      </c>
      <c r="F434">
        <v>37.375700000000002</v>
      </c>
      <c r="G434">
        <v>0.26100000000000001</v>
      </c>
      <c r="H434">
        <v>0</v>
      </c>
      <c r="I434" t="s">
        <v>0</v>
      </c>
      <c r="J434" t="s">
        <v>50</v>
      </c>
      <c r="K434" t="s">
        <v>51</v>
      </c>
      <c r="L434">
        <v>0</v>
      </c>
      <c r="M434" t="s">
        <v>52</v>
      </c>
      <c r="N434">
        <v>1</v>
      </c>
      <c r="O434" t="s">
        <v>53</v>
      </c>
      <c r="P434" s="2">
        <v>0.4548611111111111</v>
      </c>
      <c r="Q434">
        <f>0.0010823491*3600</f>
        <v>3.8964567600000004</v>
      </c>
      <c r="R434">
        <f>0.0005202101*3600</f>
        <v>1.8727563600000001</v>
      </c>
    </row>
    <row r="435" spans="1:18" x14ac:dyDescent="0.3">
      <c r="A435" s="4" t="s">
        <v>47</v>
      </c>
      <c r="B435" t="s">
        <v>57</v>
      </c>
      <c r="C435">
        <v>1.285101</v>
      </c>
      <c r="D435">
        <v>99.158904000000007</v>
      </c>
      <c r="E435">
        <v>37.3855</v>
      </c>
      <c r="F435">
        <v>37.375599999999999</v>
      </c>
      <c r="G435">
        <v>0.26100000000000001</v>
      </c>
      <c r="H435">
        <v>0</v>
      </c>
      <c r="I435" t="s">
        <v>0</v>
      </c>
      <c r="J435" t="s">
        <v>50</v>
      </c>
      <c r="K435" t="s">
        <v>51</v>
      </c>
      <c r="L435">
        <v>0</v>
      </c>
      <c r="M435" t="s">
        <v>52</v>
      </c>
      <c r="N435">
        <v>1</v>
      </c>
      <c r="O435" t="s">
        <v>53</v>
      </c>
      <c r="P435" s="2">
        <v>0.45555555555555555</v>
      </c>
      <c r="Q435">
        <f>-0.0019414192*3600</f>
        <v>-6.9891091200000002</v>
      </c>
      <c r="R435">
        <f>-0.0006591842*3600</f>
        <v>-2.3730631199999999</v>
      </c>
    </row>
    <row r="436" spans="1:18" x14ac:dyDescent="0.3">
      <c r="A436" s="4" t="s">
        <v>47</v>
      </c>
      <c r="B436" t="s">
        <v>57</v>
      </c>
      <c r="C436">
        <v>201.28607400000001</v>
      </c>
      <c r="D436">
        <v>300.841114</v>
      </c>
      <c r="E436">
        <v>37.385899999999999</v>
      </c>
      <c r="F436">
        <v>37.375999999999998</v>
      </c>
      <c r="G436">
        <v>0.26100000000000001</v>
      </c>
      <c r="H436">
        <v>0</v>
      </c>
      <c r="I436" t="s">
        <v>0</v>
      </c>
      <c r="J436" t="s">
        <v>50</v>
      </c>
      <c r="K436" t="s">
        <v>51</v>
      </c>
      <c r="L436">
        <v>0</v>
      </c>
      <c r="M436" t="s">
        <v>52</v>
      </c>
      <c r="N436">
        <v>1</v>
      </c>
      <c r="O436" t="s">
        <v>53</v>
      </c>
      <c r="P436" s="2">
        <v>0.45555555555555555</v>
      </c>
      <c r="Q436">
        <f>0.0013169867*3600</f>
        <v>4.7411521199999997</v>
      </c>
      <c r="R436">
        <f>0.0006473277*3600</f>
        <v>2.3303797199999998</v>
      </c>
    </row>
    <row r="437" spans="1:18" x14ac:dyDescent="0.3">
      <c r="A437" s="4" t="s">
        <v>47</v>
      </c>
      <c r="B437" t="s">
        <v>57</v>
      </c>
      <c r="C437">
        <v>1.2859240000000001</v>
      </c>
      <c r="D437">
        <v>99.158231000000001</v>
      </c>
      <c r="E437">
        <v>37.385399999999997</v>
      </c>
      <c r="F437">
        <v>37.375500000000002</v>
      </c>
      <c r="G437">
        <v>0.26100000000000001</v>
      </c>
      <c r="H437">
        <v>0</v>
      </c>
      <c r="I437" t="s">
        <v>0</v>
      </c>
      <c r="J437" t="s">
        <v>50</v>
      </c>
      <c r="K437" t="s">
        <v>51</v>
      </c>
      <c r="L437">
        <v>0</v>
      </c>
      <c r="M437" t="s">
        <v>52</v>
      </c>
      <c r="N437">
        <v>1</v>
      </c>
      <c r="O437" t="s">
        <v>53</v>
      </c>
      <c r="P437" s="2">
        <v>0.45624999999999999</v>
      </c>
      <c r="Q437">
        <f>-0.0018984304*3600</f>
        <v>-6.8343494399999996</v>
      </c>
      <c r="R437">
        <f>-0.0005624279*3600</f>
        <v>-2.02474044</v>
      </c>
    </row>
    <row r="438" spans="1:18" x14ac:dyDescent="0.3">
      <c r="A438" s="4" t="s">
        <v>47</v>
      </c>
      <c r="B438" t="s">
        <v>57</v>
      </c>
      <c r="C438">
        <v>201.28579199999999</v>
      </c>
      <c r="D438">
        <v>300.84112399999998</v>
      </c>
      <c r="E438">
        <v>37.3855</v>
      </c>
      <c r="F438">
        <v>37.375599999999999</v>
      </c>
      <c r="G438">
        <v>0.26100000000000001</v>
      </c>
      <c r="H438">
        <v>0</v>
      </c>
      <c r="I438" t="s">
        <v>0</v>
      </c>
      <c r="J438" t="s">
        <v>50</v>
      </c>
      <c r="K438" t="s">
        <v>51</v>
      </c>
      <c r="L438">
        <v>0</v>
      </c>
      <c r="M438" t="s">
        <v>52</v>
      </c>
      <c r="N438">
        <v>1</v>
      </c>
      <c r="O438" t="s">
        <v>53</v>
      </c>
      <c r="P438" s="2">
        <v>0.45624999999999999</v>
      </c>
      <c r="Q438">
        <f>0.0014370949*3600</f>
        <v>5.1735416399999998</v>
      </c>
      <c r="R438">
        <f>0.0000689311*3600</f>
        <v>0.24815196</v>
      </c>
    </row>
    <row r="439" spans="1:18" x14ac:dyDescent="0.3">
      <c r="A439" s="4" t="s">
        <v>47</v>
      </c>
      <c r="B439" t="s">
        <v>57</v>
      </c>
      <c r="C439">
        <v>1.2861750000000001</v>
      </c>
      <c r="D439">
        <v>99.158613000000003</v>
      </c>
      <c r="E439">
        <v>37.3855</v>
      </c>
      <c r="F439">
        <v>37.375599999999999</v>
      </c>
      <c r="G439">
        <v>0.26100000000000001</v>
      </c>
      <c r="H439">
        <v>0</v>
      </c>
      <c r="I439" t="s">
        <v>0</v>
      </c>
      <c r="J439" t="s">
        <v>50</v>
      </c>
      <c r="K439" t="s">
        <v>51</v>
      </c>
      <c r="L439">
        <v>0</v>
      </c>
      <c r="M439" t="s">
        <v>52</v>
      </c>
      <c r="N439">
        <v>1</v>
      </c>
      <c r="O439" t="s">
        <v>53</v>
      </c>
      <c r="P439" s="2">
        <v>0.45833333333333331</v>
      </c>
      <c r="Q439">
        <f>-0.0020144236*3600</f>
        <v>-7.2519249600000011</v>
      </c>
      <c r="R439">
        <f>-0.0003982261*3600</f>
        <v>-1.43361396</v>
      </c>
    </row>
    <row r="440" spans="1:18" x14ac:dyDescent="0.3">
      <c r="A440" s="4" t="s">
        <v>47</v>
      </c>
      <c r="B440" t="s">
        <v>57</v>
      </c>
      <c r="C440">
        <v>201.28582499999999</v>
      </c>
      <c r="D440">
        <v>300.84144800000001</v>
      </c>
      <c r="E440">
        <v>37.385599999999997</v>
      </c>
      <c r="F440">
        <v>37.375700000000002</v>
      </c>
      <c r="G440">
        <v>0.26100000000000001</v>
      </c>
      <c r="H440">
        <v>0</v>
      </c>
      <c r="I440" t="s">
        <v>0</v>
      </c>
      <c r="J440" t="s">
        <v>50</v>
      </c>
      <c r="K440" t="s">
        <v>51</v>
      </c>
      <c r="L440">
        <v>0</v>
      </c>
      <c r="M440" t="s">
        <v>52</v>
      </c>
      <c r="N440">
        <v>1</v>
      </c>
      <c r="O440" t="s">
        <v>53</v>
      </c>
      <c r="P440" s="2">
        <v>0.45833333333333331</v>
      </c>
      <c r="Q440">
        <f>0.0013205983*3600</f>
        <v>4.7541538799999996</v>
      </c>
      <c r="R440">
        <f>0.000582134*3600</f>
        <v>2.0956823999999998</v>
      </c>
    </row>
    <row r="441" spans="1:18" x14ac:dyDescent="0.3">
      <c r="A441" s="4" t="s">
        <v>47</v>
      </c>
      <c r="B441" t="s">
        <v>57</v>
      </c>
      <c r="C441">
        <v>1.286178</v>
      </c>
      <c r="D441">
        <v>99.158759000000003</v>
      </c>
      <c r="E441">
        <v>37.385399999999997</v>
      </c>
      <c r="F441">
        <v>37.375500000000002</v>
      </c>
      <c r="G441">
        <v>0.26100000000000001</v>
      </c>
      <c r="H441">
        <v>0</v>
      </c>
      <c r="I441" t="s">
        <v>0</v>
      </c>
      <c r="J441" t="s">
        <v>50</v>
      </c>
      <c r="K441" t="s">
        <v>51</v>
      </c>
      <c r="L441">
        <v>0</v>
      </c>
      <c r="M441" t="s">
        <v>52</v>
      </c>
      <c r="N441">
        <v>1</v>
      </c>
      <c r="O441" t="s">
        <v>53</v>
      </c>
      <c r="P441" s="2">
        <v>0.4597222222222222</v>
      </c>
      <c r="Q441">
        <f>-0.0024280531*3600</f>
        <v>-8.7409911600000001</v>
      </c>
      <c r="R441">
        <f>-0.000794154*3600</f>
        <v>-2.8589544</v>
      </c>
    </row>
    <row r="442" spans="1:18" x14ac:dyDescent="0.3">
      <c r="A442" s="4" t="s">
        <v>47</v>
      </c>
      <c r="B442" t="s">
        <v>57</v>
      </c>
      <c r="C442">
        <v>201.28600399999999</v>
      </c>
      <c r="D442">
        <v>300.84129999999999</v>
      </c>
      <c r="E442">
        <v>37.3857</v>
      </c>
      <c r="F442">
        <v>37.375799999999998</v>
      </c>
      <c r="G442">
        <v>0.26100000000000001</v>
      </c>
      <c r="H442">
        <v>0</v>
      </c>
      <c r="I442" t="s">
        <v>0</v>
      </c>
      <c r="J442" t="s">
        <v>50</v>
      </c>
      <c r="K442" t="s">
        <v>51</v>
      </c>
      <c r="L442">
        <v>0</v>
      </c>
      <c r="M442" t="s">
        <v>52</v>
      </c>
      <c r="N442">
        <v>1</v>
      </c>
      <c r="O442" t="s">
        <v>53</v>
      </c>
      <c r="P442" s="2">
        <v>0.4597222222222222</v>
      </c>
      <c r="Q442">
        <f>0.0012779994*3600</f>
        <v>4.6007978400000002</v>
      </c>
      <c r="R442">
        <f>0.0004731613*3600</f>
        <v>1.70338068</v>
      </c>
    </row>
    <row r="443" spans="1:18" x14ac:dyDescent="0.3">
      <c r="A443" s="4" t="s">
        <v>47</v>
      </c>
      <c r="B443" t="s">
        <v>57</v>
      </c>
      <c r="C443">
        <v>1.285947</v>
      </c>
      <c r="D443">
        <v>99.158467999999999</v>
      </c>
      <c r="E443">
        <v>37.385599999999997</v>
      </c>
      <c r="F443">
        <v>37.375700000000002</v>
      </c>
      <c r="G443">
        <v>0.26100000000000001</v>
      </c>
      <c r="H443">
        <v>0</v>
      </c>
      <c r="I443" t="s">
        <v>0</v>
      </c>
      <c r="J443" t="s">
        <v>50</v>
      </c>
      <c r="K443" t="s">
        <v>51</v>
      </c>
      <c r="L443">
        <v>0</v>
      </c>
      <c r="M443" t="s">
        <v>52</v>
      </c>
      <c r="N443">
        <v>1</v>
      </c>
      <c r="O443" t="s">
        <v>53</v>
      </c>
      <c r="P443" s="2">
        <v>0.4604166666666667</v>
      </c>
      <c r="Q443">
        <f>-0.0024411609*3600</f>
        <v>-8.7881792399999998</v>
      </c>
      <c r="R443">
        <f>-0.0007656579*3600</f>
        <v>-2.7563684399999997</v>
      </c>
    </row>
    <row r="444" spans="1:18" x14ac:dyDescent="0.3">
      <c r="A444" s="4" t="s">
        <v>47</v>
      </c>
      <c r="B444" t="s">
        <v>57</v>
      </c>
      <c r="C444">
        <v>201.286112</v>
      </c>
      <c r="D444">
        <v>300.84103900000002</v>
      </c>
      <c r="E444">
        <v>37.385599999999997</v>
      </c>
      <c r="F444">
        <v>37.375700000000002</v>
      </c>
      <c r="G444">
        <v>0.26100000000000001</v>
      </c>
      <c r="H444">
        <v>0</v>
      </c>
      <c r="I444" t="s">
        <v>0</v>
      </c>
      <c r="J444" t="s">
        <v>50</v>
      </c>
      <c r="K444" t="s">
        <v>51</v>
      </c>
      <c r="L444">
        <v>0</v>
      </c>
      <c r="M444" t="s">
        <v>52</v>
      </c>
      <c r="N444">
        <v>1</v>
      </c>
      <c r="O444" t="s">
        <v>53</v>
      </c>
      <c r="P444" s="2">
        <v>0.4604166666666667</v>
      </c>
      <c r="Q444">
        <f>0.0015533083*3600</f>
        <v>5.5919098800000002</v>
      </c>
      <c r="R444">
        <f>0.0000564886*3600</f>
        <v>0.20335896000000001</v>
      </c>
    </row>
    <row r="445" spans="1:18" x14ac:dyDescent="0.3">
      <c r="A445" s="4" t="s">
        <v>47</v>
      </c>
      <c r="B445" t="s">
        <v>57</v>
      </c>
      <c r="C445">
        <v>1.285938</v>
      </c>
      <c r="D445">
        <v>99.158546000000001</v>
      </c>
      <c r="E445">
        <v>37.385800000000003</v>
      </c>
      <c r="F445">
        <v>37.375900000000001</v>
      </c>
      <c r="G445">
        <v>0.26100000000000001</v>
      </c>
      <c r="H445">
        <v>0</v>
      </c>
      <c r="I445" t="s">
        <v>0</v>
      </c>
      <c r="J445" t="s">
        <v>50</v>
      </c>
      <c r="K445" t="s">
        <v>51</v>
      </c>
      <c r="L445">
        <v>0</v>
      </c>
      <c r="M445" t="s">
        <v>52</v>
      </c>
      <c r="N445">
        <v>1</v>
      </c>
      <c r="O445" t="s">
        <v>53</v>
      </c>
      <c r="P445" s="2">
        <v>0.46111111111111108</v>
      </c>
      <c r="Q445">
        <f>-0.0023055727*3600</f>
        <v>-8.3000617200000004</v>
      </c>
      <c r="R445">
        <f>-0.0007235348*3600</f>
        <v>-2.6047252800000003</v>
      </c>
    </row>
    <row r="446" spans="1:18" x14ac:dyDescent="0.3">
      <c r="A446" s="4" t="s">
        <v>47</v>
      </c>
      <c r="B446" t="s">
        <v>57</v>
      </c>
      <c r="C446">
        <v>201.28484800000001</v>
      </c>
      <c r="D446">
        <v>300.84045800000001</v>
      </c>
      <c r="E446">
        <v>37.385899999999999</v>
      </c>
      <c r="F446">
        <v>37.375999999999998</v>
      </c>
      <c r="G446">
        <v>0.26100000000000001</v>
      </c>
      <c r="H446">
        <v>0</v>
      </c>
      <c r="I446" t="s">
        <v>0</v>
      </c>
      <c r="J446" t="s">
        <v>50</v>
      </c>
      <c r="K446" t="s">
        <v>51</v>
      </c>
      <c r="L446">
        <v>0</v>
      </c>
      <c r="M446" t="s">
        <v>52</v>
      </c>
      <c r="N446">
        <v>1</v>
      </c>
      <c r="O446" t="s">
        <v>53</v>
      </c>
      <c r="P446" s="2">
        <v>0.46111111111111108</v>
      </c>
      <c r="Q446">
        <f>0.0015833576*3600</f>
        <v>5.7000873600000004</v>
      </c>
      <c r="R446">
        <f>-0.000087561*3600</f>
        <v>-0.31521959999999999</v>
      </c>
    </row>
    <row r="447" spans="1:18" x14ac:dyDescent="0.3">
      <c r="A447" s="4" t="s">
        <v>47</v>
      </c>
      <c r="B447" t="s">
        <v>57</v>
      </c>
      <c r="C447">
        <v>1.286224</v>
      </c>
      <c r="D447">
        <v>99.158067000000003</v>
      </c>
      <c r="E447">
        <v>37.385800000000003</v>
      </c>
      <c r="F447">
        <v>37.375900000000001</v>
      </c>
      <c r="G447">
        <v>0.26100000000000001</v>
      </c>
      <c r="H447">
        <v>0</v>
      </c>
      <c r="I447" t="s">
        <v>0</v>
      </c>
      <c r="J447" t="s">
        <v>50</v>
      </c>
      <c r="K447" t="s">
        <v>51</v>
      </c>
      <c r="L447">
        <v>0</v>
      </c>
      <c r="M447" t="s">
        <v>52</v>
      </c>
      <c r="N447">
        <v>1</v>
      </c>
      <c r="O447" t="s">
        <v>53</v>
      </c>
      <c r="P447" s="2">
        <v>0.46249999999999997</v>
      </c>
      <c r="Q447">
        <f>-0.0020991311*3600</f>
        <v>-7.5568719600000005</v>
      </c>
      <c r="R447">
        <f>-0.0001512055*3600</f>
        <v>-0.54433979999999993</v>
      </c>
    </row>
    <row r="448" spans="1:18" x14ac:dyDescent="0.3">
      <c r="A448" s="4" t="s">
        <v>47</v>
      </c>
      <c r="B448" t="s">
        <v>57</v>
      </c>
      <c r="C448">
        <v>201.285437</v>
      </c>
      <c r="D448">
        <v>300.84126400000002</v>
      </c>
      <c r="E448">
        <v>37.385800000000003</v>
      </c>
      <c r="F448">
        <v>37.375900000000001</v>
      </c>
      <c r="G448">
        <v>0.26100000000000001</v>
      </c>
      <c r="H448">
        <v>0</v>
      </c>
      <c r="I448" t="s">
        <v>0</v>
      </c>
      <c r="J448" t="s">
        <v>50</v>
      </c>
      <c r="K448" t="s">
        <v>51</v>
      </c>
      <c r="L448">
        <v>0</v>
      </c>
      <c r="M448" t="s">
        <v>52</v>
      </c>
      <c r="N448">
        <v>1</v>
      </c>
      <c r="O448" t="s">
        <v>53</v>
      </c>
      <c r="P448" s="2">
        <v>0.46249999999999997</v>
      </c>
      <c r="Q448">
        <f>0.0015619955*3600</f>
        <v>5.6231837999999996</v>
      </c>
      <c r="R448">
        <f>-0.0001107628*3600</f>
        <v>-0.39874608</v>
      </c>
    </row>
    <row r="449" spans="1:17" s="8" customFormat="1" x14ac:dyDescent="0.3">
      <c r="A449" s="8" t="s">
        <v>1779</v>
      </c>
      <c r="P449" s="9"/>
    </row>
    <row r="450" spans="1:17" x14ac:dyDescent="0.3">
      <c r="A450" s="4" t="s">
        <v>47</v>
      </c>
      <c r="B450" s="5" t="s">
        <v>63</v>
      </c>
      <c r="C450">
        <v>99.125732999999997</v>
      </c>
      <c r="D450">
        <v>109.33419000000001</v>
      </c>
      <c r="E450">
        <v>8.0449999999999999</v>
      </c>
      <c r="F450">
        <v>7.9572000000000003</v>
      </c>
      <c r="G450">
        <v>0.26100000000000001</v>
      </c>
      <c r="H450">
        <v>0</v>
      </c>
      <c r="I450" t="s">
        <v>0</v>
      </c>
      <c r="J450" t="s">
        <v>59</v>
      </c>
      <c r="K450">
        <v>3.4000000000000002E-2</v>
      </c>
      <c r="L450" t="s">
        <v>60</v>
      </c>
      <c r="M450">
        <v>1</v>
      </c>
      <c r="N450" t="s">
        <v>53</v>
      </c>
      <c r="O450" s="2">
        <v>0.47152777777777777</v>
      </c>
      <c r="P450">
        <f>-0.0017602816*3600</f>
        <v>-6.3370137600000005</v>
      </c>
      <c r="Q450">
        <f>-0.00249249*3600</f>
        <v>-8.9729639999999993</v>
      </c>
    </row>
    <row r="451" spans="1:17" x14ac:dyDescent="0.3">
      <c r="A451" s="4" t="s">
        <v>47</v>
      </c>
      <c r="B451" s="5" t="s">
        <v>66</v>
      </c>
      <c r="C451">
        <v>99.124448999999998</v>
      </c>
      <c r="D451">
        <v>109.363287</v>
      </c>
      <c r="E451">
        <v>1</v>
      </c>
      <c r="F451">
        <v>1</v>
      </c>
      <c r="G451">
        <v>0.26100000000000001</v>
      </c>
      <c r="H451">
        <v>0</v>
      </c>
      <c r="I451" t="s">
        <v>0</v>
      </c>
      <c r="J451" t="s">
        <v>59</v>
      </c>
      <c r="K451">
        <v>0</v>
      </c>
      <c r="L451" t="s">
        <v>60</v>
      </c>
      <c r="M451">
        <v>1</v>
      </c>
      <c r="N451" t="s">
        <v>67</v>
      </c>
      <c r="O451" s="2">
        <v>0.47152777777777777</v>
      </c>
      <c r="P451">
        <f>-0.0015763562*3600</f>
        <v>-5.67488232</v>
      </c>
      <c r="Q451">
        <f>-0.002632743*3600</f>
        <v>-9.4778748000000004</v>
      </c>
    </row>
    <row r="452" spans="1:17" x14ac:dyDescent="0.3">
      <c r="A452" s="4" t="s">
        <v>47</v>
      </c>
      <c r="B452" s="5" t="s">
        <v>68</v>
      </c>
      <c r="C452">
        <v>99.124932999999999</v>
      </c>
      <c r="D452">
        <v>109.36337899999999</v>
      </c>
      <c r="E452">
        <v>1</v>
      </c>
      <c r="F452">
        <v>1</v>
      </c>
      <c r="G452">
        <v>0.26100000000000001</v>
      </c>
      <c r="H452">
        <v>0</v>
      </c>
      <c r="I452" t="s">
        <v>0</v>
      </c>
      <c r="J452" t="s">
        <v>59</v>
      </c>
      <c r="K452">
        <v>0</v>
      </c>
      <c r="L452" t="s">
        <v>60</v>
      </c>
      <c r="M452">
        <v>1</v>
      </c>
      <c r="N452" t="s">
        <v>67</v>
      </c>
      <c r="O452" s="2">
        <v>0.47152777777777777</v>
      </c>
      <c r="P452">
        <f>-0.0014705766*3600</f>
        <v>-5.2940757599999992</v>
      </c>
      <c r="Q452">
        <f>-0.002618041*3600</f>
        <v>-9.4249476000000012</v>
      </c>
    </row>
    <row r="453" spans="1:17" x14ac:dyDescent="0.3">
      <c r="A453" s="4" t="s">
        <v>47</v>
      </c>
      <c r="B453" s="5" t="s">
        <v>69</v>
      </c>
      <c r="C453">
        <v>99.124927</v>
      </c>
      <c r="D453">
        <v>109.36332299999999</v>
      </c>
      <c r="E453">
        <v>1</v>
      </c>
      <c r="F453">
        <v>1</v>
      </c>
      <c r="G453">
        <v>0.26100000000000001</v>
      </c>
      <c r="H453">
        <v>0</v>
      </c>
      <c r="I453" t="s">
        <v>0</v>
      </c>
      <c r="J453" t="s">
        <v>59</v>
      </c>
      <c r="K453">
        <v>0</v>
      </c>
      <c r="L453" t="s">
        <v>60</v>
      </c>
      <c r="M453">
        <v>1</v>
      </c>
      <c r="N453" t="s">
        <v>67</v>
      </c>
      <c r="O453" s="2">
        <v>0.47152777777777777</v>
      </c>
      <c r="P453">
        <f>-0.0013726515*3600</f>
        <v>-4.9415453999999999</v>
      </c>
      <c r="Q453">
        <f>-0.0027284313*3600</f>
        <v>-9.8223526799999998</v>
      </c>
    </row>
    <row r="454" spans="1:17" x14ac:dyDescent="0.3">
      <c r="A454" s="4" t="s">
        <v>47</v>
      </c>
      <c r="B454" s="5" t="s">
        <v>70</v>
      </c>
      <c r="C454">
        <v>99.123998999999998</v>
      </c>
      <c r="D454">
        <v>109.363456</v>
      </c>
      <c r="E454">
        <v>1</v>
      </c>
      <c r="F454">
        <v>1</v>
      </c>
      <c r="G454">
        <v>0.26100000000000001</v>
      </c>
      <c r="H454">
        <v>0</v>
      </c>
      <c r="I454" t="s">
        <v>0</v>
      </c>
      <c r="J454" t="s">
        <v>59</v>
      </c>
      <c r="K454">
        <v>0</v>
      </c>
      <c r="L454" t="s">
        <v>60</v>
      </c>
      <c r="M454">
        <v>1</v>
      </c>
      <c r="N454" t="s">
        <v>67</v>
      </c>
      <c r="O454" s="2">
        <v>0.47152777777777777</v>
      </c>
      <c r="P454">
        <f>-0.0014465126*3600</f>
        <v>-5.2074453600000004</v>
      </c>
      <c r="Q454">
        <f>-0.0025758902*3600</f>
        <v>-9.2732047200000007</v>
      </c>
    </row>
    <row r="455" spans="1:17" x14ac:dyDescent="0.3">
      <c r="A455" s="4" t="s">
        <v>47</v>
      </c>
      <c r="B455" s="5" t="s">
        <v>71</v>
      </c>
      <c r="C455">
        <v>99.124071999999998</v>
      </c>
      <c r="D455">
        <v>109.36344699999999</v>
      </c>
      <c r="E455">
        <v>1</v>
      </c>
      <c r="F455">
        <v>1</v>
      </c>
      <c r="G455">
        <v>0.26100000000000001</v>
      </c>
      <c r="H455">
        <v>0</v>
      </c>
      <c r="I455" t="s">
        <v>0</v>
      </c>
      <c r="J455" t="s">
        <v>59</v>
      </c>
      <c r="K455">
        <v>0</v>
      </c>
      <c r="L455" t="s">
        <v>60</v>
      </c>
      <c r="M455">
        <v>1</v>
      </c>
      <c r="N455" t="s">
        <v>67</v>
      </c>
      <c r="O455" s="2">
        <v>0.47152777777777777</v>
      </c>
      <c r="P455">
        <f>-0.001583513*3600</f>
        <v>-5.7006467999999995</v>
      </c>
      <c r="Q455">
        <f>-0.0027266494*3600</f>
        <v>-9.8159378400000001</v>
      </c>
    </row>
    <row r="456" spans="1:17" x14ac:dyDescent="0.3">
      <c r="A456" s="4" t="s">
        <v>47</v>
      </c>
      <c r="B456" s="5" t="s">
        <v>72</v>
      </c>
      <c r="C456">
        <v>99.123555999999994</v>
      </c>
      <c r="D456">
        <v>109.363604</v>
      </c>
      <c r="E456">
        <v>1</v>
      </c>
      <c r="F456">
        <v>1</v>
      </c>
      <c r="G456">
        <v>0.26100000000000001</v>
      </c>
      <c r="H456">
        <v>0</v>
      </c>
      <c r="I456" t="s">
        <v>0</v>
      </c>
      <c r="J456" t="s">
        <v>59</v>
      </c>
      <c r="K456">
        <v>0</v>
      </c>
      <c r="L456" t="s">
        <v>60</v>
      </c>
      <c r="M456">
        <v>1</v>
      </c>
      <c r="N456" t="s">
        <v>67</v>
      </c>
      <c r="O456" s="2">
        <v>0.47152777777777777</v>
      </c>
      <c r="P456">
        <f>-0.0014836548*3600</f>
        <v>-5.34115728</v>
      </c>
      <c r="Q456">
        <f>-0.0025628948*3600</f>
        <v>-9.2264212800000003</v>
      </c>
    </row>
    <row r="457" spans="1:17" x14ac:dyDescent="0.3">
      <c r="A457" s="4" t="s">
        <v>47</v>
      </c>
      <c r="B457" s="5" t="s">
        <v>73</v>
      </c>
      <c r="C457">
        <v>99.124065999999999</v>
      </c>
      <c r="D457">
        <v>109.363579</v>
      </c>
      <c r="E457">
        <v>1</v>
      </c>
      <c r="F457">
        <v>1</v>
      </c>
      <c r="G457">
        <v>0.26100000000000001</v>
      </c>
      <c r="H457">
        <v>0</v>
      </c>
      <c r="I457" t="s">
        <v>0</v>
      </c>
      <c r="J457" t="s">
        <v>59</v>
      </c>
      <c r="K457">
        <v>0</v>
      </c>
      <c r="L457" t="s">
        <v>60</v>
      </c>
      <c r="M457">
        <v>1</v>
      </c>
      <c r="N457" t="s">
        <v>67</v>
      </c>
      <c r="O457" s="2">
        <v>0.47152777777777777</v>
      </c>
      <c r="P457">
        <f>-0.0016986805*3600</f>
        <v>-6.1152498</v>
      </c>
      <c r="Q457">
        <f>-0.0026304564*3600</f>
        <v>-9.4696430399999993</v>
      </c>
    </row>
    <row r="458" spans="1:17" x14ac:dyDescent="0.3">
      <c r="A458" s="4" t="s">
        <v>47</v>
      </c>
      <c r="B458" s="5" t="s">
        <v>74</v>
      </c>
      <c r="C458">
        <v>99.123773999999997</v>
      </c>
      <c r="D458">
        <v>109.363589</v>
      </c>
      <c r="E458">
        <v>1</v>
      </c>
      <c r="F458">
        <v>1</v>
      </c>
      <c r="G458">
        <v>0.26100000000000001</v>
      </c>
      <c r="H458">
        <v>0</v>
      </c>
      <c r="I458" t="s">
        <v>0</v>
      </c>
      <c r="J458" t="s">
        <v>59</v>
      </c>
      <c r="K458">
        <v>0</v>
      </c>
      <c r="L458" t="s">
        <v>60</v>
      </c>
      <c r="M458">
        <v>1</v>
      </c>
      <c r="N458" t="s">
        <v>67</v>
      </c>
      <c r="O458" s="2">
        <v>0.47152777777777777</v>
      </c>
      <c r="P458">
        <f>-0.0016677964*3600</f>
        <v>-6.0040670399999998</v>
      </c>
      <c r="Q458">
        <f>-0.0026307054*3600</f>
        <v>-9.4705394399999996</v>
      </c>
    </row>
    <row r="459" spans="1:17" x14ac:dyDescent="0.3">
      <c r="A459" s="4" t="s">
        <v>47</v>
      </c>
      <c r="B459" s="5" t="s">
        <v>75</v>
      </c>
      <c r="C459">
        <v>99.123906000000005</v>
      </c>
      <c r="D459">
        <v>109.36359</v>
      </c>
      <c r="E459">
        <v>1</v>
      </c>
      <c r="F459">
        <v>1</v>
      </c>
      <c r="G459">
        <v>0.26100000000000001</v>
      </c>
      <c r="H459">
        <v>0</v>
      </c>
      <c r="I459" t="s">
        <v>0</v>
      </c>
      <c r="J459" t="s">
        <v>59</v>
      </c>
      <c r="K459">
        <v>0</v>
      </c>
      <c r="L459" t="s">
        <v>60</v>
      </c>
      <c r="M459">
        <v>1</v>
      </c>
      <c r="N459" t="s">
        <v>67</v>
      </c>
      <c r="O459" s="2">
        <v>0.47222222222222227</v>
      </c>
      <c r="P459">
        <f>-0.0016543281*3600</f>
        <v>-5.9555811600000004</v>
      </c>
      <c r="Q459">
        <f>-0.002623244*3600</f>
        <v>-9.4436783999999996</v>
      </c>
    </row>
    <row r="460" spans="1:17" x14ac:dyDescent="0.3">
      <c r="A460" s="4" t="s">
        <v>47</v>
      </c>
      <c r="B460" s="5" t="s">
        <v>76</v>
      </c>
      <c r="C460">
        <v>99.123930000000001</v>
      </c>
      <c r="D460">
        <v>109.363631</v>
      </c>
      <c r="E460">
        <v>1</v>
      </c>
      <c r="F460">
        <v>1</v>
      </c>
      <c r="G460">
        <v>0.26100000000000001</v>
      </c>
      <c r="H460">
        <v>0</v>
      </c>
      <c r="I460" t="s">
        <v>0</v>
      </c>
      <c r="J460" t="s">
        <v>59</v>
      </c>
      <c r="K460">
        <v>0</v>
      </c>
      <c r="L460" t="s">
        <v>60</v>
      </c>
      <c r="M460">
        <v>1</v>
      </c>
      <c r="N460" t="s">
        <v>67</v>
      </c>
      <c r="O460" s="2">
        <v>0.47222222222222227</v>
      </c>
      <c r="P460">
        <f>-0.0016450008*3600</f>
        <v>-5.92200288</v>
      </c>
      <c r="Q460">
        <f>-0.0025898282*3600</f>
        <v>-9.3233815199999999</v>
      </c>
    </row>
    <row r="461" spans="1:17" x14ac:dyDescent="0.3">
      <c r="A461" s="4" t="s">
        <v>47</v>
      </c>
      <c r="B461" s="5" t="s">
        <v>77</v>
      </c>
      <c r="C461">
        <v>99.124217999999999</v>
      </c>
      <c r="D461">
        <v>109.363637</v>
      </c>
      <c r="E461">
        <v>1</v>
      </c>
      <c r="F461">
        <v>1</v>
      </c>
      <c r="G461">
        <v>0.26100000000000001</v>
      </c>
      <c r="H461">
        <v>0</v>
      </c>
      <c r="I461" t="s">
        <v>0</v>
      </c>
      <c r="J461" t="s">
        <v>59</v>
      </c>
      <c r="K461">
        <v>0</v>
      </c>
      <c r="L461" t="s">
        <v>60</v>
      </c>
      <c r="M461">
        <v>1</v>
      </c>
      <c r="N461" t="s">
        <v>67</v>
      </c>
      <c r="O461" s="2">
        <v>0.47222222222222227</v>
      </c>
      <c r="P461">
        <f>-0.0015373516*3600</f>
        <v>-5.5344657599999998</v>
      </c>
      <c r="Q461">
        <f>-0.0025834155*3600</f>
        <v>-9.3002958000000007</v>
      </c>
    </row>
    <row r="462" spans="1:17" x14ac:dyDescent="0.3">
      <c r="A462" s="4" t="s">
        <v>47</v>
      </c>
      <c r="B462" s="5" t="s">
        <v>78</v>
      </c>
      <c r="C462">
        <v>99.124005999999994</v>
      </c>
      <c r="D462">
        <v>109.36368299999999</v>
      </c>
      <c r="E462">
        <v>1</v>
      </c>
      <c r="F462">
        <v>1</v>
      </c>
      <c r="G462">
        <v>0.26100000000000001</v>
      </c>
      <c r="H462">
        <v>0</v>
      </c>
      <c r="I462" t="s">
        <v>0</v>
      </c>
      <c r="J462" t="s">
        <v>59</v>
      </c>
      <c r="K462">
        <v>0</v>
      </c>
      <c r="L462" t="s">
        <v>60</v>
      </c>
      <c r="M462">
        <v>1</v>
      </c>
      <c r="N462" t="s">
        <v>67</v>
      </c>
      <c r="O462" s="2">
        <v>0.47222222222222227</v>
      </c>
      <c r="P462">
        <f>-0.0015104027*3600</f>
        <v>-5.43744972</v>
      </c>
      <c r="Q462">
        <f>-0.0025470692*3600</f>
        <v>-9.1694491199999995</v>
      </c>
    </row>
    <row r="463" spans="1:17" x14ac:dyDescent="0.3">
      <c r="A463" s="4" t="s">
        <v>47</v>
      </c>
      <c r="B463" s="5" t="s">
        <v>79</v>
      </c>
      <c r="C463">
        <v>99.124194000000003</v>
      </c>
      <c r="D463">
        <v>109.363302</v>
      </c>
      <c r="E463">
        <v>1</v>
      </c>
      <c r="F463">
        <v>1</v>
      </c>
      <c r="G463">
        <v>0.26100000000000001</v>
      </c>
      <c r="H463">
        <v>0</v>
      </c>
      <c r="I463" t="s">
        <v>0</v>
      </c>
      <c r="J463" t="s">
        <v>59</v>
      </c>
      <c r="K463">
        <v>0</v>
      </c>
      <c r="L463" t="s">
        <v>60</v>
      </c>
      <c r="M463">
        <v>1</v>
      </c>
      <c r="N463" t="s">
        <v>67</v>
      </c>
      <c r="O463" s="2">
        <v>0.47222222222222227</v>
      </c>
      <c r="P463">
        <f>-0.0014449623*3600</f>
        <v>-5.2018642800000006</v>
      </c>
      <c r="Q463">
        <f>-0.0029320403*3600</f>
        <v>-10.55534508</v>
      </c>
    </row>
    <row r="464" spans="1:17" x14ac:dyDescent="0.3">
      <c r="A464" s="4" t="s">
        <v>47</v>
      </c>
      <c r="B464" s="5" t="s">
        <v>80</v>
      </c>
      <c r="C464">
        <v>99.124180999999993</v>
      </c>
      <c r="D464">
        <v>109.36357700000001</v>
      </c>
      <c r="E464">
        <v>1</v>
      </c>
      <c r="F464">
        <v>1</v>
      </c>
      <c r="G464">
        <v>0.26100000000000001</v>
      </c>
      <c r="H464">
        <v>0</v>
      </c>
      <c r="I464" t="s">
        <v>0</v>
      </c>
      <c r="J464" t="s">
        <v>59</v>
      </c>
      <c r="K464">
        <v>0</v>
      </c>
      <c r="L464" t="s">
        <v>60</v>
      </c>
      <c r="M464">
        <v>1</v>
      </c>
      <c r="N464" t="s">
        <v>67</v>
      </c>
      <c r="O464" s="2">
        <v>0.47222222222222227</v>
      </c>
      <c r="P464">
        <f>-0.0016134918*3600</f>
        <v>-5.8085704800000002</v>
      </c>
      <c r="Q464">
        <f>-0.0026361877*3600</f>
        <v>-9.4902757199999996</v>
      </c>
    </row>
    <row r="465" spans="1:17" x14ac:dyDescent="0.3">
      <c r="A465" s="4" t="s">
        <v>47</v>
      </c>
      <c r="B465" s="5" t="s">
        <v>81</v>
      </c>
      <c r="C465">
        <v>99.124056999999993</v>
      </c>
      <c r="D465">
        <v>109.36351500000001</v>
      </c>
      <c r="E465">
        <v>1</v>
      </c>
      <c r="F465">
        <v>1</v>
      </c>
      <c r="G465">
        <v>0.26100000000000001</v>
      </c>
      <c r="H465">
        <v>0</v>
      </c>
      <c r="I465" t="s">
        <v>0</v>
      </c>
      <c r="J465" t="s">
        <v>59</v>
      </c>
      <c r="K465">
        <v>0</v>
      </c>
      <c r="L465" t="s">
        <v>60</v>
      </c>
      <c r="M465">
        <v>1</v>
      </c>
      <c r="N465" t="s">
        <v>67</v>
      </c>
      <c r="O465" s="2">
        <v>0.47222222222222227</v>
      </c>
      <c r="P465">
        <f>-0.0015686259*3600</f>
        <v>-5.64705324</v>
      </c>
      <c r="Q465">
        <f>-0.0027037144*3600</f>
        <v>-9.7333718400000002</v>
      </c>
    </row>
    <row r="466" spans="1:17" x14ac:dyDescent="0.3">
      <c r="A466" s="4" t="s">
        <v>47</v>
      </c>
      <c r="B466" s="5" t="s">
        <v>82</v>
      </c>
      <c r="C466">
        <v>99.124217000000002</v>
      </c>
      <c r="D466">
        <v>109.36356000000001</v>
      </c>
      <c r="E466">
        <v>1</v>
      </c>
      <c r="F466">
        <v>1</v>
      </c>
      <c r="G466">
        <v>0.26100000000000001</v>
      </c>
      <c r="H466">
        <v>0</v>
      </c>
      <c r="I466" t="s">
        <v>0</v>
      </c>
      <c r="J466" t="s">
        <v>59</v>
      </c>
      <c r="K466">
        <v>0</v>
      </c>
      <c r="L466" t="s">
        <v>60</v>
      </c>
      <c r="M466">
        <v>1</v>
      </c>
      <c r="N466" t="s">
        <v>67</v>
      </c>
      <c r="O466" s="2">
        <v>0.47222222222222227</v>
      </c>
      <c r="P466">
        <f>-0.0016356805*3600</f>
        <v>-5.8884498000000001</v>
      </c>
      <c r="Q466">
        <f>-0.0026844859*3600</f>
        <v>-9.6641492400000004</v>
      </c>
    </row>
    <row r="467" spans="1:17" x14ac:dyDescent="0.3">
      <c r="A467" s="4" t="s">
        <v>47</v>
      </c>
      <c r="B467" s="5" t="s">
        <v>83</v>
      </c>
      <c r="C467">
        <v>99.124218999999997</v>
      </c>
      <c r="D467">
        <v>109.363561</v>
      </c>
      <c r="E467">
        <v>1</v>
      </c>
      <c r="F467">
        <v>1</v>
      </c>
      <c r="G467">
        <v>0.26100000000000001</v>
      </c>
      <c r="H467">
        <v>0</v>
      </c>
      <c r="I467" t="s">
        <v>0</v>
      </c>
      <c r="J467" t="s">
        <v>59</v>
      </c>
      <c r="K467">
        <v>0</v>
      </c>
      <c r="L467" t="s">
        <v>60</v>
      </c>
      <c r="M467">
        <v>1</v>
      </c>
      <c r="N467" t="s">
        <v>67</v>
      </c>
      <c r="O467" s="2">
        <v>0.47222222222222227</v>
      </c>
      <c r="P467">
        <f>-0.0016462043*3600</f>
        <v>-5.9263354799999997</v>
      </c>
      <c r="Q467">
        <f>-0.0026612442*3600</f>
        <v>-9.5804791200000015</v>
      </c>
    </row>
    <row r="468" spans="1:17" x14ac:dyDescent="0.3">
      <c r="A468" s="4" t="s">
        <v>47</v>
      </c>
      <c r="B468" s="5" t="s">
        <v>84</v>
      </c>
      <c r="C468">
        <v>99.124296999999999</v>
      </c>
      <c r="D468">
        <v>109.363557</v>
      </c>
      <c r="E468">
        <v>1</v>
      </c>
      <c r="F468">
        <v>1</v>
      </c>
      <c r="G468">
        <v>0.26100000000000001</v>
      </c>
      <c r="H468">
        <v>0</v>
      </c>
      <c r="I468" t="s">
        <v>0</v>
      </c>
      <c r="J468" t="s">
        <v>59</v>
      </c>
      <c r="K468">
        <v>0</v>
      </c>
      <c r="L468" t="s">
        <v>60</v>
      </c>
      <c r="M468">
        <v>1</v>
      </c>
      <c r="N468" t="s">
        <v>67</v>
      </c>
      <c r="O468" s="2">
        <v>0.47222222222222227</v>
      </c>
      <c r="P468">
        <f>-0.0016384825*3600</f>
        <v>-5.8985370000000001</v>
      </c>
      <c r="Q468">
        <f>-0.0026696791*3600</f>
        <v>-9.6108447599999991</v>
      </c>
    </row>
    <row r="469" spans="1:17" x14ac:dyDescent="0.3">
      <c r="A469" s="4" t="s">
        <v>47</v>
      </c>
      <c r="B469" s="5" t="s">
        <v>85</v>
      </c>
      <c r="C469">
        <v>99.124135999999993</v>
      </c>
      <c r="D469">
        <v>109.363636</v>
      </c>
      <c r="E469">
        <v>1</v>
      </c>
      <c r="F469">
        <v>1</v>
      </c>
      <c r="G469">
        <v>0.26100000000000001</v>
      </c>
      <c r="H469">
        <v>0</v>
      </c>
      <c r="I469" t="s">
        <v>0</v>
      </c>
      <c r="J469" t="s">
        <v>59</v>
      </c>
      <c r="K469">
        <v>0</v>
      </c>
      <c r="L469" t="s">
        <v>60</v>
      </c>
      <c r="M469">
        <v>1</v>
      </c>
      <c r="N469" t="s">
        <v>67</v>
      </c>
      <c r="O469" s="2">
        <v>0.47222222222222227</v>
      </c>
      <c r="P469">
        <f>-0.0017035313*3600</f>
        <v>-6.13271268</v>
      </c>
      <c r="Q469">
        <f>-0.0026097125*3600</f>
        <v>-9.3949649999999991</v>
      </c>
    </row>
    <row r="470" spans="1:17" x14ac:dyDescent="0.3">
      <c r="A470" s="4" t="s">
        <v>47</v>
      </c>
      <c r="B470" s="5" t="s">
        <v>86</v>
      </c>
      <c r="C470">
        <v>99.124471</v>
      </c>
      <c r="D470">
        <v>109.36285100000001</v>
      </c>
      <c r="E470">
        <v>1</v>
      </c>
      <c r="F470">
        <v>1</v>
      </c>
      <c r="G470">
        <v>0.26100000000000001</v>
      </c>
      <c r="H470">
        <v>0</v>
      </c>
      <c r="I470" t="s">
        <v>0</v>
      </c>
      <c r="J470" t="s">
        <v>59</v>
      </c>
      <c r="K470">
        <v>0</v>
      </c>
      <c r="L470" t="s">
        <v>60</v>
      </c>
      <c r="M470">
        <v>1</v>
      </c>
      <c r="N470" t="s">
        <v>67</v>
      </c>
      <c r="O470" s="2">
        <v>0.47222222222222227</v>
      </c>
      <c r="P470">
        <f>-0.0015664149*3600</f>
        <v>-5.6390936399999996</v>
      </c>
      <c r="Q470">
        <f>-0.0033891852*3600</f>
        <v>-12.20106672</v>
      </c>
    </row>
    <row r="471" spans="1:17" x14ac:dyDescent="0.3">
      <c r="A471" s="4" t="s">
        <v>47</v>
      </c>
      <c r="B471" s="5" t="s">
        <v>87</v>
      </c>
      <c r="C471">
        <v>99.124156999999997</v>
      </c>
      <c r="D471">
        <v>109.36324500000001</v>
      </c>
      <c r="E471">
        <v>1</v>
      </c>
      <c r="F471">
        <v>1</v>
      </c>
      <c r="G471">
        <v>0.26100000000000001</v>
      </c>
      <c r="H471">
        <v>0</v>
      </c>
      <c r="I471" t="s">
        <v>0</v>
      </c>
      <c r="J471" t="s">
        <v>59</v>
      </c>
      <c r="K471">
        <v>0</v>
      </c>
      <c r="L471" t="s">
        <v>60</v>
      </c>
      <c r="M471">
        <v>1</v>
      </c>
      <c r="N471" t="s">
        <v>67</v>
      </c>
      <c r="O471" s="2">
        <v>0.47222222222222227</v>
      </c>
      <c r="P471">
        <f>-0.0014856284*3600</f>
        <v>-5.3482622400000004</v>
      </c>
      <c r="Q471">
        <f>-0.0029821798*3600</f>
        <v>-10.73584728</v>
      </c>
    </row>
    <row r="472" spans="1:17" x14ac:dyDescent="0.3">
      <c r="A472" s="4" t="s">
        <v>47</v>
      </c>
      <c r="B472" s="5" t="s">
        <v>88</v>
      </c>
      <c r="C472">
        <v>99.124059000000003</v>
      </c>
      <c r="D472">
        <v>109.36355</v>
      </c>
      <c r="E472">
        <v>1</v>
      </c>
      <c r="F472">
        <v>1</v>
      </c>
      <c r="G472">
        <v>0.26100000000000001</v>
      </c>
      <c r="H472">
        <v>0</v>
      </c>
      <c r="I472" t="s">
        <v>0</v>
      </c>
      <c r="J472" t="s">
        <v>59</v>
      </c>
      <c r="K472">
        <v>0</v>
      </c>
      <c r="L472" t="s">
        <v>60</v>
      </c>
      <c r="M472">
        <v>1</v>
      </c>
      <c r="N472" t="s">
        <v>67</v>
      </c>
      <c r="O472" s="2">
        <v>0.47222222222222227</v>
      </c>
      <c r="P472">
        <f>-0.0016163647*3600</f>
        <v>-5.8189129199999998</v>
      </c>
      <c r="Q472">
        <f>-0.0026902964*3600</f>
        <v>-9.6850670399999998</v>
      </c>
    </row>
    <row r="473" spans="1:17" x14ac:dyDescent="0.3">
      <c r="A473" s="4" t="s">
        <v>47</v>
      </c>
      <c r="B473" s="5" t="s">
        <v>89</v>
      </c>
      <c r="C473">
        <v>99.124014000000003</v>
      </c>
      <c r="D473">
        <v>109.36350299999999</v>
      </c>
      <c r="E473">
        <v>1</v>
      </c>
      <c r="F473">
        <v>1</v>
      </c>
      <c r="G473">
        <v>0.26100000000000001</v>
      </c>
      <c r="H473">
        <v>0</v>
      </c>
      <c r="I473" t="s">
        <v>0</v>
      </c>
      <c r="J473" t="s">
        <v>59</v>
      </c>
      <c r="K473">
        <v>0</v>
      </c>
      <c r="L473" t="s">
        <v>60</v>
      </c>
      <c r="M473">
        <v>1</v>
      </c>
      <c r="N473" t="s">
        <v>67</v>
      </c>
      <c r="O473" s="2">
        <v>0.47222222222222227</v>
      </c>
      <c r="P473">
        <f>-0.0016322104*3600</f>
        <v>-5.8759574399999996</v>
      </c>
      <c r="Q473">
        <f>-0.0027196681*3600</f>
        <v>-9.7908051600000015</v>
      </c>
    </row>
    <row r="474" spans="1:17" x14ac:dyDescent="0.3">
      <c r="A474" s="4" t="s">
        <v>47</v>
      </c>
      <c r="B474" s="5" t="s">
        <v>90</v>
      </c>
      <c r="C474">
        <v>99.124288000000007</v>
      </c>
      <c r="D474">
        <v>109.363553</v>
      </c>
      <c r="E474">
        <v>1</v>
      </c>
      <c r="F474">
        <v>1</v>
      </c>
      <c r="G474">
        <v>0.26100000000000001</v>
      </c>
      <c r="H474">
        <v>0</v>
      </c>
      <c r="I474" t="s">
        <v>0</v>
      </c>
      <c r="J474" t="s">
        <v>59</v>
      </c>
      <c r="K474">
        <v>0</v>
      </c>
      <c r="L474" t="s">
        <v>60</v>
      </c>
      <c r="M474">
        <v>1</v>
      </c>
      <c r="N474" t="s">
        <v>67</v>
      </c>
      <c r="O474" s="2">
        <v>0.47222222222222227</v>
      </c>
      <c r="P474">
        <f>-0.001636741*3600</f>
        <v>-5.8922675999999994</v>
      </c>
      <c r="Q474">
        <f>-0.0026732685*3600</f>
        <v>-9.6237665999999997</v>
      </c>
    </row>
    <row r="475" spans="1:17" x14ac:dyDescent="0.3">
      <c r="A475" s="4" t="s">
        <v>47</v>
      </c>
      <c r="B475" s="5" t="s">
        <v>91</v>
      </c>
      <c r="C475">
        <v>99.125082000000006</v>
      </c>
      <c r="D475">
        <v>109.363602</v>
      </c>
      <c r="E475">
        <v>1</v>
      </c>
      <c r="F475">
        <v>1</v>
      </c>
      <c r="G475">
        <v>0.26100000000000001</v>
      </c>
      <c r="H475">
        <v>0</v>
      </c>
      <c r="I475" t="s">
        <v>0</v>
      </c>
      <c r="J475" t="s">
        <v>59</v>
      </c>
      <c r="K475">
        <v>0</v>
      </c>
      <c r="L475" t="s">
        <v>60</v>
      </c>
      <c r="M475">
        <v>1</v>
      </c>
      <c r="N475" t="s">
        <v>67</v>
      </c>
      <c r="O475" s="2">
        <v>0.47222222222222227</v>
      </c>
      <c r="P475">
        <f>-0.0016301373*3600</f>
        <v>-5.8684942799999993</v>
      </c>
      <c r="Q475">
        <f>-0.0026590593*3600</f>
        <v>-9.5726134800000011</v>
      </c>
    </row>
    <row r="476" spans="1:17" x14ac:dyDescent="0.3">
      <c r="A476" s="4" t="s">
        <v>47</v>
      </c>
      <c r="B476" s="5" t="s">
        <v>92</v>
      </c>
      <c r="C476">
        <v>99.124526000000003</v>
      </c>
      <c r="D476">
        <v>109.363552</v>
      </c>
      <c r="E476">
        <v>1</v>
      </c>
      <c r="F476">
        <v>1</v>
      </c>
      <c r="G476">
        <v>0.26100000000000001</v>
      </c>
      <c r="H476">
        <v>0</v>
      </c>
      <c r="I476" t="s">
        <v>0</v>
      </c>
      <c r="J476" t="s">
        <v>59</v>
      </c>
      <c r="K476">
        <v>0</v>
      </c>
      <c r="L476" t="s">
        <v>60</v>
      </c>
      <c r="M476">
        <v>1</v>
      </c>
      <c r="N476" t="s">
        <v>67</v>
      </c>
      <c r="O476" s="2">
        <v>0.47222222222222227</v>
      </c>
      <c r="P476">
        <f>-0.0016059425*3600</f>
        <v>-5.7813929999999996</v>
      </c>
      <c r="Q476">
        <f>-0.0026979343*3600</f>
        <v>-9.71256348</v>
      </c>
    </row>
    <row r="477" spans="1:17" x14ac:dyDescent="0.3">
      <c r="A477" s="4" t="s">
        <v>47</v>
      </c>
      <c r="B477" s="5" t="s">
        <v>93</v>
      </c>
      <c r="C477">
        <v>99.124578</v>
      </c>
      <c r="D477">
        <v>109.363488</v>
      </c>
      <c r="E477">
        <v>1</v>
      </c>
      <c r="F477">
        <v>1</v>
      </c>
      <c r="G477">
        <v>0.26100000000000001</v>
      </c>
      <c r="H477">
        <v>0</v>
      </c>
      <c r="I477" t="s">
        <v>0</v>
      </c>
      <c r="J477" t="s">
        <v>59</v>
      </c>
      <c r="K477">
        <v>0</v>
      </c>
      <c r="L477" t="s">
        <v>60</v>
      </c>
      <c r="M477">
        <v>1</v>
      </c>
      <c r="N477" t="s">
        <v>67</v>
      </c>
      <c r="O477" s="2">
        <v>0.47222222222222227</v>
      </c>
      <c r="P477">
        <f>-0.0016229694*3600</f>
        <v>-5.8426898400000002</v>
      </c>
      <c r="Q477">
        <f>-0.0027706814*3600</f>
        <v>-9.9744530399999984</v>
      </c>
    </row>
    <row r="478" spans="1:17" x14ac:dyDescent="0.3">
      <c r="A478" s="4" t="s">
        <v>47</v>
      </c>
      <c r="B478" s="5" t="s">
        <v>94</v>
      </c>
      <c r="C478">
        <v>99.124266000000006</v>
      </c>
      <c r="D478">
        <v>109.363437</v>
      </c>
      <c r="E478">
        <v>1</v>
      </c>
      <c r="F478">
        <v>1</v>
      </c>
      <c r="G478">
        <v>0.26100000000000001</v>
      </c>
      <c r="H478">
        <v>0</v>
      </c>
      <c r="I478" t="s">
        <v>0</v>
      </c>
      <c r="J478" t="s">
        <v>59</v>
      </c>
      <c r="K478">
        <v>0</v>
      </c>
      <c r="L478" t="s">
        <v>60</v>
      </c>
      <c r="M478">
        <v>1</v>
      </c>
      <c r="N478" t="s">
        <v>67</v>
      </c>
      <c r="O478" s="2">
        <v>0.47222222222222227</v>
      </c>
      <c r="P478">
        <f>-0.0016691212*3600</f>
        <v>-6.0088363200000003</v>
      </c>
      <c r="Q478">
        <f>-0.0027975005*3600</f>
        <v>-10.071001799999999</v>
      </c>
    </row>
    <row r="479" spans="1:17" x14ac:dyDescent="0.3">
      <c r="A479" s="4" t="s">
        <v>47</v>
      </c>
      <c r="B479" s="5" t="s">
        <v>95</v>
      </c>
      <c r="C479">
        <v>99.124185999999995</v>
      </c>
      <c r="D479">
        <v>109.363484</v>
      </c>
      <c r="E479">
        <v>1</v>
      </c>
      <c r="F479">
        <v>1</v>
      </c>
      <c r="G479">
        <v>0.26100000000000001</v>
      </c>
      <c r="H479">
        <v>0</v>
      </c>
      <c r="I479" t="s">
        <v>0</v>
      </c>
      <c r="J479" t="s">
        <v>59</v>
      </c>
      <c r="K479">
        <v>0</v>
      </c>
      <c r="L479" t="s">
        <v>60</v>
      </c>
      <c r="M479">
        <v>1</v>
      </c>
      <c r="N479" t="s">
        <v>67</v>
      </c>
      <c r="O479" s="2">
        <v>0.47222222222222227</v>
      </c>
      <c r="P479">
        <f>-0.0015932051*3600</f>
        <v>-5.7355383599999996</v>
      </c>
      <c r="Q479">
        <f>-0.0027752508*3600</f>
        <v>-9.9909028800000002</v>
      </c>
    </row>
    <row r="480" spans="1:17" x14ac:dyDescent="0.3">
      <c r="A480" s="4" t="s">
        <v>47</v>
      </c>
      <c r="B480" s="5" t="s">
        <v>96</v>
      </c>
      <c r="C480">
        <v>99.124391000000003</v>
      </c>
      <c r="D480">
        <v>109.36347499999999</v>
      </c>
      <c r="E480">
        <v>1</v>
      </c>
      <c r="F480">
        <v>1</v>
      </c>
      <c r="G480">
        <v>0.26100000000000001</v>
      </c>
      <c r="H480">
        <v>0</v>
      </c>
      <c r="I480" t="s">
        <v>0</v>
      </c>
      <c r="J480" t="s">
        <v>59</v>
      </c>
      <c r="K480">
        <v>0</v>
      </c>
      <c r="L480" t="s">
        <v>60</v>
      </c>
      <c r="M480">
        <v>1</v>
      </c>
      <c r="N480" t="s">
        <v>67</v>
      </c>
      <c r="O480" s="2">
        <v>0.47222222222222227</v>
      </c>
      <c r="P480">
        <f>-0.0016458679*3600</f>
        <v>-5.9251244399999994</v>
      </c>
      <c r="Q480">
        <f>-0.0027658409*3600</f>
        <v>-9.9570272400000004</v>
      </c>
    </row>
    <row r="481" spans="1:17" x14ac:dyDescent="0.3">
      <c r="A481" s="4" t="s">
        <v>47</v>
      </c>
      <c r="B481" s="5" t="s">
        <v>97</v>
      </c>
      <c r="C481">
        <v>99.124122</v>
      </c>
      <c r="D481">
        <v>109.363491</v>
      </c>
      <c r="E481">
        <v>1</v>
      </c>
      <c r="F481">
        <v>1</v>
      </c>
      <c r="G481">
        <v>0.26100000000000001</v>
      </c>
      <c r="H481">
        <v>0</v>
      </c>
      <c r="I481" t="s">
        <v>0</v>
      </c>
      <c r="J481" t="s">
        <v>59</v>
      </c>
      <c r="K481">
        <v>0</v>
      </c>
      <c r="L481" t="s">
        <v>60</v>
      </c>
      <c r="M481">
        <v>1</v>
      </c>
      <c r="N481" t="s">
        <v>67</v>
      </c>
      <c r="O481" s="2">
        <v>0.47222222222222227</v>
      </c>
      <c r="P481">
        <f>-0.0016540816*3600</f>
        <v>-5.9546937599999996</v>
      </c>
      <c r="Q481">
        <f>-0.0027630885*3600</f>
        <v>-9.9471185999999996</v>
      </c>
    </row>
    <row r="482" spans="1:17" x14ac:dyDescent="0.3">
      <c r="A482" s="4" t="s">
        <v>47</v>
      </c>
      <c r="B482" s="5" t="s">
        <v>98</v>
      </c>
      <c r="C482">
        <v>99.123998999999998</v>
      </c>
      <c r="D482">
        <v>109.36353</v>
      </c>
      <c r="E482">
        <v>1</v>
      </c>
      <c r="F482">
        <v>1</v>
      </c>
      <c r="G482">
        <v>0.26100000000000001</v>
      </c>
      <c r="H482">
        <v>0</v>
      </c>
      <c r="I482" t="s">
        <v>0</v>
      </c>
      <c r="J482" t="s">
        <v>59</v>
      </c>
      <c r="K482">
        <v>0</v>
      </c>
      <c r="L482" t="s">
        <v>60</v>
      </c>
      <c r="M482">
        <v>1</v>
      </c>
      <c r="N482" t="s">
        <v>67</v>
      </c>
      <c r="O482" s="2">
        <v>0.47222222222222227</v>
      </c>
      <c r="P482">
        <f>-0.0016925488*3600</f>
        <v>-6.0931756799999999</v>
      </c>
      <c r="Q482">
        <f>-0.0027133788*3600</f>
        <v>-9.7681636800000007</v>
      </c>
    </row>
    <row r="483" spans="1:17" x14ac:dyDescent="0.3">
      <c r="A483" s="4" t="s">
        <v>47</v>
      </c>
      <c r="B483" s="5" t="s">
        <v>99</v>
      </c>
      <c r="C483">
        <v>99.123898999999994</v>
      </c>
      <c r="D483">
        <v>109.363485</v>
      </c>
      <c r="E483">
        <v>1</v>
      </c>
      <c r="F483">
        <v>1</v>
      </c>
      <c r="G483">
        <v>0.26100000000000001</v>
      </c>
      <c r="H483">
        <v>0</v>
      </c>
      <c r="I483" t="s">
        <v>0</v>
      </c>
      <c r="J483" t="s">
        <v>59</v>
      </c>
      <c r="K483">
        <v>0</v>
      </c>
      <c r="L483" t="s">
        <v>60</v>
      </c>
      <c r="M483">
        <v>1</v>
      </c>
      <c r="N483" t="s">
        <v>67</v>
      </c>
      <c r="O483" s="2">
        <v>0.47222222222222227</v>
      </c>
      <c r="P483">
        <f>-0.001663095*3600</f>
        <v>-5.9871420000000004</v>
      </c>
      <c r="Q483">
        <f>-0.0027427768*3600</f>
        <v>-9.8739964800000006</v>
      </c>
    </row>
    <row r="484" spans="1:17" x14ac:dyDescent="0.3">
      <c r="A484" s="4" t="s">
        <v>47</v>
      </c>
      <c r="B484" s="5" t="s">
        <v>100</v>
      </c>
      <c r="C484">
        <v>99.124111999999997</v>
      </c>
      <c r="D484">
        <v>109.36349800000001</v>
      </c>
      <c r="E484">
        <v>1</v>
      </c>
      <c r="F484">
        <v>1</v>
      </c>
      <c r="G484">
        <v>0.26100000000000001</v>
      </c>
      <c r="H484">
        <v>0</v>
      </c>
      <c r="I484" t="s">
        <v>0</v>
      </c>
      <c r="J484" t="s">
        <v>59</v>
      </c>
      <c r="K484">
        <v>0</v>
      </c>
      <c r="L484" t="s">
        <v>60</v>
      </c>
      <c r="M484">
        <v>1</v>
      </c>
      <c r="N484" t="s">
        <v>67</v>
      </c>
      <c r="O484" s="2">
        <v>0.47222222222222227</v>
      </c>
      <c r="P484">
        <f>-0.0016316828*3600</f>
        <v>-5.8740580800000002</v>
      </c>
      <c r="Q484">
        <f>-0.0027357386*3600</f>
        <v>-9.8486589599999999</v>
      </c>
    </row>
    <row r="485" spans="1:17" x14ac:dyDescent="0.3">
      <c r="A485" s="4" t="s">
        <v>47</v>
      </c>
      <c r="B485" s="5" t="s">
        <v>101</v>
      </c>
      <c r="C485">
        <v>99.123812999999998</v>
      </c>
      <c r="D485">
        <v>109.363491</v>
      </c>
      <c r="E485">
        <v>1</v>
      </c>
      <c r="F485">
        <v>1</v>
      </c>
      <c r="G485">
        <v>0.26100000000000001</v>
      </c>
      <c r="H485">
        <v>0</v>
      </c>
      <c r="I485" t="s">
        <v>0</v>
      </c>
      <c r="J485" t="s">
        <v>59</v>
      </c>
      <c r="K485">
        <v>0</v>
      </c>
      <c r="L485" t="s">
        <v>60</v>
      </c>
      <c r="M485">
        <v>1</v>
      </c>
      <c r="N485" t="s">
        <v>67</v>
      </c>
      <c r="O485" s="2">
        <v>0.47222222222222227</v>
      </c>
      <c r="P485">
        <f>-0.0016441179*3600</f>
        <v>-5.9188244399999999</v>
      </c>
      <c r="Q485">
        <f>-0.0027395749*3600</f>
        <v>-9.8624696400000005</v>
      </c>
    </row>
    <row r="486" spans="1:17" x14ac:dyDescent="0.3">
      <c r="A486" s="4" t="s">
        <v>47</v>
      </c>
      <c r="B486" s="5" t="s">
        <v>102</v>
      </c>
      <c r="C486">
        <v>99.123716000000002</v>
      </c>
      <c r="D486">
        <v>109.363423</v>
      </c>
      <c r="E486">
        <v>1</v>
      </c>
      <c r="F486">
        <v>1</v>
      </c>
      <c r="G486">
        <v>0.26100000000000001</v>
      </c>
      <c r="H486">
        <v>0</v>
      </c>
      <c r="I486" t="s">
        <v>0</v>
      </c>
      <c r="J486" t="s">
        <v>59</v>
      </c>
      <c r="K486">
        <v>0</v>
      </c>
      <c r="L486" t="s">
        <v>60</v>
      </c>
      <c r="M486">
        <v>1</v>
      </c>
      <c r="N486" t="s">
        <v>67</v>
      </c>
      <c r="O486" s="2">
        <v>0.47222222222222227</v>
      </c>
      <c r="P486">
        <f>-0.0016385906*3600</f>
        <v>-5.8989261600000003</v>
      </c>
      <c r="Q486">
        <f>-0.0028323631*3600</f>
        <v>-10.196507160000001</v>
      </c>
    </row>
    <row r="487" spans="1:17" x14ac:dyDescent="0.3">
      <c r="A487" s="4" t="s">
        <v>47</v>
      </c>
      <c r="B487" s="5" t="s">
        <v>103</v>
      </c>
      <c r="C487">
        <v>99.123857999999998</v>
      </c>
      <c r="D487">
        <v>109.363516</v>
      </c>
      <c r="E487">
        <v>1</v>
      </c>
      <c r="F487">
        <v>1</v>
      </c>
      <c r="G487">
        <v>0.26100000000000001</v>
      </c>
      <c r="H487">
        <v>0</v>
      </c>
      <c r="I487" t="s">
        <v>0</v>
      </c>
      <c r="J487" t="s">
        <v>59</v>
      </c>
      <c r="K487">
        <v>0</v>
      </c>
      <c r="L487" t="s">
        <v>60</v>
      </c>
      <c r="M487">
        <v>1</v>
      </c>
      <c r="N487" t="s">
        <v>67</v>
      </c>
      <c r="O487" s="2">
        <v>0.47222222222222227</v>
      </c>
      <c r="P487">
        <f>-0.0016699133*3600</f>
        <v>-6.0116878800000002</v>
      </c>
      <c r="Q487">
        <f>-0.0027080502*3600</f>
        <v>-9.7489807200000005</v>
      </c>
    </row>
    <row r="488" spans="1:17" x14ac:dyDescent="0.3">
      <c r="A488" s="4" t="s">
        <v>47</v>
      </c>
      <c r="B488" s="5" t="s">
        <v>104</v>
      </c>
      <c r="C488">
        <v>99.123840000000001</v>
      </c>
      <c r="D488">
        <v>109.363452</v>
      </c>
      <c r="E488">
        <v>1</v>
      </c>
      <c r="F488">
        <v>1</v>
      </c>
      <c r="G488">
        <v>0.26100000000000001</v>
      </c>
      <c r="H488">
        <v>0</v>
      </c>
      <c r="I488" t="s">
        <v>0</v>
      </c>
      <c r="J488" t="s">
        <v>59</v>
      </c>
      <c r="K488">
        <v>0</v>
      </c>
      <c r="L488" t="s">
        <v>60</v>
      </c>
      <c r="M488">
        <v>1</v>
      </c>
      <c r="N488" t="s">
        <v>67</v>
      </c>
      <c r="O488" s="2">
        <v>0.47222222222222227</v>
      </c>
      <c r="P488">
        <f>-0.0016523821*3600</f>
        <v>-5.9485755600000001</v>
      </c>
      <c r="Q488">
        <f>-0.0027754204*3600</f>
        <v>-9.9915134400000003</v>
      </c>
    </row>
    <row r="489" spans="1:17" x14ac:dyDescent="0.3">
      <c r="A489" s="4" t="s">
        <v>47</v>
      </c>
      <c r="B489" s="5" t="s">
        <v>105</v>
      </c>
      <c r="C489">
        <v>99.124511999999996</v>
      </c>
      <c r="D489">
        <v>109.363528</v>
      </c>
      <c r="E489">
        <v>1</v>
      </c>
      <c r="F489">
        <v>1</v>
      </c>
      <c r="G489">
        <v>0.26100000000000001</v>
      </c>
      <c r="H489">
        <v>0</v>
      </c>
      <c r="I489" t="s">
        <v>0</v>
      </c>
      <c r="J489" t="s">
        <v>59</v>
      </c>
      <c r="K489">
        <v>0</v>
      </c>
      <c r="L489" t="s">
        <v>60</v>
      </c>
      <c r="M489">
        <v>1</v>
      </c>
      <c r="N489" t="s">
        <v>67</v>
      </c>
      <c r="O489" s="2">
        <v>0.47222222222222227</v>
      </c>
      <c r="P489">
        <f>-0.0016275087*3600</f>
        <v>-5.8590313199999997</v>
      </c>
      <c r="Q489">
        <f>-0.0027262766*3600</f>
        <v>-9.8145957599999996</v>
      </c>
    </row>
    <row r="490" spans="1:17" x14ac:dyDescent="0.3">
      <c r="A490" s="4" t="s">
        <v>47</v>
      </c>
      <c r="B490" s="5" t="s">
        <v>106</v>
      </c>
      <c r="C490">
        <v>99.124668999999997</v>
      </c>
      <c r="D490">
        <v>109.363552</v>
      </c>
      <c r="E490">
        <v>1</v>
      </c>
      <c r="F490">
        <v>1</v>
      </c>
      <c r="G490">
        <v>0.26100000000000001</v>
      </c>
      <c r="H490">
        <v>0</v>
      </c>
      <c r="I490" t="s">
        <v>0</v>
      </c>
      <c r="J490" t="s">
        <v>59</v>
      </c>
      <c r="K490">
        <v>0</v>
      </c>
      <c r="L490" t="s">
        <v>60</v>
      </c>
      <c r="M490">
        <v>1</v>
      </c>
      <c r="N490" t="s">
        <v>67</v>
      </c>
      <c r="O490" s="2">
        <v>0.47222222222222227</v>
      </c>
      <c r="P490">
        <f>-0.0016662199*3600</f>
        <v>-5.9983916399999995</v>
      </c>
      <c r="Q490">
        <f>-0.0027120884*3600</f>
        <v>-9.7635182399999998</v>
      </c>
    </row>
    <row r="491" spans="1:17" x14ac:dyDescent="0.3">
      <c r="A491" s="4" t="s">
        <v>47</v>
      </c>
      <c r="B491" s="5" t="s">
        <v>107</v>
      </c>
      <c r="C491">
        <v>99.124477999999996</v>
      </c>
      <c r="D491">
        <v>109.363527</v>
      </c>
      <c r="E491">
        <v>1</v>
      </c>
      <c r="F491">
        <v>1</v>
      </c>
      <c r="G491">
        <v>0.26100000000000001</v>
      </c>
      <c r="H491">
        <v>0</v>
      </c>
      <c r="I491" t="s">
        <v>0</v>
      </c>
      <c r="J491" t="s">
        <v>59</v>
      </c>
      <c r="K491">
        <v>0</v>
      </c>
      <c r="L491" t="s">
        <v>60</v>
      </c>
      <c r="M491">
        <v>1</v>
      </c>
      <c r="N491" t="s">
        <v>67</v>
      </c>
      <c r="O491" s="2">
        <v>0.47222222222222227</v>
      </c>
      <c r="P491">
        <f>-0.0016341218*3600</f>
        <v>-5.8828384800000002</v>
      </c>
      <c r="Q491">
        <f>-0.002718961*3600</f>
        <v>-9.7882595999999999</v>
      </c>
    </row>
    <row r="492" spans="1:17" x14ac:dyDescent="0.3">
      <c r="A492" s="4" t="s">
        <v>47</v>
      </c>
      <c r="B492" s="5" t="s">
        <v>108</v>
      </c>
      <c r="C492">
        <v>99.124064000000004</v>
      </c>
      <c r="D492">
        <v>109.36345900000001</v>
      </c>
      <c r="E492">
        <v>1</v>
      </c>
      <c r="F492">
        <v>1</v>
      </c>
      <c r="G492">
        <v>0.26100000000000001</v>
      </c>
      <c r="H492">
        <v>0</v>
      </c>
      <c r="I492" t="s">
        <v>0</v>
      </c>
      <c r="J492" t="s">
        <v>59</v>
      </c>
      <c r="K492">
        <v>0</v>
      </c>
      <c r="L492" t="s">
        <v>60</v>
      </c>
      <c r="M492">
        <v>1</v>
      </c>
      <c r="N492" t="s">
        <v>67</v>
      </c>
      <c r="O492" s="2">
        <v>0.47222222222222227</v>
      </c>
      <c r="P492">
        <f>-0.0016679323*3600</f>
        <v>-6.0045562799999992</v>
      </c>
      <c r="Q492">
        <f>-0.0027989276*3600</f>
        <v>-10.076139359999999</v>
      </c>
    </row>
    <row r="493" spans="1:17" x14ac:dyDescent="0.3">
      <c r="A493" s="4" t="s">
        <v>47</v>
      </c>
      <c r="B493" s="5" t="s">
        <v>109</v>
      </c>
      <c r="C493">
        <v>99.124003000000002</v>
      </c>
      <c r="D493">
        <v>109.363353</v>
      </c>
      <c r="E493">
        <v>1</v>
      </c>
      <c r="F493">
        <v>1</v>
      </c>
      <c r="G493">
        <v>0.26100000000000001</v>
      </c>
      <c r="H493">
        <v>0</v>
      </c>
      <c r="I493" t="s">
        <v>0</v>
      </c>
      <c r="J493" t="s">
        <v>59</v>
      </c>
      <c r="K493">
        <v>0</v>
      </c>
      <c r="L493" t="s">
        <v>60</v>
      </c>
      <c r="M493">
        <v>1</v>
      </c>
      <c r="N493" t="s">
        <v>67</v>
      </c>
      <c r="O493" s="2">
        <v>0.47222222222222227</v>
      </c>
      <c r="P493">
        <f>-0.0015962724*3600</f>
        <v>-5.7465806400000004</v>
      </c>
      <c r="Q493">
        <f>-0.0028936639*3600</f>
        <v>-10.417190040000001</v>
      </c>
    </row>
    <row r="494" spans="1:17" x14ac:dyDescent="0.3">
      <c r="A494" s="4" t="s">
        <v>47</v>
      </c>
      <c r="B494" s="5" t="s">
        <v>110</v>
      </c>
      <c r="C494">
        <v>99.124084999999994</v>
      </c>
      <c r="D494">
        <v>109.363471</v>
      </c>
      <c r="E494">
        <v>1</v>
      </c>
      <c r="F494">
        <v>1</v>
      </c>
      <c r="G494">
        <v>0.26100000000000001</v>
      </c>
      <c r="H494">
        <v>0</v>
      </c>
      <c r="I494" t="s">
        <v>0</v>
      </c>
      <c r="J494" t="s">
        <v>59</v>
      </c>
      <c r="K494">
        <v>0</v>
      </c>
      <c r="L494" t="s">
        <v>60</v>
      </c>
      <c r="M494">
        <v>1</v>
      </c>
      <c r="N494" t="s">
        <v>67</v>
      </c>
      <c r="O494" s="2">
        <v>0.47222222222222227</v>
      </c>
      <c r="P494">
        <f>-0.0016138596*3600</f>
        <v>-5.80989456</v>
      </c>
      <c r="Q494">
        <f>-0.0027647465*3600</f>
        <v>-9.9530873999999994</v>
      </c>
    </row>
    <row r="495" spans="1:17" x14ac:dyDescent="0.3">
      <c r="A495" s="4" t="s">
        <v>47</v>
      </c>
      <c r="B495" s="5" t="s">
        <v>111</v>
      </c>
      <c r="C495">
        <v>99.124123999999995</v>
      </c>
      <c r="D495">
        <v>109.363501</v>
      </c>
      <c r="E495">
        <v>1</v>
      </c>
      <c r="F495">
        <v>1</v>
      </c>
      <c r="G495">
        <v>0.26100000000000001</v>
      </c>
      <c r="H495">
        <v>0</v>
      </c>
      <c r="I495" t="s">
        <v>0</v>
      </c>
      <c r="J495" t="s">
        <v>59</v>
      </c>
      <c r="K495">
        <v>0</v>
      </c>
      <c r="L495" t="s">
        <v>60</v>
      </c>
      <c r="M495">
        <v>1</v>
      </c>
      <c r="N495" t="s">
        <v>67</v>
      </c>
      <c r="O495" s="2">
        <v>0.47222222222222227</v>
      </c>
      <c r="P495">
        <f>-0.001618788*3600</f>
        <v>-5.8276367999999996</v>
      </c>
      <c r="Q495">
        <f>-0.0027346537*3600</f>
        <v>-9.8447533199999988</v>
      </c>
    </row>
    <row r="496" spans="1:17" x14ac:dyDescent="0.3">
      <c r="A496" s="4" t="s">
        <v>47</v>
      </c>
      <c r="B496" s="5" t="s">
        <v>112</v>
      </c>
      <c r="C496">
        <v>99.124135999999993</v>
      </c>
      <c r="D496">
        <v>109.363563</v>
      </c>
      <c r="E496">
        <v>1</v>
      </c>
      <c r="F496">
        <v>1</v>
      </c>
      <c r="G496">
        <v>0.26100000000000001</v>
      </c>
      <c r="H496">
        <v>0</v>
      </c>
      <c r="I496" t="s">
        <v>0</v>
      </c>
      <c r="J496" t="s">
        <v>59</v>
      </c>
      <c r="K496">
        <v>0</v>
      </c>
      <c r="L496" t="s">
        <v>60</v>
      </c>
      <c r="M496">
        <v>1</v>
      </c>
      <c r="N496" t="s">
        <v>67</v>
      </c>
      <c r="O496" s="2">
        <v>0.47291666666666665</v>
      </c>
      <c r="P496">
        <f>-0.001785685*3600</f>
        <v>-6.4284660000000002</v>
      </c>
      <c r="Q496">
        <f>-0.0027202838*3600</f>
        <v>-9.793021679999999</v>
      </c>
    </row>
    <row r="497" spans="1:17" x14ac:dyDescent="0.3">
      <c r="A497" s="4" t="s">
        <v>47</v>
      </c>
      <c r="B497" s="5" t="s">
        <v>113</v>
      </c>
      <c r="C497">
        <v>99.124031000000002</v>
      </c>
      <c r="D497">
        <v>109.363479</v>
      </c>
      <c r="E497">
        <v>1</v>
      </c>
      <c r="F497">
        <v>1</v>
      </c>
      <c r="G497">
        <v>0.26100000000000001</v>
      </c>
      <c r="H497">
        <v>0</v>
      </c>
      <c r="I497" t="s">
        <v>0</v>
      </c>
      <c r="J497" t="s">
        <v>59</v>
      </c>
      <c r="K497">
        <v>0</v>
      </c>
      <c r="L497" t="s">
        <v>60</v>
      </c>
      <c r="M497">
        <v>1</v>
      </c>
      <c r="N497" t="s">
        <v>67</v>
      </c>
      <c r="O497" s="2">
        <v>0.47291666666666665</v>
      </c>
      <c r="P497">
        <f>-0.0018406013*3600</f>
        <v>-6.6261646799999996</v>
      </c>
      <c r="Q497">
        <f>-0.0028044413*3600</f>
        <v>-10.09598868</v>
      </c>
    </row>
    <row r="498" spans="1:17" x14ac:dyDescent="0.3">
      <c r="A498" s="4" t="s">
        <v>47</v>
      </c>
      <c r="B498" s="5" t="s">
        <v>114</v>
      </c>
      <c r="C498">
        <v>99.12406</v>
      </c>
      <c r="D498">
        <v>109.363535</v>
      </c>
      <c r="E498">
        <v>1</v>
      </c>
      <c r="F498">
        <v>1</v>
      </c>
      <c r="G498">
        <v>0.26100000000000001</v>
      </c>
      <c r="H498">
        <v>0</v>
      </c>
      <c r="I498" t="s">
        <v>0</v>
      </c>
      <c r="J498" t="s">
        <v>59</v>
      </c>
      <c r="K498">
        <v>0</v>
      </c>
      <c r="L498" t="s">
        <v>60</v>
      </c>
      <c r="M498">
        <v>1</v>
      </c>
      <c r="N498" t="s">
        <v>67</v>
      </c>
      <c r="O498" s="2">
        <v>0.47291666666666665</v>
      </c>
      <c r="P498">
        <f>-0.0017977735*3600</f>
        <v>-6.4719845999999999</v>
      </c>
      <c r="Q498">
        <f>-0.0027506305*3600</f>
        <v>-9.9022698000000009</v>
      </c>
    </row>
    <row r="499" spans="1:17" x14ac:dyDescent="0.3">
      <c r="A499" s="4" t="s">
        <v>47</v>
      </c>
      <c r="B499" s="5" t="s">
        <v>115</v>
      </c>
      <c r="C499">
        <v>99.124033999999995</v>
      </c>
      <c r="D499">
        <v>109.36342999999999</v>
      </c>
      <c r="E499">
        <v>1</v>
      </c>
      <c r="F499">
        <v>1</v>
      </c>
      <c r="G499">
        <v>0.26100000000000001</v>
      </c>
      <c r="H499">
        <v>0</v>
      </c>
      <c r="I499" t="s">
        <v>0</v>
      </c>
      <c r="J499" t="s">
        <v>59</v>
      </c>
      <c r="K499">
        <v>0</v>
      </c>
      <c r="L499" t="s">
        <v>60</v>
      </c>
      <c r="M499">
        <v>1</v>
      </c>
      <c r="N499" t="s">
        <v>67</v>
      </c>
      <c r="O499" s="2">
        <v>0.47291666666666665</v>
      </c>
      <c r="P499">
        <f>-0.0017302995*3600</f>
        <v>-6.2290782</v>
      </c>
      <c r="Q499">
        <f>-0.0028485178*3600</f>
        <v>-10.25466408</v>
      </c>
    </row>
    <row r="500" spans="1:17" x14ac:dyDescent="0.3">
      <c r="A500" s="4" t="s">
        <v>47</v>
      </c>
      <c r="B500" s="6" t="s">
        <v>116</v>
      </c>
      <c r="C500">
        <v>299.124773</v>
      </c>
      <c r="D500">
        <v>290.664736</v>
      </c>
      <c r="E500">
        <v>8.0446000000000009</v>
      </c>
      <c r="F500">
        <v>7.9568000000000003</v>
      </c>
      <c r="G500">
        <v>0.26100000000000001</v>
      </c>
      <c r="H500">
        <v>0</v>
      </c>
      <c r="I500" t="s">
        <v>0</v>
      </c>
      <c r="J500" t="s">
        <v>59</v>
      </c>
      <c r="K500">
        <v>3.4000000000000002E-2</v>
      </c>
      <c r="L500" t="s">
        <v>60</v>
      </c>
      <c r="M500">
        <v>1</v>
      </c>
      <c r="N500" t="s">
        <v>53</v>
      </c>
      <c r="O500" s="2">
        <v>0.47291666666666665</v>
      </c>
      <c r="P500">
        <f>-0.0000968152*3600</f>
        <v>-0.34853472000000002</v>
      </c>
      <c r="Q500">
        <f>0.002063805*3600</f>
        <v>7.4296980000000001</v>
      </c>
    </row>
    <row r="501" spans="1:17" x14ac:dyDescent="0.3">
      <c r="A501" s="4" t="s">
        <v>47</v>
      </c>
      <c r="B501" s="6" t="s">
        <v>117</v>
      </c>
      <c r="C501">
        <v>299.12358699999999</v>
      </c>
      <c r="D501">
        <v>290.62681300000003</v>
      </c>
      <c r="E501">
        <v>1</v>
      </c>
      <c r="F501">
        <v>1</v>
      </c>
      <c r="G501">
        <v>0.26100000000000001</v>
      </c>
      <c r="H501">
        <v>0</v>
      </c>
      <c r="I501" t="s">
        <v>0</v>
      </c>
      <c r="J501" t="s">
        <v>59</v>
      </c>
      <c r="K501">
        <v>0</v>
      </c>
      <c r="L501" t="s">
        <v>60</v>
      </c>
      <c r="M501">
        <v>1</v>
      </c>
      <c r="N501" t="s">
        <v>67</v>
      </c>
      <c r="O501" s="2">
        <v>0.47291666666666665</v>
      </c>
      <c r="P501">
        <f>-0.0001424035*3600</f>
        <v>-0.51265260000000001</v>
      </c>
      <c r="Q501">
        <f>0.00188922*3600</f>
        <v>6.8011920000000003</v>
      </c>
    </row>
    <row r="502" spans="1:17" x14ac:dyDescent="0.3">
      <c r="A502" s="4" t="s">
        <v>47</v>
      </c>
      <c r="B502" s="6" t="s">
        <v>118</v>
      </c>
      <c r="C502">
        <v>299.12299999999999</v>
      </c>
      <c r="D502">
        <v>290.62679900000001</v>
      </c>
      <c r="E502">
        <v>1</v>
      </c>
      <c r="F502">
        <v>1</v>
      </c>
      <c r="G502">
        <v>0.26100000000000001</v>
      </c>
      <c r="H502">
        <v>0</v>
      </c>
      <c r="I502" t="s">
        <v>0</v>
      </c>
      <c r="J502" t="s">
        <v>59</v>
      </c>
      <c r="K502">
        <v>0</v>
      </c>
      <c r="L502" t="s">
        <v>60</v>
      </c>
      <c r="M502">
        <v>1</v>
      </c>
      <c r="N502" t="s">
        <v>67</v>
      </c>
      <c r="O502" s="2">
        <v>0.47291666666666665</v>
      </c>
      <c r="P502">
        <f>-0.0000346036*3600</f>
        <v>-0.12457296000000001</v>
      </c>
      <c r="Q502">
        <f>0.0019066601*3600</f>
        <v>6.8639763599999997</v>
      </c>
    </row>
    <row r="503" spans="1:17" x14ac:dyDescent="0.3">
      <c r="A503" s="4" t="s">
        <v>47</v>
      </c>
      <c r="B503" s="6" t="s">
        <v>119</v>
      </c>
      <c r="C503">
        <v>299.12366700000001</v>
      </c>
      <c r="D503">
        <v>290.62680999999998</v>
      </c>
      <c r="E503">
        <v>1</v>
      </c>
      <c r="F503">
        <v>1</v>
      </c>
      <c r="G503">
        <v>0.26100000000000001</v>
      </c>
      <c r="H503">
        <v>0</v>
      </c>
      <c r="I503" t="s">
        <v>0</v>
      </c>
      <c r="J503" t="s">
        <v>59</v>
      </c>
      <c r="K503">
        <v>0</v>
      </c>
      <c r="L503" t="s">
        <v>60</v>
      </c>
      <c r="M503">
        <v>1</v>
      </c>
      <c r="N503" t="s">
        <v>67</v>
      </c>
      <c r="O503" s="2">
        <v>0.47291666666666665</v>
      </c>
      <c r="P503">
        <f>-0.0000660983*3600</f>
        <v>-0.23795387999999998</v>
      </c>
      <c r="Q503">
        <f>0.0019531381*3600</f>
        <v>7.0312971600000003</v>
      </c>
    </row>
    <row r="504" spans="1:17" x14ac:dyDescent="0.3">
      <c r="A504" s="4" t="s">
        <v>47</v>
      </c>
      <c r="B504" s="6" t="s">
        <v>120</v>
      </c>
      <c r="C504">
        <v>299.12323500000002</v>
      </c>
      <c r="D504">
        <v>290.62487199999998</v>
      </c>
      <c r="E504">
        <v>1</v>
      </c>
      <c r="F504">
        <v>1</v>
      </c>
      <c r="G504">
        <v>0.26100000000000001</v>
      </c>
      <c r="H504">
        <v>0</v>
      </c>
      <c r="I504" t="s">
        <v>0</v>
      </c>
      <c r="J504" t="s">
        <v>59</v>
      </c>
      <c r="K504">
        <v>0</v>
      </c>
      <c r="L504" t="s">
        <v>60</v>
      </c>
      <c r="M504">
        <v>1</v>
      </c>
      <c r="N504" t="s">
        <v>67</v>
      </c>
      <c r="O504" s="2">
        <v>0.47361111111111115</v>
      </c>
      <c r="P504">
        <f>-0.0004602324*3600</f>
        <v>-1.6568366400000001</v>
      </c>
      <c r="Q504">
        <f>0.0018806456*3600</f>
        <v>6.7703241600000004</v>
      </c>
    </row>
    <row r="505" spans="1:17" x14ac:dyDescent="0.3">
      <c r="A505" s="4" t="s">
        <v>47</v>
      </c>
      <c r="B505" s="6" t="s">
        <v>121</v>
      </c>
      <c r="C505">
        <v>299.12293399999999</v>
      </c>
      <c r="D505">
        <v>290.62491799999998</v>
      </c>
      <c r="E505">
        <v>1</v>
      </c>
      <c r="F505">
        <v>1</v>
      </c>
      <c r="G505">
        <v>0.26100000000000001</v>
      </c>
      <c r="H505">
        <v>0</v>
      </c>
      <c r="I505" t="s">
        <v>0</v>
      </c>
      <c r="J505" t="s">
        <v>59</v>
      </c>
      <c r="K505">
        <v>0</v>
      </c>
      <c r="L505" t="s">
        <v>60</v>
      </c>
      <c r="M505">
        <v>1</v>
      </c>
      <c r="N505" t="s">
        <v>67</v>
      </c>
      <c r="O505" s="2">
        <v>0.47361111111111115</v>
      </c>
      <c r="P505">
        <f>-0.0003702117*3600</f>
        <v>-1.3327621199999999</v>
      </c>
      <c r="Q505">
        <f>0.0019464754*3600</f>
        <v>7.0073114399999996</v>
      </c>
    </row>
    <row r="506" spans="1:17" x14ac:dyDescent="0.3">
      <c r="A506" s="4" t="s">
        <v>47</v>
      </c>
      <c r="B506" s="6" t="s">
        <v>122</v>
      </c>
      <c r="C506">
        <v>299.12365899999998</v>
      </c>
      <c r="D506">
        <v>290.62490400000002</v>
      </c>
      <c r="E506">
        <v>1</v>
      </c>
      <c r="F506">
        <v>1</v>
      </c>
      <c r="G506">
        <v>0.26100000000000001</v>
      </c>
      <c r="H506">
        <v>0</v>
      </c>
      <c r="I506" t="s">
        <v>0</v>
      </c>
      <c r="J506" t="s">
        <v>59</v>
      </c>
      <c r="K506">
        <v>0</v>
      </c>
      <c r="L506" t="s">
        <v>60</v>
      </c>
      <c r="M506">
        <v>1</v>
      </c>
      <c r="N506" t="s">
        <v>67</v>
      </c>
      <c r="O506" s="2">
        <v>0.47361111111111115</v>
      </c>
      <c r="P506">
        <f>-0.0003558315*3600</f>
        <v>-1.2809933999999998</v>
      </c>
      <c r="Q506">
        <f>0.0018942805*3600</f>
        <v>6.8194098000000007</v>
      </c>
    </row>
    <row r="507" spans="1:17" x14ac:dyDescent="0.3">
      <c r="A507" s="4" t="s">
        <v>47</v>
      </c>
      <c r="B507" s="6" t="s">
        <v>123</v>
      </c>
      <c r="C507">
        <v>299.12350199999997</v>
      </c>
      <c r="D507">
        <v>290.62492900000001</v>
      </c>
      <c r="E507">
        <v>1</v>
      </c>
      <c r="F507">
        <v>1</v>
      </c>
      <c r="G507">
        <v>0.26100000000000001</v>
      </c>
      <c r="H507">
        <v>0</v>
      </c>
      <c r="I507" t="s">
        <v>0</v>
      </c>
      <c r="J507" t="s">
        <v>59</v>
      </c>
      <c r="K507">
        <v>0</v>
      </c>
      <c r="L507" t="s">
        <v>60</v>
      </c>
      <c r="M507">
        <v>1</v>
      </c>
      <c r="N507" t="s">
        <v>67</v>
      </c>
      <c r="O507" s="2">
        <v>0.47361111111111115</v>
      </c>
      <c r="P507">
        <f>-0.0004642751*3600</f>
        <v>-1.67139036</v>
      </c>
      <c r="Q507">
        <f>0.0019279461*3600</f>
        <v>6.9406059600000001</v>
      </c>
    </row>
    <row r="508" spans="1:17" x14ac:dyDescent="0.3">
      <c r="A508" s="4" t="s">
        <v>47</v>
      </c>
      <c r="B508" s="6" t="s">
        <v>124</v>
      </c>
      <c r="C508">
        <v>299.12310100000002</v>
      </c>
      <c r="D508">
        <v>290.624842</v>
      </c>
      <c r="E508">
        <v>1</v>
      </c>
      <c r="F508">
        <v>1</v>
      </c>
      <c r="G508">
        <v>0.26100000000000001</v>
      </c>
      <c r="H508">
        <v>0</v>
      </c>
      <c r="I508" t="s">
        <v>0</v>
      </c>
      <c r="J508" t="s">
        <v>59</v>
      </c>
      <c r="K508">
        <v>0</v>
      </c>
      <c r="L508" t="s">
        <v>60</v>
      </c>
      <c r="M508">
        <v>1</v>
      </c>
      <c r="N508" t="s">
        <v>67</v>
      </c>
      <c r="O508" s="2">
        <v>0.47361111111111115</v>
      </c>
      <c r="P508">
        <f>-0.0003854146*3600</f>
        <v>-1.3874925599999999</v>
      </c>
      <c r="Q508">
        <f>0.0018710585*3600</f>
        <v>6.7358105999999998</v>
      </c>
    </row>
    <row r="509" spans="1:17" x14ac:dyDescent="0.3">
      <c r="A509" s="4" t="s">
        <v>47</v>
      </c>
      <c r="B509" s="6" t="s">
        <v>125</v>
      </c>
      <c r="C509">
        <v>299.12417299999998</v>
      </c>
      <c r="D509">
        <v>290.624979</v>
      </c>
      <c r="E509">
        <v>1</v>
      </c>
      <c r="F509">
        <v>1</v>
      </c>
      <c r="G509">
        <v>0.26100000000000001</v>
      </c>
      <c r="H509">
        <v>0</v>
      </c>
      <c r="I509" t="s">
        <v>0</v>
      </c>
      <c r="J509" t="s">
        <v>59</v>
      </c>
      <c r="K509">
        <v>0</v>
      </c>
      <c r="L509" t="s">
        <v>60</v>
      </c>
      <c r="M509">
        <v>1</v>
      </c>
      <c r="N509" t="s">
        <v>67</v>
      </c>
      <c r="O509" s="2">
        <v>0.47361111111111115</v>
      </c>
      <c r="P509">
        <f>-0.0004806581*3600</f>
        <v>-1.73036916</v>
      </c>
      <c r="Q509">
        <f>0.0019844191*3600</f>
        <v>7.1439087599999995</v>
      </c>
    </row>
    <row r="510" spans="1:17" x14ac:dyDescent="0.3">
      <c r="A510" s="4" t="s">
        <v>47</v>
      </c>
      <c r="B510" s="6" t="s">
        <v>126</v>
      </c>
      <c r="C510">
        <v>299.12342100000001</v>
      </c>
      <c r="D510">
        <v>290.62506400000001</v>
      </c>
      <c r="E510">
        <v>1</v>
      </c>
      <c r="F510">
        <v>1</v>
      </c>
      <c r="G510">
        <v>0.26100000000000001</v>
      </c>
      <c r="H510">
        <v>0</v>
      </c>
      <c r="I510" t="s">
        <v>0</v>
      </c>
      <c r="J510" t="s">
        <v>59</v>
      </c>
      <c r="K510">
        <v>0</v>
      </c>
      <c r="L510" t="s">
        <v>60</v>
      </c>
      <c r="M510">
        <v>1</v>
      </c>
      <c r="N510" t="s">
        <v>67</v>
      </c>
      <c r="O510" s="2">
        <v>0.47361111111111115</v>
      </c>
      <c r="P510">
        <f>-0.0006370832*3600</f>
        <v>-2.2934995200000001</v>
      </c>
      <c r="Q510">
        <f>0.0020550701*3600</f>
        <v>7.3982523599999999</v>
      </c>
    </row>
    <row r="511" spans="1:17" x14ac:dyDescent="0.3">
      <c r="A511" s="4" t="s">
        <v>47</v>
      </c>
      <c r="B511" s="6" t="s">
        <v>127</v>
      </c>
      <c r="C511">
        <v>299.12427500000001</v>
      </c>
      <c r="D511">
        <v>290.62498699999998</v>
      </c>
      <c r="E511">
        <v>1</v>
      </c>
      <c r="F511">
        <v>1</v>
      </c>
      <c r="G511">
        <v>0.26100000000000001</v>
      </c>
      <c r="H511">
        <v>0</v>
      </c>
      <c r="I511" t="s">
        <v>0</v>
      </c>
      <c r="J511" t="s">
        <v>59</v>
      </c>
      <c r="K511">
        <v>0</v>
      </c>
      <c r="L511" t="s">
        <v>60</v>
      </c>
      <c r="M511">
        <v>1</v>
      </c>
      <c r="N511" t="s">
        <v>67</v>
      </c>
      <c r="O511" s="2">
        <v>0.47361111111111115</v>
      </c>
      <c r="P511">
        <f>-0.0005792562*3600</f>
        <v>-2.08532232</v>
      </c>
      <c r="Q511">
        <f>0.00199954*3600</f>
        <v>7.1983440000000005</v>
      </c>
    </row>
    <row r="512" spans="1:17" x14ac:dyDescent="0.3">
      <c r="A512" s="4" t="s">
        <v>47</v>
      </c>
      <c r="B512" s="6" t="s">
        <v>128</v>
      </c>
      <c r="C512">
        <v>299.12339700000001</v>
      </c>
      <c r="D512">
        <v>290.62489299999999</v>
      </c>
      <c r="E512">
        <v>1</v>
      </c>
      <c r="F512">
        <v>1</v>
      </c>
      <c r="G512">
        <v>0.26100000000000001</v>
      </c>
      <c r="H512">
        <v>0</v>
      </c>
      <c r="I512" t="s">
        <v>0</v>
      </c>
      <c r="J512" t="s">
        <v>59</v>
      </c>
      <c r="K512">
        <v>0</v>
      </c>
      <c r="L512" t="s">
        <v>60</v>
      </c>
      <c r="M512">
        <v>1</v>
      </c>
      <c r="N512" t="s">
        <v>67</v>
      </c>
      <c r="O512" s="2">
        <v>0.47361111111111115</v>
      </c>
      <c r="P512">
        <f>-0.0004813853*3600</f>
        <v>-1.73298708</v>
      </c>
      <c r="Q512">
        <f>0.0019182386*3600</f>
        <v>6.9056589600000002</v>
      </c>
    </row>
    <row r="513" spans="1:17" x14ac:dyDescent="0.3">
      <c r="A513" s="4" t="s">
        <v>47</v>
      </c>
      <c r="B513" s="6" t="s">
        <v>129</v>
      </c>
      <c r="C513">
        <v>299.12299300000001</v>
      </c>
      <c r="D513">
        <v>290.62499300000002</v>
      </c>
      <c r="E513">
        <v>1</v>
      </c>
      <c r="F513">
        <v>1</v>
      </c>
      <c r="G513">
        <v>0.26100000000000001</v>
      </c>
      <c r="H513">
        <v>0</v>
      </c>
      <c r="I513" t="s">
        <v>0</v>
      </c>
      <c r="J513" t="s">
        <v>59</v>
      </c>
      <c r="K513">
        <v>0</v>
      </c>
      <c r="L513" t="s">
        <v>60</v>
      </c>
      <c r="M513">
        <v>1</v>
      </c>
      <c r="N513" t="s">
        <v>67</v>
      </c>
      <c r="O513" s="2">
        <v>0.47361111111111115</v>
      </c>
      <c r="P513">
        <f>-0.0004897485*3600</f>
        <v>-1.7630945999999998</v>
      </c>
      <c r="Q513">
        <f>0.0020087351*3600</f>
        <v>7.2314463599999996</v>
      </c>
    </row>
    <row r="514" spans="1:17" x14ac:dyDescent="0.3">
      <c r="A514" s="4" t="s">
        <v>47</v>
      </c>
      <c r="B514" s="6" t="s">
        <v>130</v>
      </c>
      <c r="C514">
        <v>299.12309299999998</v>
      </c>
      <c r="D514">
        <v>290.62498499999998</v>
      </c>
      <c r="E514">
        <v>1</v>
      </c>
      <c r="F514">
        <v>1</v>
      </c>
      <c r="G514">
        <v>0.26100000000000001</v>
      </c>
      <c r="H514">
        <v>0</v>
      </c>
      <c r="I514" t="s">
        <v>0</v>
      </c>
      <c r="J514" t="s">
        <v>59</v>
      </c>
      <c r="K514">
        <v>0</v>
      </c>
      <c r="L514" t="s">
        <v>60</v>
      </c>
      <c r="M514">
        <v>1</v>
      </c>
      <c r="N514" t="s">
        <v>67</v>
      </c>
      <c r="O514" s="2">
        <v>0.47361111111111115</v>
      </c>
      <c r="P514">
        <f>-0.0004175097*3600</f>
        <v>-1.5030349199999999</v>
      </c>
      <c r="Q514">
        <f>0.0019833562*3600</f>
        <v>7.1400823200000003</v>
      </c>
    </row>
    <row r="515" spans="1:17" x14ac:dyDescent="0.3">
      <c r="A515" s="4" t="s">
        <v>47</v>
      </c>
      <c r="B515" s="6" t="s">
        <v>131</v>
      </c>
      <c r="C515">
        <v>299.12293699999998</v>
      </c>
      <c r="D515">
        <v>290.62493599999999</v>
      </c>
      <c r="E515">
        <v>1</v>
      </c>
      <c r="F515">
        <v>1</v>
      </c>
      <c r="G515">
        <v>0.26100000000000001</v>
      </c>
      <c r="H515">
        <v>0</v>
      </c>
      <c r="I515" t="s">
        <v>0</v>
      </c>
      <c r="J515" t="s">
        <v>59</v>
      </c>
      <c r="K515">
        <v>0</v>
      </c>
      <c r="L515" t="s">
        <v>60</v>
      </c>
      <c r="M515">
        <v>1</v>
      </c>
      <c r="N515" t="s">
        <v>67</v>
      </c>
      <c r="O515" s="2">
        <v>0.47361111111111115</v>
      </c>
      <c r="P515">
        <f>-0.0005068129*3600</f>
        <v>-1.8245264400000001</v>
      </c>
      <c r="Q515">
        <f>0.0019471262*3600</f>
        <v>7.0096543200000001</v>
      </c>
    </row>
    <row r="516" spans="1:17" x14ac:dyDescent="0.3">
      <c r="A516" s="4" t="s">
        <v>47</v>
      </c>
      <c r="B516" s="6" t="s">
        <v>132</v>
      </c>
      <c r="C516">
        <v>299.122682</v>
      </c>
      <c r="D516">
        <v>290.62492600000002</v>
      </c>
      <c r="E516">
        <v>1</v>
      </c>
      <c r="F516">
        <v>1</v>
      </c>
      <c r="G516">
        <v>0.26100000000000001</v>
      </c>
      <c r="H516">
        <v>0</v>
      </c>
      <c r="I516" t="s">
        <v>0</v>
      </c>
      <c r="J516" t="s">
        <v>59</v>
      </c>
      <c r="K516">
        <v>0</v>
      </c>
      <c r="L516" t="s">
        <v>60</v>
      </c>
      <c r="M516">
        <v>1</v>
      </c>
      <c r="N516" t="s">
        <v>67</v>
      </c>
      <c r="O516" s="2">
        <v>0.47361111111111115</v>
      </c>
      <c r="P516">
        <f>-0.0005132746*3600</f>
        <v>-1.8477885599999999</v>
      </c>
      <c r="Q516">
        <f>0.0019512143*3600</f>
        <v>7.0243714800000001</v>
      </c>
    </row>
    <row r="517" spans="1:17" x14ac:dyDescent="0.3">
      <c r="A517" s="4" t="s">
        <v>47</v>
      </c>
      <c r="B517" s="6" t="s">
        <v>133</v>
      </c>
      <c r="C517">
        <v>299.12295699999999</v>
      </c>
      <c r="D517">
        <v>290.62496399999998</v>
      </c>
      <c r="E517">
        <v>1</v>
      </c>
      <c r="F517">
        <v>1</v>
      </c>
      <c r="G517">
        <v>0.26100000000000001</v>
      </c>
      <c r="H517">
        <v>0</v>
      </c>
      <c r="I517" t="s">
        <v>0</v>
      </c>
      <c r="J517" t="s">
        <v>59</v>
      </c>
      <c r="K517">
        <v>0</v>
      </c>
      <c r="L517" t="s">
        <v>60</v>
      </c>
      <c r="M517">
        <v>1</v>
      </c>
      <c r="N517" t="s">
        <v>67</v>
      </c>
      <c r="O517" s="2">
        <v>0.47361111111111115</v>
      </c>
      <c r="P517">
        <f>-0.0004434137*3600</f>
        <v>-1.5962893199999999</v>
      </c>
      <c r="Q517">
        <f>0.0019905092*3600</f>
        <v>7.1658331200000003</v>
      </c>
    </row>
    <row r="518" spans="1:17" x14ac:dyDescent="0.3">
      <c r="A518" s="4" t="s">
        <v>47</v>
      </c>
      <c r="B518" s="6" t="s">
        <v>134</v>
      </c>
      <c r="C518">
        <v>299.12262299999998</v>
      </c>
      <c r="D518">
        <v>290.62495799999999</v>
      </c>
      <c r="E518">
        <v>1</v>
      </c>
      <c r="F518">
        <v>1</v>
      </c>
      <c r="G518">
        <v>0.26100000000000001</v>
      </c>
      <c r="H518">
        <v>0</v>
      </c>
      <c r="I518" t="s">
        <v>0</v>
      </c>
      <c r="J518" t="s">
        <v>59</v>
      </c>
      <c r="K518">
        <v>0</v>
      </c>
      <c r="L518" t="s">
        <v>60</v>
      </c>
      <c r="M518">
        <v>1</v>
      </c>
      <c r="N518" t="s">
        <v>67</v>
      </c>
      <c r="O518" s="2">
        <v>0.47361111111111115</v>
      </c>
      <c r="P518">
        <f>-0.0005048825*3600</f>
        <v>-1.8175769999999998</v>
      </c>
      <c r="Q518">
        <f>0.0019502156*3600</f>
        <v>7.0207761599999996</v>
      </c>
    </row>
    <row r="519" spans="1:17" x14ac:dyDescent="0.3">
      <c r="A519" s="4" t="s">
        <v>47</v>
      </c>
      <c r="B519" s="6" t="s">
        <v>135</v>
      </c>
      <c r="C519">
        <v>299.12335999999999</v>
      </c>
      <c r="D519">
        <v>290.62499300000002</v>
      </c>
      <c r="E519">
        <v>1</v>
      </c>
      <c r="F519">
        <v>1</v>
      </c>
      <c r="G519">
        <v>0.26100000000000001</v>
      </c>
      <c r="H519">
        <v>0</v>
      </c>
      <c r="I519" t="s">
        <v>0</v>
      </c>
      <c r="J519" t="s">
        <v>59</v>
      </c>
      <c r="K519">
        <v>0</v>
      </c>
      <c r="L519" t="s">
        <v>60</v>
      </c>
      <c r="M519">
        <v>1</v>
      </c>
      <c r="N519" t="s">
        <v>67</v>
      </c>
      <c r="O519" s="2">
        <v>0.47361111111111115</v>
      </c>
      <c r="P519">
        <f>-0.000436512*3600</f>
        <v>-1.5714432</v>
      </c>
      <c r="Q519">
        <f>0.0019903801*3600</f>
        <v>7.1653683599999995</v>
      </c>
    </row>
    <row r="520" spans="1:17" x14ac:dyDescent="0.3">
      <c r="A520" s="4" t="s">
        <v>47</v>
      </c>
      <c r="B520" s="6" t="s">
        <v>136</v>
      </c>
      <c r="C520">
        <v>299.122929</v>
      </c>
      <c r="D520">
        <v>290.624886</v>
      </c>
      <c r="E520">
        <v>1</v>
      </c>
      <c r="F520">
        <v>1</v>
      </c>
      <c r="G520">
        <v>0.26100000000000001</v>
      </c>
      <c r="H520">
        <v>0</v>
      </c>
      <c r="I520" t="s">
        <v>0</v>
      </c>
      <c r="J520" t="s">
        <v>59</v>
      </c>
      <c r="K520">
        <v>0</v>
      </c>
      <c r="L520" t="s">
        <v>60</v>
      </c>
      <c r="M520">
        <v>1</v>
      </c>
      <c r="N520" t="s">
        <v>67</v>
      </c>
      <c r="O520" s="2">
        <v>0.47361111111111115</v>
      </c>
      <c r="P520">
        <f>-0.0004580229*3600</f>
        <v>-1.6488824400000002</v>
      </c>
      <c r="Q520">
        <f>0.0019007516*3600</f>
        <v>6.8427057600000003</v>
      </c>
    </row>
    <row r="521" spans="1:17" x14ac:dyDescent="0.3">
      <c r="A521" s="4" t="s">
        <v>47</v>
      </c>
      <c r="B521" s="6" t="s">
        <v>137</v>
      </c>
      <c r="C521">
        <v>299.12290999999999</v>
      </c>
      <c r="D521">
        <v>290.62493799999999</v>
      </c>
      <c r="E521">
        <v>1</v>
      </c>
      <c r="F521">
        <v>1</v>
      </c>
      <c r="G521">
        <v>0.26100000000000001</v>
      </c>
      <c r="H521">
        <v>0</v>
      </c>
      <c r="I521" t="s">
        <v>0</v>
      </c>
      <c r="J521" t="s">
        <v>59</v>
      </c>
      <c r="K521">
        <v>0</v>
      </c>
      <c r="L521" t="s">
        <v>60</v>
      </c>
      <c r="M521">
        <v>1</v>
      </c>
      <c r="N521" t="s">
        <v>67</v>
      </c>
      <c r="O521" s="2">
        <v>0.47361111111111115</v>
      </c>
      <c r="P521">
        <f>-0.0003991499*3600</f>
        <v>-1.4369396400000001</v>
      </c>
      <c r="Q521">
        <f>0.0019639009*3600</f>
        <v>7.0700432400000004</v>
      </c>
    </row>
    <row r="522" spans="1:17" x14ac:dyDescent="0.3">
      <c r="A522" s="4" t="s">
        <v>47</v>
      </c>
      <c r="B522" s="6" t="s">
        <v>138</v>
      </c>
      <c r="C522">
        <v>299.12334299999998</v>
      </c>
      <c r="D522">
        <v>290.62498900000003</v>
      </c>
      <c r="E522">
        <v>1</v>
      </c>
      <c r="F522">
        <v>1</v>
      </c>
      <c r="G522">
        <v>0.26100000000000001</v>
      </c>
      <c r="H522">
        <v>0</v>
      </c>
      <c r="I522" t="s">
        <v>0</v>
      </c>
      <c r="J522" t="s">
        <v>59</v>
      </c>
      <c r="K522">
        <v>0</v>
      </c>
      <c r="L522" t="s">
        <v>60</v>
      </c>
      <c r="M522">
        <v>1</v>
      </c>
      <c r="N522" t="s">
        <v>67</v>
      </c>
      <c r="O522" s="2">
        <v>0.47361111111111115</v>
      </c>
      <c r="P522">
        <f>-0.0003233863*3600</f>
        <v>-1.1641906799999999</v>
      </c>
      <c r="Q522">
        <f>0.0019871861*3600</f>
        <v>7.1538699600000006</v>
      </c>
    </row>
    <row r="523" spans="1:17" x14ac:dyDescent="0.3">
      <c r="A523" s="4" t="s">
        <v>47</v>
      </c>
      <c r="B523" s="6" t="s">
        <v>139</v>
      </c>
      <c r="C523">
        <v>299.12338799999998</v>
      </c>
      <c r="D523">
        <v>290.62491399999999</v>
      </c>
      <c r="E523">
        <v>1</v>
      </c>
      <c r="F523">
        <v>1</v>
      </c>
      <c r="G523">
        <v>0.26100000000000001</v>
      </c>
      <c r="H523">
        <v>0</v>
      </c>
      <c r="I523" t="s">
        <v>0</v>
      </c>
      <c r="J523" t="s">
        <v>59</v>
      </c>
      <c r="K523">
        <v>0</v>
      </c>
      <c r="L523" t="s">
        <v>60</v>
      </c>
      <c r="M523">
        <v>1</v>
      </c>
      <c r="N523" t="s">
        <v>67</v>
      </c>
      <c r="O523" s="2">
        <v>0.47361111111111115</v>
      </c>
      <c r="P523">
        <f>-0.0003061812*3600</f>
        <v>-1.1022523200000001</v>
      </c>
      <c r="Q523">
        <f>0.0019018014*3600</f>
        <v>6.8464850400000001</v>
      </c>
    </row>
    <row r="524" spans="1:17" x14ac:dyDescent="0.3">
      <c r="A524" s="4" t="s">
        <v>47</v>
      </c>
      <c r="B524" s="6" t="s">
        <v>140</v>
      </c>
      <c r="C524">
        <v>299.12328200000002</v>
      </c>
      <c r="D524">
        <v>290.62520000000001</v>
      </c>
      <c r="E524">
        <v>1</v>
      </c>
      <c r="F524">
        <v>1</v>
      </c>
      <c r="G524">
        <v>0.26100000000000001</v>
      </c>
      <c r="H524">
        <v>0</v>
      </c>
      <c r="I524" t="s">
        <v>0</v>
      </c>
      <c r="J524" t="s">
        <v>59</v>
      </c>
      <c r="K524">
        <v>0</v>
      </c>
      <c r="L524" t="s">
        <v>60</v>
      </c>
      <c r="M524">
        <v>1</v>
      </c>
      <c r="N524" t="s">
        <v>67</v>
      </c>
      <c r="O524" s="2">
        <v>0.47361111111111115</v>
      </c>
      <c r="P524">
        <f>-0.0002582924*3600</f>
        <v>-0.92985264000000001</v>
      </c>
      <c r="Q524">
        <f>0.0021952803*3600</f>
        <v>7.9030090800000004</v>
      </c>
    </row>
    <row r="525" spans="1:17" x14ac:dyDescent="0.3">
      <c r="A525" s="4" t="s">
        <v>47</v>
      </c>
      <c r="B525" s="6" t="s">
        <v>141</v>
      </c>
      <c r="C525">
        <v>299.12317100000001</v>
      </c>
      <c r="D525">
        <v>290.625066</v>
      </c>
      <c r="E525">
        <v>1</v>
      </c>
      <c r="F525">
        <v>1</v>
      </c>
      <c r="G525">
        <v>0.26100000000000001</v>
      </c>
      <c r="H525">
        <v>0</v>
      </c>
      <c r="I525" t="s">
        <v>0</v>
      </c>
      <c r="J525" t="s">
        <v>59</v>
      </c>
      <c r="K525">
        <v>0</v>
      </c>
      <c r="L525" t="s">
        <v>60</v>
      </c>
      <c r="M525">
        <v>1</v>
      </c>
      <c r="N525" t="s">
        <v>67</v>
      </c>
      <c r="O525" s="2">
        <v>0.47361111111111115</v>
      </c>
      <c r="P525">
        <f>-0.0003318192*3600</f>
        <v>-1.19454912</v>
      </c>
      <c r="Q525">
        <f>0.0020616919*3600</f>
        <v>7.4220908400000001</v>
      </c>
    </row>
    <row r="526" spans="1:17" x14ac:dyDescent="0.3">
      <c r="A526" s="4" t="s">
        <v>47</v>
      </c>
      <c r="B526" s="6" t="s">
        <v>142</v>
      </c>
      <c r="C526">
        <v>299.12282800000003</v>
      </c>
      <c r="D526">
        <v>290.62493000000001</v>
      </c>
      <c r="E526">
        <v>1</v>
      </c>
      <c r="F526">
        <v>1</v>
      </c>
      <c r="G526">
        <v>0.26100000000000001</v>
      </c>
      <c r="H526">
        <v>0</v>
      </c>
      <c r="I526" t="s">
        <v>0</v>
      </c>
      <c r="J526" t="s">
        <v>59</v>
      </c>
      <c r="K526">
        <v>0</v>
      </c>
      <c r="L526" t="s">
        <v>60</v>
      </c>
      <c r="M526">
        <v>1</v>
      </c>
      <c r="N526" t="s">
        <v>67</v>
      </c>
      <c r="O526" s="2">
        <v>0.47361111111111115</v>
      </c>
      <c r="P526">
        <f>-0.0002603632*3600</f>
        <v>-0.93730752000000006</v>
      </c>
      <c r="Q526">
        <f>0.0019261464*3600</f>
        <v>6.9341270399999999</v>
      </c>
    </row>
    <row r="527" spans="1:17" x14ac:dyDescent="0.3">
      <c r="A527" s="4" t="s">
        <v>47</v>
      </c>
      <c r="B527" s="6" t="s">
        <v>143</v>
      </c>
      <c r="C527">
        <v>299.123243</v>
      </c>
      <c r="D527">
        <v>290.62498699999998</v>
      </c>
      <c r="E527">
        <v>1</v>
      </c>
      <c r="F527">
        <v>1</v>
      </c>
      <c r="G527">
        <v>0.26100000000000001</v>
      </c>
      <c r="H527">
        <v>0</v>
      </c>
      <c r="I527" t="s">
        <v>0</v>
      </c>
      <c r="J527" t="s">
        <v>59</v>
      </c>
      <c r="K527">
        <v>0</v>
      </c>
      <c r="L527" t="s">
        <v>60</v>
      </c>
      <c r="M527">
        <v>1</v>
      </c>
      <c r="N527" t="s">
        <v>67</v>
      </c>
      <c r="O527" s="2">
        <v>0.47361111111111115</v>
      </c>
      <c r="P527">
        <f>-0.0002633752*3600</f>
        <v>-0.94815072</v>
      </c>
      <c r="Q527">
        <f>0.0019838336*3600</f>
        <v>7.1418009600000003</v>
      </c>
    </row>
    <row r="528" spans="1:17" x14ac:dyDescent="0.3">
      <c r="A528" s="4" t="s">
        <v>47</v>
      </c>
      <c r="B528" s="6" t="s">
        <v>144</v>
      </c>
      <c r="C528">
        <v>299.12275</v>
      </c>
      <c r="D528">
        <v>290.625046</v>
      </c>
      <c r="E528">
        <v>1</v>
      </c>
      <c r="F528">
        <v>1</v>
      </c>
      <c r="G528">
        <v>0.26100000000000001</v>
      </c>
      <c r="H528">
        <v>0</v>
      </c>
      <c r="I528" t="s">
        <v>0</v>
      </c>
      <c r="J528" t="s">
        <v>59</v>
      </c>
      <c r="K528">
        <v>0</v>
      </c>
      <c r="L528" t="s">
        <v>60</v>
      </c>
      <c r="M528">
        <v>1</v>
      </c>
      <c r="N528" t="s">
        <v>67</v>
      </c>
      <c r="O528" s="2">
        <v>0.47361111111111115</v>
      </c>
      <c r="P528">
        <f>-0.0003167467*3600</f>
        <v>-1.1402881199999999</v>
      </c>
      <c r="Q528">
        <f>0.0020338002*3600</f>
        <v>7.3216807200000007</v>
      </c>
    </row>
    <row r="529" spans="1:17" x14ac:dyDescent="0.3">
      <c r="A529" s="4" t="s">
        <v>47</v>
      </c>
      <c r="B529" s="6" t="s">
        <v>145</v>
      </c>
      <c r="C529">
        <v>299.12286699999999</v>
      </c>
      <c r="D529">
        <v>290.62501600000002</v>
      </c>
      <c r="E529">
        <v>1</v>
      </c>
      <c r="F529">
        <v>1</v>
      </c>
      <c r="G529">
        <v>0.26100000000000001</v>
      </c>
      <c r="H529">
        <v>0</v>
      </c>
      <c r="I529" t="s">
        <v>0</v>
      </c>
      <c r="J529" t="s">
        <v>59</v>
      </c>
      <c r="K529">
        <v>0</v>
      </c>
      <c r="L529" t="s">
        <v>60</v>
      </c>
      <c r="M529">
        <v>1</v>
      </c>
      <c r="N529" t="s">
        <v>67</v>
      </c>
      <c r="O529" s="2">
        <v>0.47361111111111115</v>
      </c>
      <c r="P529">
        <f>-0.0002383584*3600</f>
        <v>-0.85809024</v>
      </c>
      <c r="Q529">
        <f>0.0020128703*3600</f>
        <v>7.2463330800000003</v>
      </c>
    </row>
    <row r="530" spans="1:17" x14ac:dyDescent="0.3">
      <c r="A530" s="4" t="s">
        <v>47</v>
      </c>
      <c r="B530" s="6" t="s">
        <v>146</v>
      </c>
      <c r="C530">
        <v>299.12338199999999</v>
      </c>
      <c r="D530">
        <v>290.625156</v>
      </c>
      <c r="E530">
        <v>1</v>
      </c>
      <c r="F530">
        <v>1</v>
      </c>
      <c r="G530">
        <v>0.26100000000000001</v>
      </c>
      <c r="H530">
        <v>0</v>
      </c>
      <c r="I530" t="s">
        <v>0</v>
      </c>
      <c r="J530" t="s">
        <v>59</v>
      </c>
      <c r="K530">
        <v>0</v>
      </c>
      <c r="L530" t="s">
        <v>60</v>
      </c>
      <c r="M530">
        <v>1</v>
      </c>
      <c r="N530" t="s">
        <v>67</v>
      </c>
      <c r="O530" s="2">
        <v>0.47361111111111115</v>
      </c>
      <c r="P530">
        <f>-0.0002251611*3600</f>
        <v>-0.81057995999999999</v>
      </c>
      <c r="Q530">
        <f>0.0021319364*3600</f>
        <v>7.6749710400000009</v>
      </c>
    </row>
    <row r="531" spans="1:17" x14ac:dyDescent="0.3">
      <c r="A531" s="4" t="s">
        <v>47</v>
      </c>
      <c r="B531" s="6" t="s">
        <v>147</v>
      </c>
      <c r="C531">
        <v>299.122953</v>
      </c>
      <c r="D531">
        <v>290.62501500000002</v>
      </c>
      <c r="E531">
        <v>1</v>
      </c>
      <c r="F531">
        <v>1</v>
      </c>
      <c r="G531">
        <v>0.26100000000000001</v>
      </c>
      <c r="H531">
        <v>0</v>
      </c>
      <c r="I531" t="s">
        <v>0</v>
      </c>
      <c r="J531" t="s">
        <v>59</v>
      </c>
      <c r="K531">
        <v>0</v>
      </c>
      <c r="L531" t="s">
        <v>60</v>
      </c>
      <c r="M531">
        <v>1</v>
      </c>
      <c r="N531" t="s">
        <v>67</v>
      </c>
      <c r="O531" s="2">
        <v>0.47361111111111115</v>
      </c>
      <c r="P531">
        <f>-0.0002695273*3600</f>
        <v>-0.97029827999999996</v>
      </c>
      <c r="Q531">
        <f>0.0020290719*3600</f>
        <v>7.3046588399999992</v>
      </c>
    </row>
    <row r="532" spans="1:17" x14ac:dyDescent="0.3">
      <c r="A532" s="4" t="s">
        <v>47</v>
      </c>
      <c r="B532" s="6" t="s">
        <v>148</v>
      </c>
      <c r="C532">
        <v>299.12260199999997</v>
      </c>
      <c r="D532">
        <v>290.62499600000001</v>
      </c>
      <c r="E532">
        <v>1</v>
      </c>
      <c r="F532">
        <v>1</v>
      </c>
      <c r="G532">
        <v>0.26100000000000001</v>
      </c>
      <c r="H532">
        <v>0</v>
      </c>
      <c r="I532" t="s">
        <v>0</v>
      </c>
      <c r="J532" t="s">
        <v>59</v>
      </c>
      <c r="K532">
        <v>0</v>
      </c>
      <c r="L532" t="s">
        <v>60</v>
      </c>
      <c r="M532">
        <v>1</v>
      </c>
      <c r="N532" t="s">
        <v>67</v>
      </c>
      <c r="O532" s="2">
        <v>0.47361111111111115</v>
      </c>
      <c r="P532">
        <f>-0.000345158*3600</f>
        <v>-1.2425687999999999</v>
      </c>
      <c r="Q532">
        <f>0.0020008533*3600</f>
        <v>7.2030718800000004</v>
      </c>
    </row>
    <row r="533" spans="1:17" x14ac:dyDescent="0.3">
      <c r="A533" s="4" t="s">
        <v>47</v>
      </c>
      <c r="B533" s="6" t="s">
        <v>149</v>
      </c>
      <c r="C533">
        <v>299.12431700000002</v>
      </c>
      <c r="D533">
        <v>290.62501700000001</v>
      </c>
      <c r="E533">
        <v>1</v>
      </c>
      <c r="F533">
        <v>1</v>
      </c>
      <c r="G533">
        <v>0.26100000000000001</v>
      </c>
      <c r="H533">
        <v>0</v>
      </c>
      <c r="I533" t="s">
        <v>0</v>
      </c>
      <c r="J533" t="s">
        <v>59</v>
      </c>
      <c r="K533">
        <v>0</v>
      </c>
      <c r="L533" t="s">
        <v>60</v>
      </c>
      <c r="M533">
        <v>1</v>
      </c>
      <c r="N533" t="s">
        <v>67</v>
      </c>
      <c r="O533" s="2">
        <v>0.47361111111111115</v>
      </c>
      <c r="P533">
        <f>-0.0002522449*3600</f>
        <v>-0.90808163999999991</v>
      </c>
      <c r="Q533">
        <f>0.002010229*3600</f>
        <v>7.2368244000000006</v>
      </c>
    </row>
    <row r="534" spans="1:17" x14ac:dyDescent="0.3">
      <c r="A534" s="4" t="s">
        <v>47</v>
      </c>
      <c r="B534" s="6" t="s">
        <v>150</v>
      </c>
      <c r="C534">
        <v>299.12278199999997</v>
      </c>
      <c r="D534">
        <v>290.62500999999997</v>
      </c>
      <c r="E534">
        <v>1</v>
      </c>
      <c r="F534">
        <v>1</v>
      </c>
      <c r="G534">
        <v>0.26100000000000001</v>
      </c>
      <c r="H534">
        <v>0</v>
      </c>
      <c r="I534" t="s">
        <v>0</v>
      </c>
      <c r="J534" t="s">
        <v>59</v>
      </c>
      <c r="K534">
        <v>0</v>
      </c>
      <c r="L534" t="s">
        <v>60</v>
      </c>
      <c r="M534">
        <v>1</v>
      </c>
      <c r="N534" t="s">
        <v>67</v>
      </c>
      <c r="O534" s="2">
        <v>0.47361111111111115</v>
      </c>
      <c r="P534">
        <f>-0.0002735666*3600</f>
        <v>-0.98483975999999995</v>
      </c>
      <c r="Q534">
        <f>0.0020103019*3600</f>
        <v>7.237086839999999</v>
      </c>
    </row>
    <row r="535" spans="1:17" x14ac:dyDescent="0.3">
      <c r="A535" s="4" t="s">
        <v>47</v>
      </c>
      <c r="B535" s="6" t="s">
        <v>151</v>
      </c>
      <c r="C535">
        <v>299.12324100000001</v>
      </c>
      <c r="D535">
        <v>290.62506400000001</v>
      </c>
      <c r="E535">
        <v>1</v>
      </c>
      <c r="F535">
        <v>1</v>
      </c>
      <c r="G535">
        <v>0.26100000000000001</v>
      </c>
      <c r="H535">
        <v>0</v>
      </c>
      <c r="I535" t="s">
        <v>0</v>
      </c>
      <c r="J535" t="s">
        <v>59</v>
      </c>
      <c r="K535">
        <v>0</v>
      </c>
      <c r="L535" t="s">
        <v>60</v>
      </c>
      <c r="M535">
        <v>1</v>
      </c>
      <c r="N535" t="s">
        <v>67</v>
      </c>
      <c r="O535" s="2">
        <v>0.47361111111111115</v>
      </c>
      <c r="P535">
        <f>-0.0002223644*3600</f>
        <v>-0.80051183999999997</v>
      </c>
      <c r="Q535">
        <f>0.0020600834*3600</f>
        <v>7.41630024</v>
      </c>
    </row>
    <row r="536" spans="1:17" x14ac:dyDescent="0.3">
      <c r="A536" s="4" t="s">
        <v>47</v>
      </c>
      <c r="B536" s="6" t="s">
        <v>152</v>
      </c>
      <c r="C536">
        <v>299.12298900000002</v>
      </c>
      <c r="D536">
        <v>290.62505700000003</v>
      </c>
      <c r="E536">
        <v>1</v>
      </c>
      <c r="F536">
        <v>1</v>
      </c>
      <c r="G536">
        <v>0.26100000000000001</v>
      </c>
      <c r="H536">
        <v>0</v>
      </c>
      <c r="I536" t="s">
        <v>0</v>
      </c>
      <c r="J536" t="s">
        <v>59</v>
      </c>
      <c r="K536">
        <v>0</v>
      </c>
      <c r="L536" t="s">
        <v>60</v>
      </c>
      <c r="M536">
        <v>1</v>
      </c>
      <c r="N536" t="s">
        <v>67</v>
      </c>
      <c r="O536" s="2">
        <v>0.47361111111111115</v>
      </c>
      <c r="P536">
        <f>-0.0002690463*3600</f>
        <v>-0.96856668000000001</v>
      </c>
      <c r="Q536">
        <f>0.0020425758*3600</f>
        <v>7.3532728799999996</v>
      </c>
    </row>
    <row r="537" spans="1:17" x14ac:dyDescent="0.3">
      <c r="A537" s="4" t="s">
        <v>47</v>
      </c>
      <c r="B537" s="6" t="s">
        <v>153</v>
      </c>
      <c r="C537">
        <v>299.12297000000001</v>
      </c>
      <c r="D537">
        <v>290.62508700000001</v>
      </c>
      <c r="E537">
        <v>1</v>
      </c>
      <c r="F537">
        <v>1</v>
      </c>
      <c r="G537">
        <v>0.26100000000000001</v>
      </c>
      <c r="H537">
        <v>0</v>
      </c>
      <c r="I537" t="s">
        <v>0</v>
      </c>
      <c r="J537" t="s">
        <v>59</v>
      </c>
      <c r="K537">
        <v>0</v>
      </c>
      <c r="L537" t="s">
        <v>60</v>
      </c>
      <c r="M537">
        <v>1</v>
      </c>
      <c r="N537" t="s">
        <v>67</v>
      </c>
      <c r="O537" s="2">
        <v>0.47361111111111115</v>
      </c>
      <c r="P537">
        <f>-0.0002238227*3600</f>
        <v>-0.80576172000000001</v>
      </c>
      <c r="Q537">
        <f>0.0020856688*3600</f>
        <v>7.5084076800000004</v>
      </c>
    </row>
    <row r="538" spans="1:17" x14ac:dyDescent="0.3">
      <c r="A538" s="4" t="s">
        <v>47</v>
      </c>
      <c r="B538" s="6" t="s">
        <v>154</v>
      </c>
      <c r="C538">
        <v>299.12294000000003</v>
      </c>
      <c r="D538">
        <v>290.62505399999998</v>
      </c>
      <c r="E538">
        <v>1</v>
      </c>
      <c r="F538">
        <v>1</v>
      </c>
      <c r="G538">
        <v>0.26100000000000001</v>
      </c>
      <c r="H538">
        <v>0</v>
      </c>
      <c r="I538" t="s">
        <v>0</v>
      </c>
      <c r="J538" t="s">
        <v>59</v>
      </c>
      <c r="K538">
        <v>0</v>
      </c>
      <c r="L538" t="s">
        <v>60</v>
      </c>
      <c r="M538">
        <v>1</v>
      </c>
      <c r="N538" t="s">
        <v>67</v>
      </c>
      <c r="O538" s="2">
        <v>0.47361111111111115</v>
      </c>
      <c r="P538">
        <f>-0.0001402568*3600</f>
        <v>-0.50492448000000001</v>
      </c>
      <c r="Q538">
        <f>0.0020608372*3600</f>
        <v>7.4190139199999994</v>
      </c>
    </row>
    <row r="539" spans="1:17" x14ac:dyDescent="0.3">
      <c r="A539" s="4" t="s">
        <v>47</v>
      </c>
      <c r="B539" s="6" t="s">
        <v>155</v>
      </c>
      <c r="C539">
        <v>299.123921</v>
      </c>
      <c r="D539">
        <v>290.625091</v>
      </c>
      <c r="E539">
        <v>1</v>
      </c>
      <c r="F539">
        <v>1</v>
      </c>
      <c r="G539">
        <v>0.26100000000000001</v>
      </c>
      <c r="H539">
        <v>0</v>
      </c>
      <c r="I539" t="s">
        <v>0</v>
      </c>
      <c r="J539" t="s">
        <v>59</v>
      </c>
      <c r="K539">
        <v>0</v>
      </c>
      <c r="L539" t="s">
        <v>60</v>
      </c>
      <c r="M539">
        <v>1</v>
      </c>
      <c r="N539" t="s">
        <v>67</v>
      </c>
      <c r="O539" s="2">
        <v>0.47361111111111115</v>
      </c>
      <c r="P539">
        <f>-0.0002044746*3600</f>
        <v>-0.73610856000000002</v>
      </c>
      <c r="Q539">
        <f>0.0020672233*3600</f>
        <v>7.4420038800000006</v>
      </c>
    </row>
    <row r="540" spans="1:17" x14ac:dyDescent="0.3">
      <c r="A540" s="4" t="s">
        <v>47</v>
      </c>
      <c r="B540" s="6" t="s">
        <v>156</v>
      </c>
      <c r="C540">
        <v>299.12302799999998</v>
      </c>
      <c r="D540">
        <v>290.62517400000002</v>
      </c>
      <c r="E540">
        <v>1</v>
      </c>
      <c r="F540">
        <v>1</v>
      </c>
      <c r="G540">
        <v>0.26100000000000001</v>
      </c>
      <c r="H540">
        <v>0</v>
      </c>
      <c r="I540" t="s">
        <v>0</v>
      </c>
      <c r="J540" t="s">
        <v>59</v>
      </c>
      <c r="K540">
        <v>0</v>
      </c>
      <c r="L540" t="s">
        <v>60</v>
      </c>
      <c r="M540">
        <v>1</v>
      </c>
      <c r="N540" t="s">
        <v>67</v>
      </c>
      <c r="O540" s="2">
        <v>0.47361111111111115</v>
      </c>
      <c r="P540">
        <f>-0.000225556*3600</f>
        <v>-0.81200159999999999</v>
      </c>
      <c r="Q540">
        <f>0.0021651992*3600</f>
        <v>7.7947171200000005</v>
      </c>
    </row>
    <row r="541" spans="1:17" x14ac:dyDescent="0.3">
      <c r="A541" s="4" t="s">
        <v>47</v>
      </c>
      <c r="B541" s="6" t="s">
        <v>157</v>
      </c>
      <c r="C541">
        <v>299.12299999999999</v>
      </c>
      <c r="D541">
        <v>290.62506200000001</v>
      </c>
      <c r="E541">
        <v>1</v>
      </c>
      <c r="F541">
        <v>1</v>
      </c>
      <c r="G541">
        <v>0.26100000000000001</v>
      </c>
      <c r="H541">
        <v>0</v>
      </c>
      <c r="I541" t="s">
        <v>0</v>
      </c>
      <c r="J541" t="s">
        <v>59</v>
      </c>
      <c r="K541">
        <v>0</v>
      </c>
      <c r="L541" t="s">
        <v>60</v>
      </c>
      <c r="M541">
        <v>1</v>
      </c>
      <c r="N541" t="s">
        <v>67</v>
      </c>
      <c r="O541" s="2">
        <v>0.47361111111111115</v>
      </c>
      <c r="P541">
        <f>-0.0002824733*3600</f>
        <v>-1.0169038799999999</v>
      </c>
      <c r="Q541">
        <f>0.0020504033*3600</f>
        <v>7.3814518799999993</v>
      </c>
    </row>
    <row r="542" spans="1:17" x14ac:dyDescent="0.3">
      <c r="A542" s="4" t="s">
        <v>47</v>
      </c>
      <c r="B542" s="6" t="s">
        <v>158</v>
      </c>
      <c r="C542">
        <v>299.123378</v>
      </c>
      <c r="D542">
        <v>290.62508400000002</v>
      </c>
      <c r="E542">
        <v>1</v>
      </c>
      <c r="F542">
        <v>1</v>
      </c>
      <c r="G542">
        <v>0.26100000000000001</v>
      </c>
      <c r="H542">
        <v>0</v>
      </c>
      <c r="I542" t="s">
        <v>0</v>
      </c>
      <c r="J542" t="s">
        <v>59</v>
      </c>
      <c r="K542">
        <v>0</v>
      </c>
      <c r="L542" t="s">
        <v>60</v>
      </c>
      <c r="M542">
        <v>1</v>
      </c>
      <c r="N542" t="s">
        <v>67</v>
      </c>
      <c r="O542" s="2">
        <v>0.47361111111111115</v>
      </c>
      <c r="P542">
        <f>-0.0002133956*3600</f>
        <v>-0.76822416000000004</v>
      </c>
      <c r="Q542">
        <f>0.0020879901*3600</f>
        <v>7.5167643600000007</v>
      </c>
    </row>
    <row r="543" spans="1:17" x14ac:dyDescent="0.3">
      <c r="A543" s="4" t="s">
        <v>47</v>
      </c>
      <c r="B543" s="6" t="s">
        <v>159</v>
      </c>
      <c r="C543">
        <v>299.123469</v>
      </c>
      <c r="D543">
        <v>290.62509699999998</v>
      </c>
      <c r="E543">
        <v>1</v>
      </c>
      <c r="F543">
        <v>1</v>
      </c>
      <c r="G543">
        <v>0.26100000000000001</v>
      </c>
      <c r="H543">
        <v>0</v>
      </c>
      <c r="I543" t="s">
        <v>0</v>
      </c>
      <c r="J543" t="s">
        <v>59</v>
      </c>
      <c r="K543">
        <v>0</v>
      </c>
      <c r="L543" t="s">
        <v>60</v>
      </c>
      <c r="M543">
        <v>1</v>
      </c>
      <c r="N543" t="s">
        <v>67</v>
      </c>
      <c r="O543" s="2">
        <v>0.47361111111111115</v>
      </c>
      <c r="P543">
        <f>-0.0001903078*3600</f>
        <v>-0.68510808000000001</v>
      </c>
      <c r="Q543">
        <f>0.0020977483*3600</f>
        <v>7.5518938800000006</v>
      </c>
    </row>
    <row r="544" spans="1:17" x14ac:dyDescent="0.3">
      <c r="A544" s="4" t="s">
        <v>47</v>
      </c>
      <c r="B544" s="6" t="s">
        <v>160</v>
      </c>
      <c r="C544">
        <v>299.12271199999998</v>
      </c>
      <c r="D544">
        <v>290.62508600000001</v>
      </c>
      <c r="E544">
        <v>1</v>
      </c>
      <c r="F544">
        <v>1</v>
      </c>
      <c r="G544">
        <v>0.26100000000000001</v>
      </c>
      <c r="H544">
        <v>0</v>
      </c>
      <c r="I544" t="s">
        <v>0</v>
      </c>
      <c r="J544" t="s">
        <v>59</v>
      </c>
      <c r="K544">
        <v>0</v>
      </c>
      <c r="L544" t="s">
        <v>60</v>
      </c>
      <c r="M544">
        <v>1</v>
      </c>
      <c r="N544" t="s">
        <v>67</v>
      </c>
      <c r="O544" s="2">
        <v>0.47361111111111115</v>
      </c>
      <c r="P544">
        <f>-0.0002534712*3600</f>
        <v>-0.91249631999999992</v>
      </c>
      <c r="Q544">
        <f>0.0020923625*3600</f>
        <v>7.5325050000000005</v>
      </c>
    </row>
    <row r="545" spans="1:17" x14ac:dyDescent="0.3">
      <c r="A545" s="4" t="s">
        <v>47</v>
      </c>
      <c r="B545" s="6" t="s">
        <v>161</v>
      </c>
      <c r="C545">
        <v>299.12375400000002</v>
      </c>
      <c r="D545">
        <v>290.62515500000001</v>
      </c>
      <c r="E545">
        <v>1</v>
      </c>
      <c r="F545">
        <v>1</v>
      </c>
      <c r="G545">
        <v>0.26100000000000001</v>
      </c>
      <c r="H545">
        <v>0</v>
      </c>
      <c r="I545" t="s">
        <v>0</v>
      </c>
      <c r="J545" t="s">
        <v>59</v>
      </c>
      <c r="K545">
        <v>0</v>
      </c>
      <c r="L545" t="s">
        <v>60</v>
      </c>
      <c r="M545">
        <v>1</v>
      </c>
      <c r="N545" t="s">
        <v>67</v>
      </c>
      <c r="O545" s="2">
        <v>0.47361111111111115</v>
      </c>
      <c r="P545">
        <f>-0.0001685529*3600</f>
        <v>-0.60679043999999993</v>
      </c>
      <c r="Q545">
        <f>0.0021490568*3600</f>
        <v>7.7366044800000004</v>
      </c>
    </row>
    <row r="546" spans="1:17" x14ac:dyDescent="0.3">
      <c r="A546" s="4" t="s">
        <v>47</v>
      </c>
      <c r="B546" s="6" t="s">
        <v>162</v>
      </c>
      <c r="C546">
        <v>299.123918</v>
      </c>
      <c r="D546">
        <v>290.62519500000002</v>
      </c>
      <c r="E546">
        <v>1</v>
      </c>
      <c r="F546">
        <v>1</v>
      </c>
      <c r="G546">
        <v>0.26100000000000001</v>
      </c>
      <c r="H546">
        <v>0</v>
      </c>
      <c r="I546" t="s">
        <v>0</v>
      </c>
      <c r="J546" t="s">
        <v>59</v>
      </c>
      <c r="K546">
        <v>0</v>
      </c>
      <c r="L546" t="s">
        <v>60</v>
      </c>
      <c r="M546">
        <v>1</v>
      </c>
      <c r="N546" t="s">
        <v>67</v>
      </c>
      <c r="O546" s="2">
        <v>0.47361111111111115</v>
      </c>
      <c r="P546">
        <f>-0.0001885173*3600</f>
        <v>-0.67866227999999995</v>
      </c>
      <c r="Q546">
        <f>0.0021693973*3600</f>
        <v>7.8098302799999999</v>
      </c>
    </row>
    <row r="547" spans="1:17" x14ac:dyDescent="0.3">
      <c r="A547" s="4" t="s">
        <v>47</v>
      </c>
      <c r="B547" s="6" t="s">
        <v>163</v>
      </c>
      <c r="C547">
        <v>299.12318900000002</v>
      </c>
      <c r="D547">
        <v>290.62510099999997</v>
      </c>
      <c r="E547">
        <v>1</v>
      </c>
      <c r="F547">
        <v>1</v>
      </c>
      <c r="G547">
        <v>0.26100000000000001</v>
      </c>
      <c r="H547">
        <v>0</v>
      </c>
      <c r="I547" t="s">
        <v>0</v>
      </c>
      <c r="J547" t="s">
        <v>59</v>
      </c>
      <c r="K547">
        <v>0</v>
      </c>
      <c r="L547" t="s">
        <v>60</v>
      </c>
      <c r="M547">
        <v>1</v>
      </c>
      <c r="N547" t="s">
        <v>67</v>
      </c>
      <c r="O547" s="2">
        <v>0.47361111111111115</v>
      </c>
      <c r="P547">
        <f>-0.0001841165*3600</f>
        <v>-0.66281939999999995</v>
      </c>
      <c r="Q547">
        <f>0.0020817391*3600</f>
        <v>7.4942607600000004</v>
      </c>
    </row>
    <row r="548" spans="1:17" x14ac:dyDescent="0.3">
      <c r="A548" s="4" t="s">
        <v>47</v>
      </c>
      <c r="B548" s="6" t="s">
        <v>164</v>
      </c>
      <c r="C548">
        <v>299.12359400000003</v>
      </c>
      <c r="D548">
        <v>290.62512600000002</v>
      </c>
      <c r="E548">
        <v>1</v>
      </c>
      <c r="F548">
        <v>1</v>
      </c>
      <c r="G548">
        <v>0.26100000000000001</v>
      </c>
      <c r="H548">
        <v>0</v>
      </c>
      <c r="I548" t="s">
        <v>0</v>
      </c>
      <c r="J548" t="s">
        <v>59</v>
      </c>
      <c r="K548">
        <v>0</v>
      </c>
      <c r="L548" t="s">
        <v>60</v>
      </c>
      <c r="M548">
        <v>1</v>
      </c>
      <c r="N548" t="s">
        <v>67</v>
      </c>
      <c r="O548" s="2">
        <v>0.47361111111111115</v>
      </c>
      <c r="P548">
        <f>-0.0002441768*3600</f>
        <v>-0.8790364799999999</v>
      </c>
      <c r="Q548">
        <f>0.0021172416*3600</f>
        <v>7.6220697599999996</v>
      </c>
    </row>
    <row r="549" spans="1:17" x14ac:dyDescent="0.3">
      <c r="A549" s="4" t="s">
        <v>47</v>
      </c>
      <c r="B549" s="6" t="s">
        <v>165</v>
      </c>
      <c r="C549">
        <v>299.12364100000002</v>
      </c>
      <c r="D549">
        <v>290.62512299999997</v>
      </c>
      <c r="E549">
        <v>1</v>
      </c>
      <c r="F549">
        <v>1</v>
      </c>
      <c r="G549">
        <v>0.26100000000000001</v>
      </c>
      <c r="H549">
        <v>0</v>
      </c>
      <c r="I549" t="s">
        <v>0</v>
      </c>
      <c r="J549" t="s">
        <v>59</v>
      </c>
      <c r="K549">
        <v>0</v>
      </c>
      <c r="L549" t="s">
        <v>60</v>
      </c>
      <c r="M549">
        <v>1</v>
      </c>
      <c r="N549" t="s">
        <v>67</v>
      </c>
      <c r="O549" s="2">
        <v>0.47361111111111115</v>
      </c>
      <c r="P549">
        <f>-0.0002227512*3600</f>
        <v>-0.80190432</v>
      </c>
      <c r="Q549">
        <f>0.0021254921*3600</f>
        <v>7.6517715600000002</v>
      </c>
    </row>
    <row r="550" spans="1:17" x14ac:dyDescent="0.3">
      <c r="A550" s="4" t="s">
        <v>47</v>
      </c>
      <c r="B550" s="5" t="s">
        <v>64</v>
      </c>
      <c r="C550">
        <v>98.827640000000002</v>
      </c>
      <c r="D550">
        <v>105.282453</v>
      </c>
      <c r="E550">
        <v>19.671700000000001</v>
      </c>
      <c r="F550">
        <v>19.6005</v>
      </c>
      <c r="G550">
        <v>0.26100000000000001</v>
      </c>
      <c r="H550">
        <v>0</v>
      </c>
      <c r="I550" t="s">
        <v>0</v>
      </c>
      <c r="J550" t="s">
        <v>59</v>
      </c>
      <c r="K550">
        <v>3.4000000000000002E-2</v>
      </c>
      <c r="L550" t="s">
        <v>60</v>
      </c>
      <c r="M550">
        <v>1</v>
      </c>
      <c r="N550" t="s">
        <v>53</v>
      </c>
      <c r="O550" s="2">
        <v>0.47430555555555554</v>
      </c>
      <c r="P550">
        <f>-0.0016216549*3600</f>
        <v>-5.8379576399999999</v>
      </c>
      <c r="Q550">
        <f>-0.0019302244*3600</f>
        <v>-6.9488078400000006</v>
      </c>
    </row>
    <row r="551" spans="1:17" x14ac:dyDescent="0.3">
      <c r="A551" s="4" t="s">
        <v>47</v>
      </c>
      <c r="B551" s="5" t="s">
        <v>166</v>
      </c>
      <c r="C551">
        <v>98.827945</v>
      </c>
      <c r="D551">
        <v>105.22936900000001</v>
      </c>
      <c r="E551">
        <v>1</v>
      </c>
      <c r="F551">
        <v>1</v>
      </c>
      <c r="G551">
        <v>0.26100000000000001</v>
      </c>
      <c r="H551">
        <v>0</v>
      </c>
      <c r="I551" t="s">
        <v>0</v>
      </c>
      <c r="J551" t="s">
        <v>59</v>
      </c>
      <c r="K551">
        <v>0</v>
      </c>
      <c r="L551" t="s">
        <v>60</v>
      </c>
      <c r="M551">
        <v>1</v>
      </c>
      <c r="N551" t="s">
        <v>67</v>
      </c>
      <c r="O551" s="2">
        <v>0.47430555555555554</v>
      </c>
      <c r="P551">
        <f>-0.0018439214*3600</f>
        <v>-6.63811704</v>
      </c>
      <c r="Q551">
        <f>-0.0019249219*3600</f>
        <v>-6.9297188400000005</v>
      </c>
    </row>
    <row r="552" spans="1:17" x14ac:dyDescent="0.3">
      <c r="A552" s="4" t="s">
        <v>47</v>
      </c>
      <c r="B552" s="5" t="s">
        <v>167</v>
      </c>
      <c r="C552">
        <v>98.827721999999994</v>
      </c>
      <c r="D552">
        <v>105.229353</v>
      </c>
      <c r="E552">
        <v>1</v>
      </c>
      <c r="F552">
        <v>1</v>
      </c>
      <c r="G552">
        <v>0.26100000000000001</v>
      </c>
      <c r="H552">
        <v>0</v>
      </c>
      <c r="I552" t="s">
        <v>0</v>
      </c>
      <c r="J552" t="s">
        <v>59</v>
      </c>
      <c r="K552">
        <v>0</v>
      </c>
      <c r="L552" t="s">
        <v>60</v>
      </c>
      <c r="M552">
        <v>1</v>
      </c>
      <c r="N552" t="s">
        <v>67</v>
      </c>
      <c r="O552" s="2">
        <v>0.47430555555555554</v>
      </c>
      <c r="P552">
        <f>-0.0017937483*3600</f>
        <v>-6.4574938800000004</v>
      </c>
      <c r="Q552">
        <f>-0.001956099*3600</f>
        <v>-7.041956400000001</v>
      </c>
    </row>
    <row r="553" spans="1:17" x14ac:dyDescent="0.3">
      <c r="A553" s="4" t="s">
        <v>47</v>
      </c>
      <c r="B553" s="5" t="s">
        <v>168</v>
      </c>
      <c r="C553">
        <v>98.827218000000002</v>
      </c>
      <c r="D553">
        <v>105.22940699999999</v>
      </c>
      <c r="E553">
        <v>1</v>
      </c>
      <c r="F553">
        <v>1</v>
      </c>
      <c r="G553">
        <v>0.26100000000000001</v>
      </c>
      <c r="H553">
        <v>0</v>
      </c>
      <c r="I553" t="s">
        <v>0</v>
      </c>
      <c r="J553" t="s">
        <v>59</v>
      </c>
      <c r="K553">
        <v>0</v>
      </c>
      <c r="L553" t="s">
        <v>60</v>
      </c>
      <c r="M553">
        <v>1</v>
      </c>
      <c r="N553" t="s">
        <v>67</v>
      </c>
      <c r="O553" s="2">
        <v>0.47430555555555554</v>
      </c>
      <c r="P553">
        <f>-0.0018048218*3600</f>
        <v>-6.4973584799999999</v>
      </c>
      <c r="Q553">
        <f>-0.0018786264*3600</f>
        <v>-6.7630550399999994</v>
      </c>
    </row>
    <row r="554" spans="1:17" x14ac:dyDescent="0.3">
      <c r="A554" s="4" t="s">
        <v>47</v>
      </c>
      <c r="B554" s="5" t="s">
        <v>169</v>
      </c>
      <c r="C554">
        <v>98.827759</v>
      </c>
      <c r="D554">
        <v>105.229461</v>
      </c>
      <c r="E554">
        <v>1</v>
      </c>
      <c r="F554">
        <v>1</v>
      </c>
      <c r="G554">
        <v>0.26100000000000001</v>
      </c>
      <c r="H554">
        <v>0</v>
      </c>
      <c r="I554" t="s">
        <v>0</v>
      </c>
      <c r="J554" t="s">
        <v>59</v>
      </c>
      <c r="K554">
        <v>0</v>
      </c>
      <c r="L554" t="s">
        <v>60</v>
      </c>
      <c r="M554">
        <v>1</v>
      </c>
      <c r="N554" t="s">
        <v>67</v>
      </c>
      <c r="O554" s="2">
        <v>0.47430555555555554</v>
      </c>
      <c r="P554">
        <f>-0.0017519514*3600</f>
        <v>-6.3070250400000001</v>
      </c>
      <c r="Q554">
        <f>-0.0018135019*3600</f>
        <v>-6.5286068400000001</v>
      </c>
    </row>
    <row r="555" spans="1:17" x14ac:dyDescent="0.3">
      <c r="A555" s="4" t="s">
        <v>47</v>
      </c>
      <c r="B555" s="5" t="s">
        <v>170</v>
      </c>
      <c r="C555">
        <v>98.827217000000005</v>
      </c>
      <c r="D555">
        <v>105.229439</v>
      </c>
      <c r="E555">
        <v>1</v>
      </c>
      <c r="F555">
        <v>1</v>
      </c>
      <c r="G555">
        <v>0.26100000000000001</v>
      </c>
      <c r="H555">
        <v>0</v>
      </c>
      <c r="I555" t="s">
        <v>0</v>
      </c>
      <c r="J555" t="s">
        <v>59</v>
      </c>
      <c r="K555">
        <v>0</v>
      </c>
      <c r="L555" t="s">
        <v>60</v>
      </c>
      <c r="M555">
        <v>1</v>
      </c>
      <c r="N555" t="s">
        <v>67</v>
      </c>
      <c r="O555" s="2">
        <v>0.47430555555555554</v>
      </c>
      <c r="P555">
        <f>-0.0017401155*3600</f>
        <v>-6.2644158000000001</v>
      </c>
      <c r="Q555">
        <f>-0.0018657735*3600</f>
        <v>-6.7167845999999995</v>
      </c>
    </row>
    <row r="556" spans="1:17" x14ac:dyDescent="0.3">
      <c r="A556" s="4" t="s">
        <v>47</v>
      </c>
      <c r="B556" s="5" t="s">
        <v>171</v>
      </c>
      <c r="C556">
        <v>98.827794999999995</v>
      </c>
      <c r="D556">
        <v>105.229449</v>
      </c>
      <c r="E556">
        <v>1</v>
      </c>
      <c r="F556">
        <v>1</v>
      </c>
      <c r="G556">
        <v>0.26100000000000001</v>
      </c>
      <c r="H556">
        <v>0</v>
      </c>
      <c r="I556" t="s">
        <v>0</v>
      </c>
      <c r="J556" t="s">
        <v>59</v>
      </c>
      <c r="K556">
        <v>0</v>
      </c>
      <c r="L556" t="s">
        <v>60</v>
      </c>
      <c r="M556">
        <v>1</v>
      </c>
      <c r="N556" t="s">
        <v>67</v>
      </c>
      <c r="O556" s="2">
        <v>0.47430555555555554</v>
      </c>
      <c r="P556">
        <f>-0.0017355237*3600</f>
        <v>-6.24788532</v>
      </c>
      <c r="Q556">
        <f>-0.0018279868*3600</f>
        <v>-6.5807524800000001</v>
      </c>
    </row>
    <row r="557" spans="1:17" x14ac:dyDescent="0.3">
      <c r="A557" s="4" t="s">
        <v>47</v>
      </c>
      <c r="B557" s="5" t="s">
        <v>172</v>
      </c>
      <c r="C557">
        <v>98.827624999999998</v>
      </c>
      <c r="D557">
        <v>105.229433</v>
      </c>
      <c r="E557">
        <v>1</v>
      </c>
      <c r="F557">
        <v>1</v>
      </c>
      <c r="G557">
        <v>0.26100000000000001</v>
      </c>
      <c r="H557">
        <v>0</v>
      </c>
      <c r="I557" t="s">
        <v>0</v>
      </c>
      <c r="J557" t="s">
        <v>59</v>
      </c>
      <c r="K557">
        <v>0</v>
      </c>
      <c r="L557" t="s">
        <v>60</v>
      </c>
      <c r="M557">
        <v>1</v>
      </c>
      <c r="N557" t="s">
        <v>67</v>
      </c>
      <c r="O557" s="2">
        <v>0.47430555555555554</v>
      </c>
      <c r="P557">
        <f>-0.0017625038*3600</f>
        <v>-6.3450136800000001</v>
      </c>
      <c r="Q557">
        <f>-0.0018398766*3600</f>
        <v>-6.6235557600000003</v>
      </c>
    </row>
    <row r="558" spans="1:17" x14ac:dyDescent="0.3">
      <c r="A558" s="4" t="s">
        <v>47</v>
      </c>
      <c r="B558" s="5" t="s">
        <v>173</v>
      </c>
      <c r="C558">
        <v>98.827654999999993</v>
      </c>
      <c r="D558">
        <v>105.229409</v>
      </c>
      <c r="E558">
        <v>1</v>
      </c>
      <c r="F558">
        <v>1</v>
      </c>
      <c r="G558">
        <v>0.26100000000000001</v>
      </c>
      <c r="H558">
        <v>0</v>
      </c>
      <c r="I558" t="s">
        <v>0</v>
      </c>
      <c r="J558" t="s">
        <v>59</v>
      </c>
      <c r="K558">
        <v>0</v>
      </c>
      <c r="L558" t="s">
        <v>60</v>
      </c>
      <c r="M558">
        <v>1</v>
      </c>
      <c r="N558" t="s">
        <v>67</v>
      </c>
      <c r="O558" s="2">
        <v>0.47430555555555554</v>
      </c>
      <c r="P558">
        <f>-0.0017487846*3600</f>
        <v>-6.2956245600000003</v>
      </c>
      <c r="Q558">
        <f>-0.0018638805*3600</f>
        <v>-6.7099697999999997</v>
      </c>
    </row>
    <row r="559" spans="1:17" x14ac:dyDescent="0.3">
      <c r="A559" s="4" t="s">
        <v>47</v>
      </c>
      <c r="B559" s="5" t="s">
        <v>174</v>
      </c>
      <c r="C559">
        <v>98.828023999999999</v>
      </c>
      <c r="D559">
        <v>105.229399</v>
      </c>
      <c r="E559">
        <v>1</v>
      </c>
      <c r="F559">
        <v>1</v>
      </c>
      <c r="G559">
        <v>0.26100000000000001</v>
      </c>
      <c r="H559">
        <v>0</v>
      </c>
      <c r="I559" t="s">
        <v>0</v>
      </c>
      <c r="J559" t="s">
        <v>59</v>
      </c>
      <c r="K559">
        <v>0</v>
      </c>
      <c r="L559" t="s">
        <v>60</v>
      </c>
      <c r="M559">
        <v>1</v>
      </c>
      <c r="N559" t="s">
        <v>67</v>
      </c>
      <c r="O559" s="2">
        <v>0.47430555555555554</v>
      </c>
      <c r="P559">
        <f>-0.0018047536*3600</f>
        <v>-6.4971129599999999</v>
      </c>
      <c r="Q559">
        <f>-0.0019145881*3600</f>
        <v>-6.8925171600000006</v>
      </c>
    </row>
    <row r="560" spans="1:17" x14ac:dyDescent="0.3">
      <c r="A560" s="4" t="s">
        <v>47</v>
      </c>
      <c r="B560" s="5" t="s">
        <v>175</v>
      </c>
      <c r="C560">
        <v>98.827859000000004</v>
      </c>
      <c r="D560">
        <v>105.229375</v>
      </c>
      <c r="E560">
        <v>1</v>
      </c>
      <c r="F560">
        <v>1</v>
      </c>
      <c r="G560">
        <v>0.26100000000000001</v>
      </c>
      <c r="H560">
        <v>0</v>
      </c>
      <c r="I560" t="s">
        <v>0</v>
      </c>
      <c r="J560" t="s">
        <v>59</v>
      </c>
      <c r="K560">
        <v>0</v>
      </c>
      <c r="L560" t="s">
        <v>60</v>
      </c>
      <c r="M560">
        <v>1</v>
      </c>
      <c r="N560" t="s">
        <v>67</v>
      </c>
      <c r="O560" s="2">
        <v>0.47430555555555554</v>
      </c>
      <c r="P560">
        <f>-0.0018120119*3600</f>
        <v>-6.52324284</v>
      </c>
      <c r="Q560">
        <f>-0.0019131076*3600</f>
        <v>-6.8871873600000004</v>
      </c>
    </row>
    <row r="561" spans="1:17" x14ac:dyDescent="0.3">
      <c r="A561" s="4" t="s">
        <v>47</v>
      </c>
      <c r="B561" s="5" t="s">
        <v>176</v>
      </c>
      <c r="C561">
        <v>98.827853000000005</v>
      </c>
      <c r="D561">
        <v>105.229404</v>
      </c>
      <c r="E561">
        <v>1</v>
      </c>
      <c r="F561">
        <v>1</v>
      </c>
      <c r="G561">
        <v>0.26100000000000001</v>
      </c>
      <c r="H561">
        <v>0</v>
      </c>
      <c r="I561" t="s">
        <v>0</v>
      </c>
      <c r="J561" t="s">
        <v>59</v>
      </c>
      <c r="K561">
        <v>0</v>
      </c>
      <c r="L561" t="s">
        <v>60</v>
      </c>
      <c r="M561">
        <v>1</v>
      </c>
      <c r="N561" t="s">
        <v>67</v>
      </c>
      <c r="O561" s="2">
        <v>0.47430555555555554</v>
      </c>
      <c r="P561">
        <f>-0.0018461254*3600</f>
        <v>-6.6460514399999999</v>
      </c>
      <c r="Q561">
        <f>-0.0018775395*3600</f>
        <v>-6.7591422000000003</v>
      </c>
    </row>
    <row r="562" spans="1:17" x14ac:dyDescent="0.3">
      <c r="A562" s="4" t="s">
        <v>47</v>
      </c>
      <c r="B562" s="5" t="s">
        <v>177</v>
      </c>
      <c r="C562">
        <v>98.828050000000005</v>
      </c>
      <c r="D562">
        <v>105.229457</v>
      </c>
      <c r="E562">
        <v>1</v>
      </c>
      <c r="F562">
        <v>1</v>
      </c>
      <c r="G562">
        <v>0.26100000000000001</v>
      </c>
      <c r="H562">
        <v>0</v>
      </c>
      <c r="I562" t="s">
        <v>0</v>
      </c>
      <c r="J562" t="s">
        <v>59</v>
      </c>
      <c r="K562">
        <v>0</v>
      </c>
      <c r="L562" t="s">
        <v>60</v>
      </c>
      <c r="M562">
        <v>1</v>
      </c>
      <c r="N562" t="s">
        <v>67</v>
      </c>
      <c r="O562" s="2">
        <v>0.47430555555555554</v>
      </c>
      <c r="P562">
        <f>-0.0017459073*3600</f>
        <v>-6.2852662800000001</v>
      </c>
      <c r="Q562">
        <f>-0.0018277143*3600</f>
        <v>-6.5797714799999998</v>
      </c>
    </row>
    <row r="563" spans="1:17" x14ac:dyDescent="0.3">
      <c r="A563" s="4" t="s">
        <v>47</v>
      </c>
      <c r="B563" s="5" t="s">
        <v>178</v>
      </c>
      <c r="C563">
        <v>98.827770000000001</v>
      </c>
      <c r="D563">
        <v>105.229345</v>
      </c>
      <c r="E563">
        <v>1</v>
      </c>
      <c r="F563">
        <v>1</v>
      </c>
      <c r="G563">
        <v>0.26100000000000001</v>
      </c>
      <c r="H563">
        <v>0</v>
      </c>
      <c r="I563" t="s">
        <v>0</v>
      </c>
      <c r="J563" t="s">
        <v>59</v>
      </c>
      <c r="K563">
        <v>0</v>
      </c>
      <c r="L563" t="s">
        <v>60</v>
      </c>
      <c r="M563">
        <v>1</v>
      </c>
      <c r="N563" t="s">
        <v>67</v>
      </c>
      <c r="O563" s="2">
        <v>0.47430555555555554</v>
      </c>
      <c r="P563">
        <f>-0.0017687981*3600</f>
        <v>-6.3676731599999998</v>
      </c>
      <c r="Q563">
        <f>-0.0019268319*3600</f>
        <v>-6.9365948399999997</v>
      </c>
    </row>
    <row r="564" spans="1:17" x14ac:dyDescent="0.3">
      <c r="A564" s="4" t="s">
        <v>47</v>
      </c>
      <c r="B564" s="5" t="s">
        <v>179</v>
      </c>
      <c r="C564">
        <v>98.827860999999999</v>
      </c>
      <c r="D564">
        <v>105.22931</v>
      </c>
      <c r="E564">
        <v>1</v>
      </c>
      <c r="F564">
        <v>1</v>
      </c>
      <c r="G564">
        <v>0.26100000000000001</v>
      </c>
      <c r="H564">
        <v>0</v>
      </c>
      <c r="I564" t="s">
        <v>0</v>
      </c>
      <c r="J564" t="s">
        <v>59</v>
      </c>
      <c r="K564">
        <v>0</v>
      </c>
      <c r="L564" t="s">
        <v>60</v>
      </c>
      <c r="M564">
        <v>1</v>
      </c>
      <c r="N564" t="s">
        <v>67</v>
      </c>
      <c r="O564" s="2">
        <v>0.47430555555555554</v>
      </c>
      <c r="P564">
        <f>-0.0016867036*3600</f>
        <v>-6.0721329600000002</v>
      </c>
      <c r="Q564">
        <f>-0.0019845323*3600</f>
        <v>-7.14431628</v>
      </c>
    </row>
    <row r="565" spans="1:17" x14ac:dyDescent="0.3">
      <c r="A565" s="4" t="s">
        <v>47</v>
      </c>
      <c r="B565" s="5" t="s">
        <v>180</v>
      </c>
      <c r="C565">
        <v>98.827668000000003</v>
      </c>
      <c r="D565">
        <v>105.229411</v>
      </c>
      <c r="E565">
        <v>1</v>
      </c>
      <c r="F565">
        <v>1</v>
      </c>
      <c r="G565">
        <v>0.26100000000000001</v>
      </c>
      <c r="H565">
        <v>0</v>
      </c>
      <c r="I565" t="s">
        <v>0</v>
      </c>
      <c r="J565" t="s">
        <v>59</v>
      </c>
      <c r="K565">
        <v>0</v>
      </c>
      <c r="L565" t="s">
        <v>60</v>
      </c>
      <c r="M565">
        <v>1</v>
      </c>
      <c r="N565" t="s">
        <v>67</v>
      </c>
      <c r="O565" s="2">
        <v>0.47430555555555554</v>
      </c>
      <c r="P565">
        <f>-0.0017383133*3600</f>
        <v>-6.2579278799999996</v>
      </c>
      <c r="Q565">
        <f>-0.0018855004*3600</f>
        <v>-6.78780144</v>
      </c>
    </row>
    <row r="566" spans="1:17" x14ac:dyDescent="0.3">
      <c r="A566" s="4" t="s">
        <v>47</v>
      </c>
      <c r="B566" s="5" t="s">
        <v>181</v>
      </c>
      <c r="C566">
        <v>98.827967999999998</v>
      </c>
      <c r="D566">
        <v>105.229365</v>
      </c>
      <c r="E566">
        <v>1</v>
      </c>
      <c r="F566">
        <v>1</v>
      </c>
      <c r="G566">
        <v>0.26100000000000001</v>
      </c>
      <c r="H566">
        <v>0</v>
      </c>
      <c r="I566" t="s">
        <v>0</v>
      </c>
      <c r="J566" t="s">
        <v>59</v>
      </c>
      <c r="K566">
        <v>0</v>
      </c>
      <c r="L566" t="s">
        <v>60</v>
      </c>
      <c r="M566">
        <v>1</v>
      </c>
      <c r="N566" t="s">
        <v>67</v>
      </c>
      <c r="O566" s="2">
        <v>0.47430555555555554</v>
      </c>
      <c r="P566">
        <f>-0.0017538336*3600</f>
        <v>-6.31380096</v>
      </c>
      <c r="Q566">
        <f>-0.001923709*3600</f>
        <v>-6.9253524000000004</v>
      </c>
    </row>
    <row r="567" spans="1:17" x14ac:dyDescent="0.3">
      <c r="A567" s="4" t="s">
        <v>47</v>
      </c>
      <c r="B567" s="5" t="s">
        <v>182</v>
      </c>
      <c r="C567">
        <v>98.827557999999996</v>
      </c>
      <c r="D567">
        <v>105.22931199999999</v>
      </c>
      <c r="E567">
        <v>1</v>
      </c>
      <c r="F567">
        <v>1</v>
      </c>
      <c r="G567">
        <v>0.26100000000000001</v>
      </c>
      <c r="H567">
        <v>0</v>
      </c>
      <c r="I567" t="s">
        <v>0</v>
      </c>
      <c r="J567" t="s">
        <v>59</v>
      </c>
      <c r="K567">
        <v>0</v>
      </c>
      <c r="L567" t="s">
        <v>60</v>
      </c>
      <c r="M567">
        <v>1</v>
      </c>
      <c r="N567" t="s">
        <v>67</v>
      </c>
      <c r="O567" s="2">
        <v>0.47430555555555554</v>
      </c>
      <c r="P567">
        <f>-0.001781453*3600</f>
        <v>-6.4132308</v>
      </c>
      <c r="Q567">
        <f>-0.0019898003*3600</f>
        <v>-7.16328108</v>
      </c>
    </row>
    <row r="568" spans="1:17" x14ac:dyDescent="0.3">
      <c r="A568" s="4" t="s">
        <v>47</v>
      </c>
      <c r="B568" s="5" t="s">
        <v>183</v>
      </c>
      <c r="C568">
        <v>98.828052999999997</v>
      </c>
      <c r="D568">
        <v>105.22935699999999</v>
      </c>
      <c r="E568">
        <v>1</v>
      </c>
      <c r="F568">
        <v>1</v>
      </c>
      <c r="G568">
        <v>0.26100000000000001</v>
      </c>
      <c r="H568">
        <v>0</v>
      </c>
      <c r="I568" t="s">
        <v>0</v>
      </c>
      <c r="J568" t="s">
        <v>59</v>
      </c>
      <c r="K568">
        <v>0</v>
      </c>
      <c r="L568" t="s">
        <v>60</v>
      </c>
      <c r="M568">
        <v>1</v>
      </c>
      <c r="N568" t="s">
        <v>67</v>
      </c>
      <c r="O568" s="2">
        <v>0.47430555555555554</v>
      </c>
      <c r="P568">
        <f>-0.0017560045*3600</f>
        <v>-6.3216162000000002</v>
      </c>
      <c r="Q568">
        <f>-0.0019508608*3600</f>
        <v>-7.02309888</v>
      </c>
    </row>
    <row r="569" spans="1:17" x14ac:dyDescent="0.3">
      <c r="A569" s="4" t="s">
        <v>47</v>
      </c>
      <c r="B569" s="5" t="s">
        <v>184</v>
      </c>
      <c r="C569">
        <v>98.827875000000006</v>
      </c>
      <c r="D569">
        <v>105.22934100000001</v>
      </c>
      <c r="E569">
        <v>1</v>
      </c>
      <c r="F569">
        <v>1</v>
      </c>
      <c r="G569">
        <v>0.26100000000000001</v>
      </c>
      <c r="H569">
        <v>0</v>
      </c>
      <c r="I569" t="s">
        <v>0</v>
      </c>
      <c r="J569" t="s">
        <v>59</v>
      </c>
      <c r="K569">
        <v>0</v>
      </c>
      <c r="L569" t="s">
        <v>60</v>
      </c>
      <c r="M569">
        <v>1</v>
      </c>
      <c r="N569" t="s">
        <v>67</v>
      </c>
      <c r="O569" s="2">
        <v>0.47430555555555554</v>
      </c>
      <c r="P569">
        <f>-0.0017860069*3600</f>
        <v>-6.4296248399999998</v>
      </c>
      <c r="Q569">
        <f>-0.0019602528*3600</f>
        <v>-7.0569100799999998</v>
      </c>
    </row>
    <row r="570" spans="1:17" x14ac:dyDescent="0.3">
      <c r="A570" s="4" t="s">
        <v>47</v>
      </c>
      <c r="B570" s="5" t="s">
        <v>185</v>
      </c>
      <c r="C570">
        <v>98.828226000000001</v>
      </c>
      <c r="D570">
        <v>105.229325</v>
      </c>
      <c r="E570">
        <v>1</v>
      </c>
      <c r="F570">
        <v>1</v>
      </c>
      <c r="G570">
        <v>0.26100000000000001</v>
      </c>
      <c r="H570">
        <v>0</v>
      </c>
      <c r="I570" t="s">
        <v>0</v>
      </c>
      <c r="J570" t="s">
        <v>59</v>
      </c>
      <c r="K570">
        <v>0</v>
      </c>
      <c r="L570" t="s">
        <v>60</v>
      </c>
      <c r="M570">
        <v>1</v>
      </c>
      <c r="N570" t="s">
        <v>67</v>
      </c>
      <c r="O570" s="2">
        <v>0.47430555555555554</v>
      </c>
      <c r="P570">
        <f>-0.0017982879*3600</f>
        <v>-6.4738364400000004</v>
      </c>
      <c r="Q570">
        <f>-0.0019683568*3600</f>
        <v>-7.0860844799999994</v>
      </c>
    </row>
    <row r="571" spans="1:17" x14ac:dyDescent="0.3">
      <c r="A571" s="4" t="s">
        <v>47</v>
      </c>
      <c r="B571" s="5" t="s">
        <v>186</v>
      </c>
      <c r="C571">
        <v>98.828148999999996</v>
      </c>
      <c r="D571">
        <v>105.22927799999999</v>
      </c>
      <c r="E571">
        <v>1</v>
      </c>
      <c r="F571">
        <v>1</v>
      </c>
      <c r="G571">
        <v>0.26100000000000001</v>
      </c>
      <c r="H571">
        <v>0</v>
      </c>
      <c r="I571" t="s">
        <v>0</v>
      </c>
      <c r="J571" t="s">
        <v>59</v>
      </c>
      <c r="K571">
        <v>0</v>
      </c>
      <c r="L571" t="s">
        <v>60</v>
      </c>
      <c r="M571">
        <v>1</v>
      </c>
      <c r="N571" t="s">
        <v>67</v>
      </c>
      <c r="O571" s="2">
        <v>0.47430555555555554</v>
      </c>
      <c r="P571">
        <f>-0.0018471354*3600</f>
        <v>-6.6496874400000001</v>
      </c>
      <c r="Q571">
        <f>-0.002018975*3600</f>
        <v>-7.2683100000000005</v>
      </c>
    </row>
    <row r="572" spans="1:17" x14ac:dyDescent="0.3">
      <c r="A572" s="4" t="s">
        <v>47</v>
      </c>
      <c r="B572" s="5" t="s">
        <v>187</v>
      </c>
      <c r="C572">
        <v>98.827062999999995</v>
      </c>
      <c r="D572">
        <v>105.229373</v>
      </c>
      <c r="E572">
        <v>1</v>
      </c>
      <c r="F572">
        <v>1</v>
      </c>
      <c r="G572">
        <v>0.26100000000000001</v>
      </c>
      <c r="H572">
        <v>0</v>
      </c>
      <c r="I572" t="s">
        <v>0</v>
      </c>
      <c r="J572" t="s">
        <v>59</v>
      </c>
      <c r="K572">
        <v>0</v>
      </c>
      <c r="L572" t="s">
        <v>60</v>
      </c>
      <c r="M572">
        <v>1</v>
      </c>
      <c r="N572" t="s">
        <v>67</v>
      </c>
      <c r="O572" s="2">
        <v>0.47430555555555554</v>
      </c>
      <c r="P572">
        <f>-0.0018015444*3600</f>
        <v>-6.4855598399999996</v>
      </c>
      <c r="Q572">
        <f>-0.0019115701*3600</f>
        <v>-6.8816523600000004</v>
      </c>
    </row>
    <row r="573" spans="1:17" x14ac:dyDescent="0.3">
      <c r="A573" s="4" t="s">
        <v>47</v>
      </c>
      <c r="B573" s="5" t="s">
        <v>188</v>
      </c>
      <c r="C573">
        <v>98.827871000000002</v>
      </c>
      <c r="D573">
        <v>105.22935</v>
      </c>
      <c r="E573">
        <v>1</v>
      </c>
      <c r="F573">
        <v>1</v>
      </c>
      <c r="G573">
        <v>0.26100000000000001</v>
      </c>
      <c r="H573">
        <v>0</v>
      </c>
      <c r="I573" t="s">
        <v>0</v>
      </c>
      <c r="J573" t="s">
        <v>59</v>
      </c>
      <c r="K573">
        <v>0</v>
      </c>
      <c r="L573" t="s">
        <v>60</v>
      </c>
      <c r="M573">
        <v>1</v>
      </c>
      <c r="N573" t="s">
        <v>67</v>
      </c>
      <c r="O573" s="2">
        <v>0.47430555555555554</v>
      </c>
      <c r="P573">
        <f>-0.0018503655*3600</f>
        <v>-6.6613158000000006</v>
      </c>
      <c r="Q573">
        <f>-0.0019511717*3600</f>
        <v>-7.0242181200000005</v>
      </c>
    </row>
    <row r="574" spans="1:17" x14ac:dyDescent="0.3">
      <c r="A574" s="4" t="s">
        <v>47</v>
      </c>
      <c r="B574" s="5" t="s">
        <v>189</v>
      </c>
      <c r="C574">
        <v>98.827451999999994</v>
      </c>
      <c r="D574">
        <v>105.229203</v>
      </c>
      <c r="E574">
        <v>1</v>
      </c>
      <c r="F574">
        <v>1</v>
      </c>
      <c r="G574">
        <v>0.26100000000000001</v>
      </c>
      <c r="H574">
        <v>0</v>
      </c>
      <c r="I574" t="s">
        <v>0</v>
      </c>
      <c r="J574" t="s">
        <v>59</v>
      </c>
      <c r="K574">
        <v>0</v>
      </c>
      <c r="L574" t="s">
        <v>60</v>
      </c>
      <c r="M574">
        <v>1</v>
      </c>
      <c r="N574" t="s">
        <v>67</v>
      </c>
      <c r="O574" s="2">
        <v>0.47430555555555554</v>
      </c>
      <c r="P574">
        <f>-0.0017659608*3600</f>
        <v>-6.3574588800000003</v>
      </c>
      <c r="Q574">
        <f>-0.0020768134*3600</f>
        <v>-7.4765282399999995</v>
      </c>
    </row>
    <row r="575" spans="1:17" x14ac:dyDescent="0.3">
      <c r="A575" s="4" t="s">
        <v>47</v>
      </c>
      <c r="B575" s="5" t="s">
        <v>190</v>
      </c>
      <c r="C575">
        <v>98.828327999999999</v>
      </c>
      <c r="D575">
        <v>105.22936300000001</v>
      </c>
      <c r="E575">
        <v>1</v>
      </c>
      <c r="F575">
        <v>1</v>
      </c>
      <c r="G575">
        <v>0.26100000000000001</v>
      </c>
      <c r="H575">
        <v>0</v>
      </c>
      <c r="I575" t="s">
        <v>0</v>
      </c>
      <c r="J575" t="s">
        <v>59</v>
      </c>
      <c r="K575">
        <v>0</v>
      </c>
      <c r="L575" t="s">
        <v>60</v>
      </c>
      <c r="M575">
        <v>1</v>
      </c>
      <c r="N575" t="s">
        <v>67</v>
      </c>
      <c r="O575" s="2">
        <v>0.47500000000000003</v>
      </c>
      <c r="P575">
        <f>-0.0016967707*3600</f>
        <v>-6.1083745199999999</v>
      </c>
      <c r="Q575">
        <f>-0.0019420996*3600</f>
        <v>-6.9915585600000005</v>
      </c>
    </row>
    <row r="576" spans="1:17" x14ac:dyDescent="0.3">
      <c r="A576" s="4" t="s">
        <v>47</v>
      </c>
      <c r="B576" s="5" t="s">
        <v>191</v>
      </c>
      <c r="C576">
        <v>98.828004000000007</v>
      </c>
      <c r="D576">
        <v>105.229353</v>
      </c>
      <c r="E576">
        <v>1</v>
      </c>
      <c r="F576">
        <v>1</v>
      </c>
      <c r="G576">
        <v>0.26100000000000001</v>
      </c>
      <c r="H576">
        <v>0</v>
      </c>
      <c r="I576" t="s">
        <v>0</v>
      </c>
      <c r="J576" t="s">
        <v>59</v>
      </c>
      <c r="K576">
        <v>0</v>
      </c>
      <c r="L576" t="s">
        <v>60</v>
      </c>
      <c r="M576">
        <v>1</v>
      </c>
      <c r="N576" t="s">
        <v>67</v>
      </c>
      <c r="O576" s="2">
        <v>0.47500000000000003</v>
      </c>
      <c r="P576">
        <f>-0.0017544067*3600</f>
        <v>-6.3158641200000005</v>
      </c>
      <c r="Q576">
        <f>-0.0019457555*3600</f>
        <v>-7.0047197999999993</v>
      </c>
    </row>
    <row r="577" spans="1:17" x14ac:dyDescent="0.3">
      <c r="A577" s="4" t="s">
        <v>47</v>
      </c>
      <c r="B577" s="5" t="s">
        <v>192</v>
      </c>
      <c r="C577">
        <v>98.827887000000004</v>
      </c>
      <c r="D577">
        <v>105.229394</v>
      </c>
      <c r="E577">
        <v>1</v>
      </c>
      <c r="F577">
        <v>1</v>
      </c>
      <c r="G577">
        <v>0.26100000000000001</v>
      </c>
      <c r="H577">
        <v>0</v>
      </c>
      <c r="I577" t="s">
        <v>0</v>
      </c>
      <c r="J577" t="s">
        <v>59</v>
      </c>
      <c r="K577">
        <v>0</v>
      </c>
      <c r="L577" t="s">
        <v>60</v>
      </c>
      <c r="M577">
        <v>1</v>
      </c>
      <c r="N577" t="s">
        <v>67</v>
      </c>
      <c r="O577" s="2">
        <v>0.47500000000000003</v>
      </c>
      <c r="P577">
        <f>-0.0017640578*3600</f>
        <v>-6.3506080799999998</v>
      </c>
      <c r="Q577">
        <f>-0.0019035387*3600</f>
        <v>-6.8527393200000004</v>
      </c>
    </row>
    <row r="578" spans="1:17" x14ac:dyDescent="0.3">
      <c r="A578" s="4" t="s">
        <v>47</v>
      </c>
      <c r="B578" s="5" t="s">
        <v>193</v>
      </c>
      <c r="C578">
        <v>98.827697999999998</v>
      </c>
      <c r="D578">
        <v>105.22932400000001</v>
      </c>
      <c r="E578">
        <v>1</v>
      </c>
      <c r="F578">
        <v>1</v>
      </c>
      <c r="G578">
        <v>0.26100000000000001</v>
      </c>
      <c r="H578">
        <v>0</v>
      </c>
      <c r="I578" t="s">
        <v>0</v>
      </c>
      <c r="J578" t="s">
        <v>59</v>
      </c>
      <c r="K578">
        <v>0</v>
      </c>
      <c r="L578" t="s">
        <v>60</v>
      </c>
      <c r="M578">
        <v>1</v>
      </c>
      <c r="N578" t="s">
        <v>67</v>
      </c>
      <c r="O578" s="2">
        <v>0.47500000000000003</v>
      </c>
      <c r="P578">
        <f>-0.0018074467*3600</f>
        <v>-6.5068081199999996</v>
      </c>
      <c r="Q578">
        <f>-0.0019821042*3600</f>
        <v>-7.1355751199999995</v>
      </c>
    </row>
    <row r="579" spans="1:17" x14ac:dyDescent="0.3">
      <c r="A579" s="4" t="s">
        <v>47</v>
      </c>
      <c r="B579" s="5" t="s">
        <v>194</v>
      </c>
      <c r="C579">
        <v>98.827808000000005</v>
      </c>
      <c r="D579">
        <v>105.22929499999999</v>
      </c>
      <c r="E579">
        <v>1</v>
      </c>
      <c r="F579">
        <v>1</v>
      </c>
      <c r="G579">
        <v>0.26100000000000001</v>
      </c>
      <c r="H579">
        <v>0</v>
      </c>
      <c r="I579" t="s">
        <v>0</v>
      </c>
      <c r="J579" t="s">
        <v>59</v>
      </c>
      <c r="K579">
        <v>0</v>
      </c>
      <c r="L579" t="s">
        <v>60</v>
      </c>
      <c r="M579">
        <v>1</v>
      </c>
      <c r="N579" t="s">
        <v>67</v>
      </c>
      <c r="O579" s="2">
        <v>0.47500000000000003</v>
      </c>
      <c r="P579">
        <f>-0.0017441744*3600</f>
        <v>-6.2790278399999995</v>
      </c>
      <c r="Q579">
        <f>-0.0020076269*3600</f>
        <v>-7.2274568400000003</v>
      </c>
    </row>
    <row r="580" spans="1:17" x14ac:dyDescent="0.3">
      <c r="A580" s="4" t="s">
        <v>47</v>
      </c>
      <c r="B580" s="5" t="s">
        <v>195</v>
      </c>
      <c r="C580">
        <v>98.827630999999997</v>
      </c>
      <c r="D580">
        <v>105.22929499999999</v>
      </c>
      <c r="E580">
        <v>1</v>
      </c>
      <c r="F580">
        <v>1</v>
      </c>
      <c r="G580">
        <v>0.26100000000000001</v>
      </c>
      <c r="H580">
        <v>0</v>
      </c>
      <c r="I580" t="s">
        <v>0</v>
      </c>
      <c r="J580" t="s">
        <v>59</v>
      </c>
      <c r="K580">
        <v>0</v>
      </c>
      <c r="L580" t="s">
        <v>60</v>
      </c>
      <c r="M580">
        <v>1</v>
      </c>
      <c r="N580" t="s">
        <v>67</v>
      </c>
      <c r="O580" s="2">
        <v>0.47500000000000003</v>
      </c>
      <c r="P580">
        <f>-0.0017992093*3600</f>
        <v>-6.4771534800000001</v>
      </c>
      <c r="Q580">
        <f>-0.001986929*3600</f>
        <v>-7.1529444000000009</v>
      </c>
    </row>
    <row r="581" spans="1:17" x14ac:dyDescent="0.3">
      <c r="A581" s="4" t="s">
        <v>47</v>
      </c>
      <c r="B581" s="5" t="s">
        <v>196</v>
      </c>
      <c r="C581">
        <v>98.827342999999999</v>
      </c>
      <c r="D581">
        <v>105.229344</v>
      </c>
      <c r="E581">
        <v>1</v>
      </c>
      <c r="F581">
        <v>1</v>
      </c>
      <c r="G581">
        <v>0.26100000000000001</v>
      </c>
      <c r="H581">
        <v>0</v>
      </c>
      <c r="I581" t="s">
        <v>0</v>
      </c>
      <c r="J581" t="s">
        <v>59</v>
      </c>
      <c r="K581">
        <v>0</v>
      </c>
      <c r="L581" t="s">
        <v>60</v>
      </c>
      <c r="M581">
        <v>1</v>
      </c>
      <c r="N581" t="s">
        <v>67</v>
      </c>
      <c r="O581" s="2">
        <v>0.47500000000000003</v>
      </c>
      <c r="P581">
        <f>-0.0017743299*3600</f>
        <v>-6.3875876399999996</v>
      </c>
      <c r="Q581">
        <f>-0.0019539633*3600</f>
        <v>-7.0342678799999998</v>
      </c>
    </row>
    <row r="582" spans="1:17" x14ac:dyDescent="0.3">
      <c r="A582" s="4" t="s">
        <v>47</v>
      </c>
      <c r="B582" s="5" t="s">
        <v>197</v>
      </c>
      <c r="C582">
        <v>98.827668000000003</v>
      </c>
      <c r="D582">
        <v>105.229308</v>
      </c>
      <c r="E582">
        <v>1</v>
      </c>
      <c r="F582">
        <v>1</v>
      </c>
      <c r="G582">
        <v>0.26100000000000001</v>
      </c>
      <c r="H582">
        <v>0</v>
      </c>
      <c r="I582" t="s">
        <v>0</v>
      </c>
      <c r="J582" t="s">
        <v>59</v>
      </c>
      <c r="K582">
        <v>0</v>
      </c>
      <c r="L582" t="s">
        <v>60</v>
      </c>
      <c r="M582">
        <v>1</v>
      </c>
      <c r="N582" t="s">
        <v>67</v>
      </c>
      <c r="O582" s="2">
        <v>0.47500000000000003</v>
      </c>
      <c r="P582">
        <f>-0.0018338276*3600</f>
        <v>-6.6017793600000001</v>
      </c>
      <c r="Q582">
        <f>-0.0020001621*3600</f>
        <v>-7.2005835599999992</v>
      </c>
    </row>
    <row r="583" spans="1:17" x14ac:dyDescent="0.3">
      <c r="A583" s="4" t="s">
        <v>47</v>
      </c>
      <c r="B583" s="5" t="s">
        <v>198</v>
      </c>
      <c r="C583">
        <v>98.827703</v>
      </c>
      <c r="D583">
        <v>105.229406</v>
      </c>
      <c r="E583">
        <v>1</v>
      </c>
      <c r="F583">
        <v>1</v>
      </c>
      <c r="G583">
        <v>0.26100000000000001</v>
      </c>
      <c r="H583">
        <v>0</v>
      </c>
      <c r="I583" t="s">
        <v>0</v>
      </c>
      <c r="J583" t="s">
        <v>59</v>
      </c>
      <c r="K583">
        <v>0</v>
      </c>
      <c r="L583" t="s">
        <v>60</v>
      </c>
      <c r="M583">
        <v>1</v>
      </c>
      <c r="N583" t="s">
        <v>67</v>
      </c>
      <c r="O583" s="2">
        <v>0.47500000000000003</v>
      </c>
      <c r="P583">
        <f>-0.0018584805*3600</f>
        <v>-6.6905298000000002</v>
      </c>
      <c r="Q583">
        <f>-0.0018980071*3600</f>
        <v>-6.8328255599999999</v>
      </c>
    </row>
    <row r="584" spans="1:17" x14ac:dyDescent="0.3">
      <c r="A584" s="4" t="s">
        <v>47</v>
      </c>
      <c r="B584" s="5" t="s">
        <v>199</v>
      </c>
      <c r="C584">
        <v>98.827663999999999</v>
      </c>
      <c r="D584">
        <v>105.22932900000001</v>
      </c>
      <c r="E584">
        <v>1</v>
      </c>
      <c r="F584">
        <v>1</v>
      </c>
      <c r="G584">
        <v>0.26100000000000001</v>
      </c>
      <c r="H584">
        <v>0</v>
      </c>
      <c r="I584" t="s">
        <v>0</v>
      </c>
      <c r="J584" t="s">
        <v>59</v>
      </c>
      <c r="K584">
        <v>0</v>
      </c>
      <c r="L584" t="s">
        <v>60</v>
      </c>
      <c r="M584">
        <v>1</v>
      </c>
      <c r="N584" t="s">
        <v>67</v>
      </c>
      <c r="O584" s="2">
        <v>0.47500000000000003</v>
      </c>
      <c r="P584">
        <f>-0.0017566309*3600</f>
        <v>-6.3238712399999999</v>
      </c>
      <c r="Q584">
        <f>-0.0019868469*3600</f>
        <v>-7.1526488399999995</v>
      </c>
    </row>
    <row r="585" spans="1:17" x14ac:dyDescent="0.3">
      <c r="A585" s="4" t="s">
        <v>47</v>
      </c>
      <c r="B585" s="5" t="s">
        <v>200</v>
      </c>
      <c r="C585">
        <v>98.827650000000006</v>
      </c>
      <c r="D585">
        <v>105.22930599999999</v>
      </c>
      <c r="E585">
        <v>1</v>
      </c>
      <c r="F585">
        <v>1</v>
      </c>
      <c r="G585">
        <v>0.26100000000000001</v>
      </c>
      <c r="H585">
        <v>0</v>
      </c>
      <c r="I585" t="s">
        <v>0</v>
      </c>
      <c r="J585" t="s">
        <v>59</v>
      </c>
      <c r="K585">
        <v>0</v>
      </c>
      <c r="L585" t="s">
        <v>60</v>
      </c>
      <c r="M585">
        <v>1</v>
      </c>
      <c r="N585" t="s">
        <v>67</v>
      </c>
      <c r="O585" s="2">
        <v>0.47500000000000003</v>
      </c>
      <c r="P585">
        <f>-0.0017197867*3600</f>
        <v>-6.1912321200000004</v>
      </c>
      <c r="Q585">
        <f>-0.0020006411*3600</f>
        <v>-7.2023079600000006</v>
      </c>
    </row>
    <row r="586" spans="1:17" x14ac:dyDescent="0.3">
      <c r="A586" s="4" t="s">
        <v>47</v>
      </c>
      <c r="B586" s="5" t="s">
        <v>201</v>
      </c>
      <c r="C586">
        <v>98.827447000000006</v>
      </c>
      <c r="D586">
        <v>105.229316</v>
      </c>
      <c r="E586">
        <v>1</v>
      </c>
      <c r="F586">
        <v>1</v>
      </c>
      <c r="G586">
        <v>0.26100000000000001</v>
      </c>
      <c r="H586">
        <v>0</v>
      </c>
      <c r="I586" t="s">
        <v>0</v>
      </c>
      <c r="J586" t="s">
        <v>59</v>
      </c>
      <c r="K586">
        <v>0</v>
      </c>
      <c r="L586" t="s">
        <v>60</v>
      </c>
      <c r="M586">
        <v>1</v>
      </c>
      <c r="N586" t="s">
        <v>67</v>
      </c>
      <c r="O586" s="2">
        <v>0.47500000000000003</v>
      </c>
      <c r="P586">
        <f>-0.0017976928*3600</f>
        <v>-6.4716940800000007</v>
      </c>
      <c r="Q586">
        <f>-0.0019732846*3600</f>
        <v>-7.1038245599999996</v>
      </c>
    </row>
    <row r="587" spans="1:17" x14ac:dyDescent="0.3">
      <c r="A587" s="4" t="s">
        <v>47</v>
      </c>
      <c r="B587" s="5" t="s">
        <v>202</v>
      </c>
      <c r="C587">
        <v>98.827704999999995</v>
      </c>
      <c r="D587">
        <v>105.22934600000001</v>
      </c>
      <c r="E587">
        <v>1</v>
      </c>
      <c r="F587">
        <v>1</v>
      </c>
      <c r="G587">
        <v>0.26100000000000001</v>
      </c>
      <c r="H587">
        <v>0</v>
      </c>
      <c r="I587" t="s">
        <v>0</v>
      </c>
      <c r="J587" t="s">
        <v>59</v>
      </c>
      <c r="K587">
        <v>0</v>
      </c>
      <c r="L587" t="s">
        <v>60</v>
      </c>
      <c r="M587">
        <v>1</v>
      </c>
      <c r="N587" t="s">
        <v>67</v>
      </c>
      <c r="O587" s="2">
        <v>0.47500000000000003</v>
      </c>
      <c r="P587">
        <f>-0.0016817691*3600</f>
        <v>-6.05436876</v>
      </c>
      <c r="Q587">
        <f>-0.0019327939*3600</f>
        <v>-6.9580580400000001</v>
      </c>
    </row>
    <row r="588" spans="1:17" x14ac:dyDescent="0.3">
      <c r="A588" s="4" t="s">
        <v>47</v>
      </c>
      <c r="B588" s="5" t="s">
        <v>203</v>
      </c>
      <c r="C588">
        <v>98.827759999999998</v>
      </c>
      <c r="D588">
        <v>105.229384</v>
      </c>
      <c r="E588">
        <v>1</v>
      </c>
      <c r="F588">
        <v>1</v>
      </c>
      <c r="G588">
        <v>0.26100000000000001</v>
      </c>
      <c r="H588">
        <v>0</v>
      </c>
      <c r="I588" t="s">
        <v>0</v>
      </c>
      <c r="J588" t="s">
        <v>59</v>
      </c>
      <c r="K588">
        <v>0</v>
      </c>
      <c r="L588" t="s">
        <v>60</v>
      </c>
      <c r="M588">
        <v>1</v>
      </c>
      <c r="N588" t="s">
        <v>67</v>
      </c>
      <c r="O588" s="2">
        <v>0.47500000000000003</v>
      </c>
      <c r="P588">
        <f>-0.0017835369*3600</f>
        <v>-6.4207328399999994</v>
      </c>
      <c r="Q588">
        <f>-0.0019171292*3600</f>
        <v>-6.9016651199999997</v>
      </c>
    </row>
    <row r="589" spans="1:17" x14ac:dyDescent="0.3">
      <c r="A589" s="4" t="s">
        <v>47</v>
      </c>
      <c r="B589" s="5" t="s">
        <v>204</v>
      </c>
      <c r="C589">
        <v>98.827201000000002</v>
      </c>
      <c r="D589">
        <v>105.22929499999999</v>
      </c>
      <c r="E589">
        <v>1</v>
      </c>
      <c r="F589">
        <v>1</v>
      </c>
      <c r="G589">
        <v>0.26100000000000001</v>
      </c>
      <c r="H589">
        <v>0</v>
      </c>
      <c r="I589" t="s">
        <v>0</v>
      </c>
      <c r="J589" t="s">
        <v>59</v>
      </c>
      <c r="K589">
        <v>0</v>
      </c>
      <c r="L589" t="s">
        <v>60</v>
      </c>
      <c r="M589">
        <v>1</v>
      </c>
      <c r="N589" t="s">
        <v>67</v>
      </c>
      <c r="O589" s="2">
        <v>0.47500000000000003</v>
      </c>
      <c r="P589">
        <f>-0.0017952185*3600</f>
        <v>-6.4627866000000003</v>
      </c>
      <c r="Q589">
        <f>-0.0020006419*3600</f>
        <v>-7.20231084</v>
      </c>
    </row>
    <row r="590" spans="1:17" x14ac:dyDescent="0.3">
      <c r="A590" s="4" t="s">
        <v>47</v>
      </c>
      <c r="B590" s="5" t="s">
        <v>205</v>
      </c>
      <c r="C590">
        <v>98.828137999999996</v>
      </c>
      <c r="D590">
        <v>105.22932400000001</v>
      </c>
      <c r="E590">
        <v>1</v>
      </c>
      <c r="F590">
        <v>1</v>
      </c>
      <c r="G590">
        <v>0.26100000000000001</v>
      </c>
      <c r="H590">
        <v>0</v>
      </c>
      <c r="I590" t="s">
        <v>0</v>
      </c>
      <c r="J590" t="s">
        <v>59</v>
      </c>
      <c r="K590">
        <v>0</v>
      </c>
      <c r="L590" t="s">
        <v>60</v>
      </c>
      <c r="M590">
        <v>1</v>
      </c>
      <c r="N590" t="s">
        <v>67</v>
      </c>
      <c r="O590" s="2">
        <v>0.47500000000000003</v>
      </c>
      <c r="P590">
        <f>-0.001785939*3600</f>
        <v>-6.4293804000000003</v>
      </c>
      <c r="Q590">
        <f>-0.0019708056*3600</f>
        <v>-7.0949001600000008</v>
      </c>
    </row>
    <row r="591" spans="1:17" x14ac:dyDescent="0.3">
      <c r="A591" s="4" t="s">
        <v>47</v>
      </c>
      <c r="B591" s="5" t="s">
        <v>206</v>
      </c>
      <c r="C591">
        <v>98.827472</v>
      </c>
      <c r="D591">
        <v>105.22935200000001</v>
      </c>
      <c r="E591">
        <v>1</v>
      </c>
      <c r="F591">
        <v>1</v>
      </c>
      <c r="G591">
        <v>0.26100000000000001</v>
      </c>
      <c r="H591">
        <v>0</v>
      </c>
      <c r="I591" t="s">
        <v>0</v>
      </c>
      <c r="J591" t="s">
        <v>59</v>
      </c>
      <c r="K591">
        <v>0</v>
      </c>
      <c r="L591" t="s">
        <v>60</v>
      </c>
      <c r="M591">
        <v>1</v>
      </c>
      <c r="N591" t="s">
        <v>67</v>
      </c>
      <c r="O591" s="2">
        <v>0.47500000000000003</v>
      </c>
      <c r="P591">
        <f>-0.0017559833*3600</f>
        <v>-6.3215398799999996</v>
      </c>
      <c r="Q591">
        <f>-0.0019754652*3600</f>
        <v>-7.1116747200000008</v>
      </c>
    </row>
    <row r="592" spans="1:17" x14ac:dyDescent="0.3">
      <c r="A592" s="4" t="s">
        <v>47</v>
      </c>
      <c r="B592" s="5" t="s">
        <v>207</v>
      </c>
      <c r="C592">
        <v>98.827997999999994</v>
      </c>
      <c r="D592">
        <v>105.22931</v>
      </c>
      <c r="E592">
        <v>1</v>
      </c>
      <c r="F592">
        <v>1</v>
      </c>
      <c r="G592">
        <v>0.26100000000000001</v>
      </c>
      <c r="H592">
        <v>0</v>
      </c>
      <c r="I592" t="s">
        <v>0</v>
      </c>
      <c r="J592" t="s">
        <v>59</v>
      </c>
      <c r="K592">
        <v>0</v>
      </c>
      <c r="L592" t="s">
        <v>60</v>
      </c>
      <c r="M592">
        <v>1</v>
      </c>
      <c r="N592" t="s">
        <v>67</v>
      </c>
      <c r="O592" s="2">
        <v>0.47500000000000003</v>
      </c>
      <c r="P592">
        <f>-0.0017414474*3600</f>
        <v>-6.2692106399999998</v>
      </c>
      <c r="Q592">
        <f>-0.0020076527*3600</f>
        <v>-7.2275497200000007</v>
      </c>
    </row>
    <row r="593" spans="1:17" x14ac:dyDescent="0.3">
      <c r="A593" s="4" t="s">
        <v>47</v>
      </c>
      <c r="B593" s="5" t="s">
        <v>208</v>
      </c>
      <c r="C593">
        <v>98.827707000000004</v>
      </c>
      <c r="D593">
        <v>105.229326</v>
      </c>
      <c r="E593">
        <v>1</v>
      </c>
      <c r="F593">
        <v>1</v>
      </c>
      <c r="G593">
        <v>0.26100000000000001</v>
      </c>
      <c r="H593">
        <v>0</v>
      </c>
      <c r="I593" t="s">
        <v>0</v>
      </c>
      <c r="J593" t="s">
        <v>59</v>
      </c>
      <c r="K593">
        <v>0</v>
      </c>
      <c r="L593" t="s">
        <v>60</v>
      </c>
      <c r="M593">
        <v>1</v>
      </c>
      <c r="N593" t="s">
        <v>67</v>
      </c>
      <c r="O593" s="2">
        <v>0.47500000000000003</v>
      </c>
      <c r="P593">
        <f>-0.0017752156*3600</f>
        <v>-6.3907761599999997</v>
      </c>
      <c r="Q593">
        <f>-0.0019862704*3600</f>
        <v>-7.1505734400000005</v>
      </c>
    </row>
    <row r="594" spans="1:17" x14ac:dyDescent="0.3">
      <c r="A594" s="4" t="s">
        <v>47</v>
      </c>
      <c r="B594" s="5" t="s">
        <v>209</v>
      </c>
      <c r="C594">
        <v>98.827680000000001</v>
      </c>
      <c r="D594">
        <v>105.22938499999999</v>
      </c>
      <c r="E594">
        <v>1</v>
      </c>
      <c r="F594">
        <v>1</v>
      </c>
      <c r="G594">
        <v>0.26100000000000001</v>
      </c>
      <c r="H594">
        <v>0</v>
      </c>
      <c r="I594" t="s">
        <v>0</v>
      </c>
      <c r="J594" t="s">
        <v>59</v>
      </c>
      <c r="K594">
        <v>0</v>
      </c>
      <c r="L594" t="s">
        <v>60</v>
      </c>
      <c r="M594">
        <v>1</v>
      </c>
      <c r="N594" t="s">
        <v>67</v>
      </c>
      <c r="O594" s="2">
        <v>0.47500000000000003</v>
      </c>
      <c r="P594">
        <f>-0.0018037289*3600</f>
        <v>-6.4934240399999998</v>
      </c>
      <c r="Q594">
        <f>-0.0019191805*3600</f>
        <v>-6.9090498</v>
      </c>
    </row>
    <row r="595" spans="1:17" x14ac:dyDescent="0.3">
      <c r="A595" s="4" t="s">
        <v>47</v>
      </c>
      <c r="B595" s="5" t="s">
        <v>210</v>
      </c>
      <c r="C595">
        <v>98.827697999999998</v>
      </c>
      <c r="D595">
        <v>105.229248</v>
      </c>
      <c r="E595">
        <v>1</v>
      </c>
      <c r="F595">
        <v>1</v>
      </c>
      <c r="G595">
        <v>0.26100000000000001</v>
      </c>
      <c r="H595">
        <v>0</v>
      </c>
      <c r="I595" t="s">
        <v>0</v>
      </c>
      <c r="J595" t="s">
        <v>59</v>
      </c>
      <c r="K595">
        <v>0</v>
      </c>
      <c r="L595" t="s">
        <v>60</v>
      </c>
      <c r="M595">
        <v>1</v>
      </c>
      <c r="N595" t="s">
        <v>67</v>
      </c>
      <c r="O595" s="2">
        <v>0.47500000000000003</v>
      </c>
      <c r="P595">
        <f>-0.0017919718*3600</f>
        <v>-6.4510984799999997</v>
      </c>
      <c r="Q595">
        <f>-0.0020483475*3600</f>
        <v>-7.3740509999999997</v>
      </c>
    </row>
    <row r="596" spans="1:17" x14ac:dyDescent="0.3">
      <c r="A596" s="4" t="s">
        <v>47</v>
      </c>
      <c r="B596" s="5" t="s">
        <v>211</v>
      </c>
      <c r="C596">
        <v>98.827181999999993</v>
      </c>
      <c r="D596">
        <v>105.229277</v>
      </c>
      <c r="E596">
        <v>1</v>
      </c>
      <c r="F596">
        <v>1</v>
      </c>
      <c r="G596">
        <v>0.26100000000000001</v>
      </c>
      <c r="H596">
        <v>0</v>
      </c>
      <c r="I596" t="s">
        <v>0</v>
      </c>
      <c r="J596" t="s">
        <v>59</v>
      </c>
      <c r="K596">
        <v>0</v>
      </c>
      <c r="L596" t="s">
        <v>60</v>
      </c>
      <c r="M596">
        <v>1</v>
      </c>
      <c r="N596" t="s">
        <v>67</v>
      </c>
      <c r="O596" s="2">
        <v>0.47500000000000003</v>
      </c>
      <c r="P596">
        <f>-0.0017792625*3600</f>
        <v>-6.4053449999999996</v>
      </c>
      <c r="Q596">
        <f>-0.002016308*3600</f>
        <v>-7.2587088</v>
      </c>
    </row>
    <row r="597" spans="1:17" x14ac:dyDescent="0.3">
      <c r="A597" s="4" t="s">
        <v>47</v>
      </c>
      <c r="B597" s="5" t="s">
        <v>212</v>
      </c>
      <c r="C597">
        <v>98.827819000000005</v>
      </c>
      <c r="D597">
        <v>105.229331</v>
      </c>
      <c r="E597">
        <v>1</v>
      </c>
      <c r="F597">
        <v>1</v>
      </c>
      <c r="G597">
        <v>0.26100000000000001</v>
      </c>
      <c r="H597">
        <v>0</v>
      </c>
      <c r="I597" t="s">
        <v>0</v>
      </c>
      <c r="J597" t="s">
        <v>59</v>
      </c>
      <c r="K597">
        <v>0</v>
      </c>
      <c r="L597" t="s">
        <v>60</v>
      </c>
      <c r="M597">
        <v>1</v>
      </c>
      <c r="N597" t="s">
        <v>67</v>
      </c>
      <c r="O597" s="2">
        <v>0.47500000000000003</v>
      </c>
      <c r="P597">
        <f>-0.0018719193*3600</f>
        <v>-6.7389094800000002</v>
      </c>
      <c r="Q597">
        <f>-0.0019664349*3600</f>
        <v>-7.0791656399999994</v>
      </c>
    </row>
    <row r="598" spans="1:17" x14ac:dyDescent="0.3">
      <c r="A598" s="4" t="s">
        <v>47</v>
      </c>
      <c r="B598" s="5" t="s">
        <v>213</v>
      </c>
      <c r="C598">
        <v>98.827082000000004</v>
      </c>
      <c r="D598">
        <v>105.229389</v>
      </c>
      <c r="E598">
        <v>1</v>
      </c>
      <c r="F598">
        <v>1</v>
      </c>
      <c r="G598">
        <v>0.26100000000000001</v>
      </c>
      <c r="H598">
        <v>0</v>
      </c>
      <c r="I598" t="s">
        <v>0</v>
      </c>
      <c r="J598" t="s">
        <v>59</v>
      </c>
      <c r="K598">
        <v>0</v>
      </c>
      <c r="L598" t="s">
        <v>60</v>
      </c>
      <c r="M598">
        <v>1</v>
      </c>
      <c r="N598" t="s">
        <v>67</v>
      </c>
      <c r="O598" s="2">
        <v>0.47500000000000003</v>
      </c>
      <c r="P598">
        <f>-0.0018220519*3600</f>
        <v>-6.5593868400000002</v>
      </c>
      <c r="Q598">
        <f>-0.0019037564*3600</f>
        <v>-6.8535230400000007</v>
      </c>
    </row>
    <row r="599" spans="1:17" x14ac:dyDescent="0.3">
      <c r="A599" s="4" t="s">
        <v>47</v>
      </c>
      <c r="B599" s="5" t="s">
        <v>214</v>
      </c>
      <c r="C599">
        <v>98.827427999999998</v>
      </c>
      <c r="D599">
        <v>105.22936300000001</v>
      </c>
      <c r="E599">
        <v>1</v>
      </c>
      <c r="F599">
        <v>1</v>
      </c>
      <c r="G599">
        <v>0.26100000000000001</v>
      </c>
      <c r="H599">
        <v>0</v>
      </c>
      <c r="I599" t="s">
        <v>0</v>
      </c>
      <c r="J599" t="s">
        <v>59</v>
      </c>
      <c r="K599">
        <v>0</v>
      </c>
      <c r="L599" t="s">
        <v>60</v>
      </c>
      <c r="M599">
        <v>1</v>
      </c>
      <c r="N599" t="s">
        <v>67</v>
      </c>
      <c r="O599" s="2">
        <v>0.47500000000000003</v>
      </c>
      <c r="P599">
        <f>-0.0018602598*3600</f>
        <v>-6.6969352799999999</v>
      </c>
      <c r="Q599">
        <f>-0.0019390127*3600</f>
        <v>-6.9804457199999996</v>
      </c>
    </row>
    <row r="600" spans="1:17" x14ac:dyDescent="0.3">
      <c r="A600" s="4" t="s">
        <v>47</v>
      </c>
      <c r="B600" s="6" t="s">
        <v>215</v>
      </c>
      <c r="C600">
        <v>298.82629100000003</v>
      </c>
      <c r="D600">
        <v>294.743675</v>
      </c>
      <c r="E600">
        <v>19.671600000000002</v>
      </c>
      <c r="F600">
        <v>19.601099999999999</v>
      </c>
      <c r="G600">
        <v>0.26100000000000001</v>
      </c>
      <c r="H600">
        <v>0</v>
      </c>
      <c r="I600" t="s">
        <v>0</v>
      </c>
      <c r="J600" t="s">
        <v>59</v>
      </c>
      <c r="K600">
        <v>3.4000000000000002E-2</v>
      </c>
      <c r="L600" t="s">
        <v>60</v>
      </c>
      <c r="M600">
        <v>1</v>
      </c>
      <c r="N600" t="s">
        <v>53</v>
      </c>
      <c r="O600" s="2">
        <v>0.47569444444444442</v>
      </c>
      <c r="P600">
        <f>0.0006021015*3600</f>
        <v>2.1675654</v>
      </c>
      <c r="Q600">
        <f>0.0023554078*3600</f>
        <v>8.4794680800000002</v>
      </c>
    </row>
    <row r="601" spans="1:17" x14ac:dyDescent="0.3">
      <c r="A601" s="4" t="s">
        <v>47</v>
      </c>
      <c r="B601" s="6" t="s">
        <v>216</v>
      </c>
      <c r="C601">
        <v>298.82596899999999</v>
      </c>
      <c r="D601">
        <v>294.77936799999998</v>
      </c>
      <c r="E601">
        <v>1</v>
      </c>
      <c r="F601">
        <v>1</v>
      </c>
      <c r="G601">
        <v>0.26100000000000001</v>
      </c>
      <c r="H601">
        <v>0</v>
      </c>
      <c r="I601" t="s">
        <v>0</v>
      </c>
      <c r="J601" t="s">
        <v>59</v>
      </c>
      <c r="K601">
        <v>0</v>
      </c>
      <c r="L601" t="s">
        <v>60</v>
      </c>
      <c r="M601">
        <v>1</v>
      </c>
      <c r="N601" t="s">
        <v>67</v>
      </c>
      <c r="O601" s="2">
        <v>0.47569444444444442</v>
      </c>
      <c r="P601">
        <f>0.0005791052*3600</f>
        <v>2.0847787200000001</v>
      </c>
      <c r="Q601">
        <f>0.0020979289*3600</f>
        <v>7.5525440399999999</v>
      </c>
    </row>
    <row r="602" spans="1:17" x14ac:dyDescent="0.3">
      <c r="A602" s="4" t="s">
        <v>47</v>
      </c>
      <c r="B602" s="6" t="s">
        <v>217</v>
      </c>
      <c r="C602">
        <v>298.82615600000003</v>
      </c>
      <c r="D602">
        <v>294.779358</v>
      </c>
      <c r="E602">
        <v>1</v>
      </c>
      <c r="F602">
        <v>1</v>
      </c>
      <c r="G602">
        <v>0.26100000000000001</v>
      </c>
      <c r="H602">
        <v>0</v>
      </c>
      <c r="I602" t="s">
        <v>0</v>
      </c>
      <c r="J602" t="s">
        <v>59</v>
      </c>
      <c r="K602">
        <v>0</v>
      </c>
      <c r="L602" t="s">
        <v>60</v>
      </c>
      <c r="M602">
        <v>1</v>
      </c>
      <c r="N602" t="s">
        <v>67</v>
      </c>
      <c r="O602" s="2">
        <v>0.47569444444444442</v>
      </c>
      <c r="P602">
        <f>0.0005301159*3600</f>
        <v>1.9084172400000001</v>
      </c>
      <c r="Q602">
        <f>0.0020915949*3600</f>
        <v>7.5297416399999992</v>
      </c>
    </row>
    <row r="603" spans="1:17" x14ac:dyDescent="0.3">
      <c r="A603" s="4" t="s">
        <v>47</v>
      </c>
      <c r="B603" s="6" t="s">
        <v>218</v>
      </c>
      <c r="C603">
        <v>298.82628099999999</v>
      </c>
      <c r="D603">
        <v>294.77933400000001</v>
      </c>
      <c r="E603">
        <v>1</v>
      </c>
      <c r="F603">
        <v>1</v>
      </c>
      <c r="G603">
        <v>0.26100000000000001</v>
      </c>
      <c r="H603">
        <v>0</v>
      </c>
      <c r="I603" t="s">
        <v>0</v>
      </c>
      <c r="J603" t="s">
        <v>59</v>
      </c>
      <c r="K603">
        <v>0</v>
      </c>
      <c r="L603" t="s">
        <v>60</v>
      </c>
      <c r="M603">
        <v>1</v>
      </c>
      <c r="N603" t="s">
        <v>67</v>
      </c>
      <c r="O603" s="2">
        <v>0.47569444444444442</v>
      </c>
      <c r="P603">
        <f>0.0005319929*3600</f>
        <v>1.9151744399999999</v>
      </c>
      <c r="Q603">
        <f>0.0020761345*3600</f>
        <v>7.4740842000000001</v>
      </c>
    </row>
    <row r="604" spans="1:17" x14ac:dyDescent="0.3">
      <c r="A604" s="4" t="s">
        <v>47</v>
      </c>
      <c r="B604" s="6" t="s">
        <v>219</v>
      </c>
      <c r="C604">
        <v>298.82659000000001</v>
      </c>
      <c r="D604">
        <v>294.77930500000002</v>
      </c>
      <c r="E604">
        <v>1</v>
      </c>
      <c r="F604">
        <v>1</v>
      </c>
      <c r="G604">
        <v>0.26100000000000001</v>
      </c>
      <c r="H604">
        <v>0</v>
      </c>
      <c r="I604" t="s">
        <v>0</v>
      </c>
      <c r="J604" t="s">
        <v>59</v>
      </c>
      <c r="K604">
        <v>0</v>
      </c>
      <c r="L604" t="s">
        <v>60</v>
      </c>
      <c r="M604">
        <v>1</v>
      </c>
      <c r="N604" t="s">
        <v>67</v>
      </c>
      <c r="O604" s="2">
        <v>0.47569444444444442</v>
      </c>
      <c r="P604">
        <f>0.0005233996*3600</f>
        <v>1.88423856</v>
      </c>
      <c r="Q604">
        <f>0.0020314861*3600</f>
        <v>7.31334996</v>
      </c>
    </row>
    <row r="605" spans="1:17" x14ac:dyDescent="0.3">
      <c r="A605" s="4" t="s">
        <v>47</v>
      </c>
      <c r="B605" s="6" t="s">
        <v>220</v>
      </c>
      <c r="C605">
        <v>298.82649700000002</v>
      </c>
      <c r="D605">
        <v>294.77930900000001</v>
      </c>
      <c r="E605">
        <v>1</v>
      </c>
      <c r="F605">
        <v>1</v>
      </c>
      <c r="G605">
        <v>0.26100000000000001</v>
      </c>
      <c r="H605">
        <v>0</v>
      </c>
      <c r="I605" t="s">
        <v>0</v>
      </c>
      <c r="J605" t="s">
        <v>59</v>
      </c>
      <c r="K605">
        <v>0</v>
      </c>
      <c r="L605" t="s">
        <v>60</v>
      </c>
      <c r="M605">
        <v>1</v>
      </c>
      <c r="N605" t="s">
        <v>67</v>
      </c>
      <c r="O605" s="2">
        <v>0.47569444444444442</v>
      </c>
      <c r="P605">
        <f>0.0005061385*3600</f>
        <v>1.8220986000000001</v>
      </c>
      <c r="Q605">
        <f>0.0020163846*3600</f>
        <v>7.2589845600000009</v>
      </c>
    </row>
    <row r="606" spans="1:17" x14ac:dyDescent="0.3">
      <c r="A606" s="4" t="s">
        <v>47</v>
      </c>
      <c r="B606" s="6" t="s">
        <v>221</v>
      </c>
      <c r="C606">
        <v>298.826998</v>
      </c>
      <c r="D606">
        <v>294.77930600000002</v>
      </c>
      <c r="E606">
        <v>1</v>
      </c>
      <c r="F606">
        <v>1</v>
      </c>
      <c r="G606">
        <v>0.26100000000000001</v>
      </c>
      <c r="H606">
        <v>0</v>
      </c>
      <c r="I606" t="s">
        <v>0</v>
      </c>
      <c r="J606" t="s">
        <v>59</v>
      </c>
      <c r="K606">
        <v>0</v>
      </c>
      <c r="L606" t="s">
        <v>60</v>
      </c>
      <c r="M606">
        <v>1</v>
      </c>
      <c r="N606" t="s">
        <v>67</v>
      </c>
      <c r="O606" s="2">
        <v>0.47569444444444442</v>
      </c>
      <c r="P606">
        <f>0.0005608565*3600</f>
        <v>2.0190834</v>
      </c>
      <c r="Q606">
        <f>0.0020320991*3600</f>
        <v>7.3155567599999998</v>
      </c>
    </row>
    <row r="607" spans="1:17" x14ac:dyDescent="0.3">
      <c r="A607" s="4" t="s">
        <v>47</v>
      </c>
      <c r="B607" s="6" t="s">
        <v>222</v>
      </c>
      <c r="C607">
        <v>298.826367</v>
      </c>
      <c r="D607">
        <v>294.77930400000002</v>
      </c>
      <c r="E607">
        <v>1</v>
      </c>
      <c r="F607">
        <v>1</v>
      </c>
      <c r="G607">
        <v>0.26100000000000001</v>
      </c>
      <c r="H607">
        <v>0</v>
      </c>
      <c r="I607" t="s">
        <v>0</v>
      </c>
      <c r="J607" t="s">
        <v>59</v>
      </c>
      <c r="K607">
        <v>0</v>
      </c>
      <c r="L607" t="s">
        <v>60</v>
      </c>
      <c r="M607">
        <v>1</v>
      </c>
      <c r="N607" t="s">
        <v>67</v>
      </c>
      <c r="O607" s="2">
        <v>0.47569444444444442</v>
      </c>
      <c r="P607">
        <f>0.000509566*3600</f>
        <v>1.8344376000000002</v>
      </c>
      <c r="Q607">
        <f>0.0020312083*3600</f>
        <v>7.3123498800000002</v>
      </c>
    </row>
    <row r="608" spans="1:17" x14ac:dyDescent="0.3">
      <c r="A608" s="4" t="s">
        <v>47</v>
      </c>
      <c r="B608" s="6" t="s">
        <v>223</v>
      </c>
      <c r="C608">
        <v>298.82688400000001</v>
      </c>
      <c r="D608">
        <v>294.77928400000002</v>
      </c>
      <c r="E608">
        <v>1</v>
      </c>
      <c r="F608">
        <v>1</v>
      </c>
      <c r="G608">
        <v>0.26100000000000001</v>
      </c>
      <c r="H608">
        <v>0</v>
      </c>
      <c r="I608" t="s">
        <v>0</v>
      </c>
      <c r="J608" t="s">
        <v>59</v>
      </c>
      <c r="K608">
        <v>0</v>
      </c>
      <c r="L608" t="s">
        <v>60</v>
      </c>
      <c r="M608">
        <v>1</v>
      </c>
      <c r="N608" t="s">
        <v>67</v>
      </c>
      <c r="O608" s="2">
        <v>0.47569444444444442</v>
      </c>
      <c r="P608">
        <f>0.0005400122*3600</f>
        <v>1.9440439200000001</v>
      </c>
      <c r="Q608">
        <f>0.0020329701*3600</f>
        <v>7.3186923599999991</v>
      </c>
    </row>
    <row r="609" spans="1:17" x14ac:dyDescent="0.3">
      <c r="A609" s="4" t="s">
        <v>47</v>
      </c>
      <c r="B609" s="6" t="s">
        <v>224</v>
      </c>
      <c r="C609">
        <v>298.82665300000002</v>
      </c>
      <c r="D609">
        <v>294.77934399999998</v>
      </c>
      <c r="E609">
        <v>1</v>
      </c>
      <c r="F609">
        <v>1</v>
      </c>
      <c r="G609">
        <v>0.26100000000000001</v>
      </c>
      <c r="H609">
        <v>0</v>
      </c>
      <c r="I609" t="s">
        <v>0</v>
      </c>
      <c r="J609" t="s">
        <v>59</v>
      </c>
      <c r="K609">
        <v>0</v>
      </c>
      <c r="L609" t="s">
        <v>60</v>
      </c>
      <c r="M609">
        <v>1</v>
      </c>
      <c r="N609" t="s">
        <v>67</v>
      </c>
      <c r="O609" s="2">
        <v>0.47569444444444442</v>
      </c>
      <c r="P609">
        <f>0.0005339363*3600</f>
        <v>1.9221706800000002</v>
      </c>
      <c r="Q609">
        <f>0.0020755177*3600</f>
        <v>7.47186372</v>
      </c>
    </row>
    <row r="610" spans="1:17" x14ac:dyDescent="0.3">
      <c r="A610" s="4" t="s">
        <v>47</v>
      </c>
      <c r="B610" s="6" t="s">
        <v>225</v>
      </c>
      <c r="C610">
        <v>298.82708500000001</v>
      </c>
      <c r="D610">
        <v>294.77932099999998</v>
      </c>
      <c r="E610">
        <v>1</v>
      </c>
      <c r="F610">
        <v>1</v>
      </c>
      <c r="G610">
        <v>0.26100000000000001</v>
      </c>
      <c r="H610">
        <v>0</v>
      </c>
      <c r="I610" t="s">
        <v>0</v>
      </c>
      <c r="J610" t="s">
        <v>59</v>
      </c>
      <c r="K610">
        <v>0</v>
      </c>
      <c r="L610" t="s">
        <v>60</v>
      </c>
      <c r="M610">
        <v>1</v>
      </c>
      <c r="N610" t="s">
        <v>67</v>
      </c>
      <c r="O610" s="2">
        <v>0.47569444444444442</v>
      </c>
      <c r="P610">
        <f>0.0005800711*3600</f>
        <v>2.0882559599999997</v>
      </c>
      <c r="Q610">
        <f>0.0020671566*3600</f>
        <v>7.4417637599999997</v>
      </c>
    </row>
    <row r="611" spans="1:17" x14ac:dyDescent="0.3">
      <c r="A611" s="4" t="s">
        <v>47</v>
      </c>
      <c r="B611" s="6" t="s">
        <v>226</v>
      </c>
      <c r="C611">
        <v>298.82618500000001</v>
      </c>
      <c r="D611">
        <v>294.77925399999998</v>
      </c>
      <c r="E611">
        <v>1</v>
      </c>
      <c r="F611">
        <v>1</v>
      </c>
      <c r="G611">
        <v>0.26100000000000001</v>
      </c>
      <c r="H611">
        <v>0</v>
      </c>
      <c r="I611" t="s">
        <v>0</v>
      </c>
      <c r="J611" t="s">
        <v>59</v>
      </c>
      <c r="K611">
        <v>0</v>
      </c>
      <c r="L611" t="s">
        <v>60</v>
      </c>
      <c r="M611">
        <v>1</v>
      </c>
      <c r="N611" t="s">
        <v>67</v>
      </c>
      <c r="O611" s="2">
        <v>0.47569444444444442</v>
      </c>
      <c r="P611">
        <f>0.000631263*3600</f>
        <v>2.2725467999999998</v>
      </c>
      <c r="Q611">
        <f>0.0019638334*3600</f>
        <v>7.0698002400000002</v>
      </c>
    </row>
    <row r="612" spans="1:17" x14ac:dyDescent="0.3">
      <c r="A612" s="4" t="s">
        <v>47</v>
      </c>
      <c r="B612" s="6" t="s">
        <v>227</v>
      </c>
      <c r="C612">
        <v>298.82647800000001</v>
      </c>
      <c r="D612">
        <v>294.77924300000001</v>
      </c>
      <c r="E612">
        <v>1</v>
      </c>
      <c r="F612">
        <v>1</v>
      </c>
      <c r="G612">
        <v>0.26100000000000001</v>
      </c>
      <c r="H612">
        <v>0</v>
      </c>
      <c r="I612" t="s">
        <v>0</v>
      </c>
      <c r="J612" t="s">
        <v>59</v>
      </c>
      <c r="K612">
        <v>0</v>
      </c>
      <c r="L612" t="s">
        <v>60</v>
      </c>
      <c r="M612">
        <v>1</v>
      </c>
      <c r="N612" t="s">
        <v>67</v>
      </c>
      <c r="O612" s="2">
        <v>0.47569444444444442</v>
      </c>
      <c r="P612">
        <f>0.0006104679*3600</f>
        <v>2.1976844400000002</v>
      </c>
      <c r="Q612">
        <f>0.0019798822*3600</f>
        <v>7.1275759200000008</v>
      </c>
    </row>
    <row r="613" spans="1:17" x14ac:dyDescent="0.3">
      <c r="A613" s="4" t="s">
        <v>47</v>
      </c>
      <c r="B613" s="6" t="s">
        <v>228</v>
      </c>
      <c r="C613">
        <v>298.826887</v>
      </c>
      <c r="D613">
        <v>294.779246</v>
      </c>
      <c r="E613">
        <v>1</v>
      </c>
      <c r="F613">
        <v>1</v>
      </c>
      <c r="G613">
        <v>0.26100000000000001</v>
      </c>
      <c r="H613">
        <v>0</v>
      </c>
      <c r="I613" t="s">
        <v>0</v>
      </c>
      <c r="J613" t="s">
        <v>59</v>
      </c>
      <c r="K613">
        <v>0</v>
      </c>
      <c r="L613" t="s">
        <v>60</v>
      </c>
      <c r="M613">
        <v>1</v>
      </c>
      <c r="N613" t="s">
        <v>67</v>
      </c>
      <c r="O613" s="2">
        <v>0.47569444444444442</v>
      </c>
      <c r="P613">
        <f>0.0005658566*3600</f>
        <v>2.0370837599999998</v>
      </c>
      <c r="Q613">
        <f>0.0019982917*3600</f>
        <v>7.1938501199999996</v>
      </c>
    </row>
    <row r="614" spans="1:17" x14ac:dyDescent="0.3">
      <c r="A614" s="4" t="s">
        <v>47</v>
      </c>
      <c r="B614" s="6" t="s">
        <v>229</v>
      </c>
      <c r="C614">
        <v>298.82721600000002</v>
      </c>
      <c r="D614">
        <v>294.779222</v>
      </c>
      <c r="E614">
        <v>1</v>
      </c>
      <c r="F614">
        <v>1</v>
      </c>
      <c r="G614">
        <v>0.26100000000000001</v>
      </c>
      <c r="H614">
        <v>0</v>
      </c>
      <c r="I614" t="s">
        <v>0</v>
      </c>
      <c r="J614" t="s">
        <v>59</v>
      </c>
      <c r="K614">
        <v>0</v>
      </c>
      <c r="L614" t="s">
        <v>60</v>
      </c>
      <c r="M614">
        <v>1</v>
      </c>
      <c r="N614" t="s">
        <v>67</v>
      </c>
      <c r="O614" s="2">
        <v>0.47569444444444442</v>
      </c>
      <c r="P614">
        <f>0.0006055354*3600</f>
        <v>2.1799274399999997</v>
      </c>
      <c r="Q614">
        <f>0.0019557983*3600</f>
        <v>7.0408738800000004</v>
      </c>
    </row>
    <row r="615" spans="1:17" x14ac:dyDescent="0.3">
      <c r="A615" s="4" t="s">
        <v>47</v>
      </c>
      <c r="B615" s="6" t="s">
        <v>230</v>
      </c>
      <c r="C615">
        <v>298.82614799999999</v>
      </c>
      <c r="D615">
        <v>294.77924200000001</v>
      </c>
      <c r="E615">
        <v>1</v>
      </c>
      <c r="F615">
        <v>1</v>
      </c>
      <c r="G615">
        <v>0.26100000000000001</v>
      </c>
      <c r="H615">
        <v>0</v>
      </c>
      <c r="I615" t="s">
        <v>0</v>
      </c>
      <c r="J615" t="s">
        <v>59</v>
      </c>
      <c r="K615">
        <v>0</v>
      </c>
      <c r="L615" t="s">
        <v>60</v>
      </c>
      <c r="M615">
        <v>1</v>
      </c>
      <c r="N615" t="s">
        <v>67</v>
      </c>
      <c r="O615" s="2">
        <v>0.47569444444444442</v>
      </c>
      <c r="P615">
        <f>0.0006120507*3600</f>
        <v>2.2033825199999999</v>
      </c>
      <c r="Q615">
        <f>0.0020083694*3600</f>
        <v>7.23012984</v>
      </c>
    </row>
    <row r="616" spans="1:17" x14ac:dyDescent="0.3">
      <c r="A616" s="4" t="s">
        <v>47</v>
      </c>
      <c r="B616" s="6" t="s">
        <v>231</v>
      </c>
      <c r="C616">
        <v>298.82629300000002</v>
      </c>
      <c r="D616">
        <v>294.77937800000001</v>
      </c>
      <c r="E616">
        <v>1</v>
      </c>
      <c r="F616">
        <v>1</v>
      </c>
      <c r="G616">
        <v>0.26100000000000001</v>
      </c>
      <c r="H616">
        <v>0</v>
      </c>
      <c r="I616" t="s">
        <v>0</v>
      </c>
      <c r="J616" t="s">
        <v>59</v>
      </c>
      <c r="K616">
        <v>0</v>
      </c>
      <c r="L616" t="s">
        <v>60</v>
      </c>
      <c r="M616">
        <v>1</v>
      </c>
      <c r="N616" t="s">
        <v>67</v>
      </c>
      <c r="O616" s="2">
        <v>0.47569444444444442</v>
      </c>
      <c r="P616">
        <f>0.0006455908*3600</f>
        <v>2.3241268800000001</v>
      </c>
      <c r="Q616">
        <f>0.002143546*3600</f>
        <v>7.7167656000000004</v>
      </c>
    </row>
    <row r="617" spans="1:17" x14ac:dyDescent="0.3">
      <c r="A617" s="4" t="s">
        <v>47</v>
      </c>
      <c r="B617" s="6" t="s">
        <v>232</v>
      </c>
      <c r="C617">
        <v>298.82658400000003</v>
      </c>
      <c r="D617">
        <v>294.77936499999998</v>
      </c>
      <c r="E617">
        <v>1</v>
      </c>
      <c r="F617">
        <v>1</v>
      </c>
      <c r="G617">
        <v>0.26100000000000001</v>
      </c>
      <c r="H617">
        <v>0</v>
      </c>
      <c r="I617" t="s">
        <v>0</v>
      </c>
      <c r="J617" t="s">
        <v>59</v>
      </c>
      <c r="K617">
        <v>0</v>
      </c>
      <c r="L617" t="s">
        <v>60</v>
      </c>
      <c r="M617">
        <v>1</v>
      </c>
      <c r="N617" t="s">
        <v>67</v>
      </c>
      <c r="O617" s="2">
        <v>0.47569444444444442</v>
      </c>
      <c r="P617">
        <f>0.0005780347*3600</f>
        <v>2.0809249199999997</v>
      </c>
      <c r="Q617">
        <f>0.0021192614*3600</f>
        <v>7.6293410399999999</v>
      </c>
    </row>
    <row r="618" spans="1:17" x14ac:dyDescent="0.3">
      <c r="A618" s="4" t="s">
        <v>47</v>
      </c>
      <c r="B618" s="6" t="s">
        <v>233</v>
      </c>
      <c r="C618">
        <v>298.826751</v>
      </c>
      <c r="D618">
        <v>294.77931000000001</v>
      </c>
      <c r="E618">
        <v>1</v>
      </c>
      <c r="F618">
        <v>1</v>
      </c>
      <c r="G618">
        <v>0.26100000000000001</v>
      </c>
      <c r="H618">
        <v>0</v>
      </c>
      <c r="I618" t="s">
        <v>0</v>
      </c>
      <c r="J618" t="s">
        <v>59</v>
      </c>
      <c r="K618">
        <v>0</v>
      </c>
      <c r="L618" t="s">
        <v>60</v>
      </c>
      <c r="M618">
        <v>1</v>
      </c>
      <c r="N618" t="s">
        <v>67</v>
      </c>
      <c r="O618" s="2">
        <v>0.47569444444444442</v>
      </c>
      <c r="P618">
        <f>0.0006846231*3600</f>
        <v>2.4646431600000001</v>
      </c>
      <c r="Q618">
        <f>0.0020631494*3600</f>
        <v>7.4273378399999999</v>
      </c>
    </row>
    <row r="619" spans="1:17" x14ac:dyDescent="0.3">
      <c r="A619" s="4" t="s">
        <v>47</v>
      </c>
      <c r="B619" s="6" t="s">
        <v>234</v>
      </c>
      <c r="C619">
        <v>298.82686799999999</v>
      </c>
      <c r="D619">
        <v>294.77939199999997</v>
      </c>
      <c r="E619">
        <v>1</v>
      </c>
      <c r="F619">
        <v>1</v>
      </c>
      <c r="G619">
        <v>0.26100000000000001</v>
      </c>
      <c r="H619">
        <v>0</v>
      </c>
      <c r="I619" t="s">
        <v>0</v>
      </c>
      <c r="J619" t="s">
        <v>59</v>
      </c>
      <c r="K619">
        <v>0</v>
      </c>
      <c r="L619" t="s">
        <v>60</v>
      </c>
      <c r="M619">
        <v>1</v>
      </c>
      <c r="N619" t="s">
        <v>67</v>
      </c>
      <c r="O619" s="2">
        <v>0.47569444444444442</v>
      </c>
      <c r="P619">
        <f>0.0006570257*3600</f>
        <v>2.3652925200000001</v>
      </c>
      <c r="Q619">
        <f>0.002128132*3600</f>
        <v>7.6612752000000004</v>
      </c>
    </row>
    <row r="620" spans="1:17" x14ac:dyDescent="0.3">
      <c r="A620" s="4" t="s">
        <v>47</v>
      </c>
      <c r="B620" s="6" t="s">
        <v>235</v>
      </c>
      <c r="C620">
        <v>298.826548</v>
      </c>
      <c r="D620">
        <v>294.779357</v>
      </c>
      <c r="E620">
        <v>1</v>
      </c>
      <c r="F620">
        <v>1</v>
      </c>
      <c r="G620">
        <v>0.26100000000000001</v>
      </c>
      <c r="H620">
        <v>0</v>
      </c>
      <c r="I620" t="s">
        <v>0</v>
      </c>
      <c r="J620" t="s">
        <v>59</v>
      </c>
      <c r="K620">
        <v>0</v>
      </c>
      <c r="L620" t="s">
        <v>60</v>
      </c>
      <c r="M620">
        <v>1</v>
      </c>
      <c r="N620" t="s">
        <v>67</v>
      </c>
      <c r="O620" s="2">
        <v>0.47569444444444442</v>
      </c>
      <c r="P620">
        <f>0.0007058114*3600</f>
        <v>2.5409210400000002</v>
      </c>
      <c r="Q620">
        <f>0.002129289*3600</f>
        <v>7.6654403999999996</v>
      </c>
    </row>
    <row r="621" spans="1:17" x14ac:dyDescent="0.3">
      <c r="A621" s="4" t="s">
        <v>47</v>
      </c>
      <c r="B621" s="6" t="s">
        <v>236</v>
      </c>
      <c r="C621">
        <v>298.82688100000001</v>
      </c>
      <c r="D621">
        <v>294.77932499999997</v>
      </c>
      <c r="E621">
        <v>1</v>
      </c>
      <c r="F621">
        <v>1</v>
      </c>
      <c r="G621">
        <v>0.26100000000000001</v>
      </c>
      <c r="H621">
        <v>0</v>
      </c>
      <c r="I621" t="s">
        <v>0</v>
      </c>
      <c r="J621" t="s">
        <v>59</v>
      </c>
      <c r="K621">
        <v>0</v>
      </c>
      <c r="L621" t="s">
        <v>60</v>
      </c>
      <c r="M621">
        <v>1</v>
      </c>
      <c r="N621" t="s">
        <v>67</v>
      </c>
      <c r="O621" s="2">
        <v>0.47569444444444442</v>
      </c>
      <c r="P621">
        <f>0.0006156696*3600</f>
        <v>2.2164105599999999</v>
      </c>
      <c r="Q621">
        <f>0.0020886261*3600</f>
        <v>7.5190539600000008</v>
      </c>
    </row>
    <row r="622" spans="1:17" x14ac:dyDescent="0.3">
      <c r="A622" s="4" t="s">
        <v>47</v>
      </c>
      <c r="B622" s="6" t="s">
        <v>237</v>
      </c>
      <c r="C622">
        <v>298.82660800000002</v>
      </c>
      <c r="D622">
        <v>294.77933200000001</v>
      </c>
      <c r="E622">
        <v>1</v>
      </c>
      <c r="F622">
        <v>1</v>
      </c>
      <c r="G622">
        <v>0.26100000000000001</v>
      </c>
      <c r="H622">
        <v>0</v>
      </c>
      <c r="I622" t="s">
        <v>0</v>
      </c>
      <c r="J622" t="s">
        <v>59</v>
      </c>
      <c r="K622">
        <v>0</v>
      </c>
      <c r="L622" t="s">
        <v>60</v>
      </c>
      <c r="M622">
        <v>1</v>
      </c>
      <c r="N622" t="s">
        <v>67</v>
      </c>
      <c r="O622" s="2">
        <v>0.47569444444444442</v>
      </c>
      <c r="P622">
        <f>0.0006966636*3600</f>
        <v>2.50798896</v>
      </c>
      <c r="Q622">
        <f>0.0020852998*3600</f>
        <v>7.5070792800000001</v>
      </c>
    </row>
    <row r="623" spans="1:17" x14ac:dyDescent="0.3">
      <c r="A623" s="4" t="s">
        <v>47</v>
      </c>
      <c r="B623" s="6" t="s">
        <v>238</v>
      </c>
      <c r="C623">
        <v>298.82690100000002</v>
      </c>
      <c r="D623">
        <v>294.77923900000002</v>
      </c>
      <c r="E623">
        <v>1</v>
      </c>
      <c r="F623">
        <v>1</v>
      </c>
      <c r="G623">
        <v>0.26100000000000001</v>
      </c>
      <c r="H623">
        <v>0</v>
      </c>
      <c r="I623" t="s">
        <v>0</v>
      </c>
      <c r="J623" t="s">
        <v>59</v>
      </c>
      <c r="K623">
        <v>0</v>
      </c>
      <c r="L623" t="s">
        <v>60</v>
      </c>
      <c r="M623">
        <v>1</v>
      </c>
      <c r="N623" t="s">
        <v>67</v>
      </c>
      <c r="O623" s="2">
        <v>0.47569444444444442</v>
      </c>
      <c r="P623">
        <f>0.0006525097*3600</f>
        <v>2.3490349200000002</v>
      </c>
      <c r="Q623">
        <f>0.0020172731*3600</f>
        <v>7.2621831600000002</v>
      </c>
    </row>
    <row r="624" spans="1:17" x14ac:dyDescent="0.3">
      <c r="A624" s="4" t="s">
        <v>47</v>
      </c>
      <c r="B624" s="6" t="s">
        <v>239</v>
      </c>
      <c r="C624">
        <v>298.826277</v>
      </c>
      <c r="D624">
        <v>294.77927699999998</v>
      </c>
      <c r="E624">
        <v>1</v>
      </c>
      <c r="F624">
        <v>1</v>
      </c>
      <c r="G624">
        <v>0.26100000000000001</v>
      </c>
      <c r="H624">
        <v>0</v>
      </c>
      <c r="I624" t="s">
        <v>0</v>
      </c>
      <c r="J624" t="s">
        <v>59</v>
      </c>
      <c r="K624">
        <v>0</v>
      </c>
      <c r="L624" t="s">
        <v>60</v>
      </c>
      <c r="M624">
        <v>1</v>
      </c>
      <c r="N624" t="s">
        <v>67</v>
      </c>
      <c r="O624" s="2">
        <v>0.47569444444444442</v>
      </c>
      <c r="P624">
        <f>0.0006255722*3600</f>
        <v>2.2520599199999998</v>
      </c>
      <c r="Q624">
        <f>0.0020564183*3600</f>
        <v>7.40310588</v>
      </c>
    </row>
    <row r="625" spans="1:17" x14ac:dyDescent="0.3">
      <c r="A625" s="4" t="s">
        <v>47</v>
      </c>
      <c r="B625" s="6" t="s">
        <v>240</v>
      </c>
      <c r="C625">
        <v>298.82670999999999</v>
      </c>
      <c r="D625">
        <v>294.77928800000001</v>
      </c>
      <c r="E625">
        <v>1</v>
      </c>
      <c r="F625">
        <v>1</v>
      </c>
      <c r="G625">
        <v>0.26100000000000001</v>
      </c>
      <c r="H625">
        <v>0</v>
      </c>
      <c r="I625" t="s">
        <v>0</v>
      </c>
      <c r="J625" t="s">
        <v>59</v>
      </c>
      <c r="K625">
        <v>0</v>
      </c>
      <c r="L625" t="s">
        <v>60</v>
      </c>
      <c r="M625">
        <v>1</v>
      </c>
      <c r="N625" t="s">
        <v>67</v>
      </c>
      <c r="O625" s="2">
        <v>0.47569444444444442</v>
      </c>
      <c r="P625">
        <f>0.0006239337*3600</f>
        <v>2.2461613200000001</v>
      </c>
      <c r="Q625">
        <f>0.0020728973*3600</f>
        <v>7.4624302799999995</v>
      </c>
    </row>
    <row r="626" spans="1:17" x14ac:dyDescent="0.3">
      <c r="A626" s="4" t="s">
        <v>47</v>
      </c>
      <c r="B626" s="6" t="s">
        <v>241</v>
      </c>
      <c r="C626">
        <v>298.826796</v>
      </c>
      <c r="D626">
        <v>294.77929599999999</v>
      </c>
      <c r="E626">
        <v>1</v>
      </c>
      <c r="F626">
        <v>1</v>
      </c>
      <c r="G626">
        <v>0.26100000000000001</v>
      </c>
      <c r="H626">
        <v>0</v>
      </c>
      <c r="I626" t="s">
        <v>0</v>
      </c>
      <c r="J626" t="s">
        <v>59</v>
      </c>
      <c r="K626">
        <v>0</v>
      </c>
      <c r="L626" t="s">
        <v>60</v>
      </c>
      <c r="M626">
        <v>1</v>
      </c>
      <c r="N626" t="s">
        <v>67</v>
      </c>
      <c r="O626" s="2">
        <v>0.47569444444444442</v>
      </c>
      <c r="P626">
        <f>0.0005857886*3600</f>
        <v>2.1088389600000004</v>
      </c>
      <c r="Q626">
        <f>0.0020767634*3600</f>
        <v>7.4763482399999992</v>
      </c>
    </row>
    <row r="627" spans="1:17" x14ac:dyDescent="0.3">
      <c r="A627" s="4" t="s">
        <v>47</v>
      </c>
      <c r="B627" s="6" t="s">
        <v>242</v>
      </c>
      <c r="C627">
        <v>298.82672700000001</v>
      </c>
      <c r="D627">
        <v>294.77921600000002</v>
      </c>
      <c r="E627">
        <v>1</v>
      </c>
      <c r="F627">
        <v>1</v>
      </c>
      <c r="G627">
        <v>0.26100000000000001</v>
      </c>
      <c r="H627">
        <v>0</v>
      </c>
      <c r="I627" t="s">
        <v>0</v>
      </c>
      <c r="J627" t="s">
        <v>59</v>
      </c>
      <c r="K627">
        <v>0</v>
      </c>
      <c r="L627" t="s">
        <v>60</v>
      </c>
      <c r="M627">
        <v>1</v>
      </c>
      <c r="N627" t="s">
        <v>67</v>
      </c>
      <c r="O627" s="2">
        <v>0.47569444444444442</v>
      </c>
      <c r="P627">
        <f>0.0006437578*3600</f>
        <v>2.3175280799999998</v>
      </c>
      <c r="Q627">
        <f>0.0020184868*3600</f>
        <v>7.2665524800000005</v>
      </c>
    </row>
    <row r="628" spans="1:17" x14ac:dyDescent="0.3">
      <c r="A628" s="4" t="s">
        <v>47</v>
      </c>
      <c r="B628" s="6" t="s">
        <v>243</v>
      </c>
      <c r="C628">
        <v>298.82554800000003</v>
      </c>
      <c r="D628">
        <v>294.77918499999998</v>
      </c>
      <c r="E628">
        <v>1</v>
      </c>
      <c r="F628">
        <v>1</v>
      </c>
      <c r="G628">
        <v>0.26100000000000001</v>
      </c>
      <c r="H628">
        <v>0</v>
      </c>
      <c r="I628" t="s">
        <v>0</v>
      </c>
      <c r="J628" t="s">
        <v>59</v>
      </c>
      <c r="K628">
        <v>0</v>
      </c>
      <c r="L628" t="s">
        <v>60</v>
      </c>
      <c r="M628">
        <v>1</v>
      </c>
      <c r="N628" t="s">
        <v>67</v>
      </c>
      <c r="O628" s="2">
        <v>0.47569444444444442</v>
      </c>
      <c r="P628">
        <f>0.0006500971*3600</f>
        <v>2.3403495599999999</v>
      </c>
      <c r="Q628">
        <f>0.0020041646*3600</f>
        <v>7.2149925599999998</v>
      </c>
    </row>
    <row r="629" spans="1:17" x14ac:dyDescent="0.3">
      <c r="A629" s="4" t="s">
        <v>47</v>
      </c>
      <c r="B629" s="6" t="s">
        <v>244</v>
      </c>
      <c r="C629">
        <v>298.82603699999999</v>
      </c>
      <c r="D629">
        <v>294.779225</v>
      </c>
      <c r="E629">
        <v>1</v>
      </c>
      <c r="F629">
        <v>1</v>
      </c>
      <c r="G629">
        <v>0.26100000000000001</v>
      </c>
      <c r="H629">
        <v>0</v>
      </c>
      <c r="I629" t="s">
        <v>0</v>
      </c>
      <c r="J629" t="s">
        <v>59</v>
      </c>
      <c r="K629">
        <v>0</v>
      </c>
      <c r="L629" t="s">
        <v>60</v>
      </c>
      <c r="M629">
        <v>1</v>
      </c>
      <c r="N629" t="s">
        <v>67</v>
      </c>
      <c r="O629" s="2">
        <v>0.47569444444444442</v>
      </c>
      <c r="P629">
        <f>0.0006056693*3600</f>
        <v>2.1804094799999998</v>
      </c>
      <c r="Q629">
        <f>0.002060464*3600</f>
        <v>7.4176704000000004</v>
      </c>
    </row>
    <row r="630" spans="1:17" x14ac:dyDescent="0.3">
      <c r="A630" s="4" t="s">
        <v>47</v>
      </c>
      <c r="B630" s="6" t="s">
        <v>245</v>
      </c>
      <c r="C630">
        <v>298.82604500000002</v>
      </c>
      <c r="D630">
        <v>294.77925900000002</v>
      </c>
      <c r="E630">
        <v>1</v>
      </c>
      <c r="F630">
        <v>1</v>
      </c>
      <c r="G630">
        <v>0.26100000000000001</v>
      </c>
      <c r="H630">
        <v>0</v>
      </c>
      <c r="I630" t="s">
        <v>0</v>
      </c>
      <c r="J630" t="s">
        <v>59</v>
      </c>
      <c r="K630">
        <v>0</v>
      </c>
      <c r="L630" t="s">
        <v>60</v>
      </c>
      <c r="M630">
        <v>1</v>
      </c>
      <c r="N630" t="s">
        <v>67</v>
      </c>
      <c r="O630" s="2">
        <v>0.47569444444444442</v>
      </c>
      <c r="P630">
        <f>0.0006285225*3600</f>
        <v>2.2626810000000002</v>
      </c>
      <c r="Q630">
        <f>0.0020865177*3600</f>
        <v>7.511463720000001</v>
      </c>
    </row>
    <row r="631" spans="1:17" x14ac:dyDescent="0.3">
      <c r="A631" s="4" t="s">
        <v>47</v>
      </c>
      <c r="B631" s="6" t="s">
        <v>246</v>
      </c>
      <c r="C631">
        <v>298.82625000000002</v>
      </c>
      <c r="D631">
        <v>294.77914399999997</v>
      </c>
      <c r="E631">
        <v>1</v>
      </c>
      <c r="F631">
        <v>1</v>
      </c>
      <c r="G631">
        <v>0.26100000000000001</v>
      </c>
      <c r="H631">
        <v>0</v>
      </c>
      <c r="I631" t="s">
        <v>0</v>
      </c>
      <c r="J631" t="s">
        <v>59</v>
      </c>
      <c r="K631">
        <v>0</v>
      </c>
      <c r="L631" t="s">
        <v>60</v>
      </c>
      <c r="M631">
        <v>1</v>
      </c>
      <c r="N631" t="s">
        <v>67</v>
      </c>
      <c r="O631" s="2">
        <v>0.47569444444444442</v>
      </c>
      <c r="P631">
        <f>0.0006770993*3600</f>
        <v>2.4375574800000002</v>
      </c>
      <c r="Q631">
        <f>0.0019595225*3600</f>
        <v>7.0542810000000005</v>
      </c>
    </row>
    <row r="632" spans="1:17" x14ac:dyDescent="0.3">
      <c r="A632" s="4" t="s">
        <v>47</v>
      </c>
      <c r="B632" s="6" t="s">
        <v>247</v>
      </c>
      <c r="C632">
        <v>298.826505</v>
      </c>
      <c r="D632">
        <v>294.77938499999999</v>
      </c>
      <c r="E632">
        <v>1</v>
      </c>
      <c r="F632">
        <v>1</v>
      </c>
      <c r="G632">
        <v>0.26100000000000001</v>
      </c>
      <c r="H632">
        <v>0</v>
      </c>
      <c r="I632" t="s">
        <v>0</v>
      </c>
      <c r="J632" t="s">
        <v>59</v>
      </c>
      <c r="K632">
        <v>0</v>
      </c>
      <c r="L632" t="s">
        <v>60</v>
      </c>
      <c r="M632">
        <v>1</v>
      </c>
      <c r="N632" t="s">
        <v>67</v>
      </c>
      <c r="O632" s="2">
        <v>0.47569444444444442</v>
      </c>
      <c r="P632">
        <f>0.0007122632*3600</f>
        <v>2.5641475200000001</v>
      </c>
      <c r="Q632">
        <f>0.0021968496*3600</f>
        <v>7.9086585600000001</v>
      </c>
    </row>
    <row r="633" spans="1:17" x14ac:dyDescent="0.3">
      <c r="A633" s="4" t="s">
        <v>47</v>
      </c>
      <c r="B633" s="6" t="s">
        <v>248</v>
      </c>
      <c r="C633">
        <v>298.82617900000002</v>
      </c>
      <c r="D633">
        <v>294.77982800000001</v>
      </c>
      <c r="E633">
        <v>1</v>
      </c>
      <c r="F633">
        <v>1</v>
      </c>
      <c r="G633">
        <v>0.26100000000000001</v>
      </c>
      <c r="H633">
        <v>0</v>
      </c>
      <c r="I633" t="s">
        <v>0</v>
      </c>
      <c r="J633" t="s">
        <v>59</v>
      </c>
      <c r="K633">
        <v>0</v>
      </c>
      <c r="L633" t="s">
        <v>60</v>
      </c>
      <c r="M633">
        <v>1</v>
      </c>
      <c r="N633" t="s">
        <v>67</v>
      </c>
      <c r="O633" s="2">
        <v>0.47569444444444442</v>
      </c>
      <c r="P633">
        <f>0.0004345886*3600</f>
        <v>1.56451896</v>
      </c>
      <c r="Q633">
        <f>0.0026625585*3600</f>
        <v>9.5852105999999999</v>
      </c>
    </row>
    <row r="634" spans="1:17" x14ac:dyDescent="0.3">
      <c r="A634" s="4" t="s">
        <v>47</v>
      </c>
      <c r="B634" s="6" t="s">
        <v>249</v>
      </c>
      <c r="C634">
        <v>298.826548</v>
      </c>
      <c r="D634">
        <v>294.77956399999999</v>
      </c>
      <c r="E634">
        <v>1</v>
      </c>
      <c r="F634">
        <v>1</v>
      </c>
      <c r="G634">
        <v>0.26100000000000001</v>
      </c>
      <c r="H634">
        <v>0</v>
      </c>
      <c r="I634" t="s">
        <v>0</v>
      </c>
      <c r="J634" t="s">
        <v>59</v>
      </c>
      <c r="K634">
        <v>0</v>
      </c>
      <c r="L634" t="s">
        <v>60</v>
      </c>
      <c r="M634">
        <v>1</v>
      </c>
      <c r="N634" t="s">
        <v>67</v>
      </c>
      <c r="O634" s="2">
        <v>0.47569444444444442</v>
      </c>
      <c r="P634">
        <f>0.0004266591*3600</f>
        <v>1.5359727599999999</v>
      </c>
      <c r="Q634">
        <f>0.0024109773*3600</f>
        <v>8.6795182799999999</v>
      </c>
    </row>
    <row r="635" spans="1:17" x14ac:dyDescent="0.3">
      <c r="A635" s="4" t="s">
        <v>47</v>
      </c>
      <c r="B635" s="6" t="s">
        <v>250</v>
      </c>
      <c r="C635">
        <v>298.826257</v>
      </c>
      <c r="D635">
        <v>294.77939600000002</v>
      </c>
      <c r="E635">
        <v>1</v>
      </c>
      <c r="F635">
        <v>1</v>
      </c>
      <c r="G635">
        <v>0.26100000000000001</v>
      </c>
      <c r="H635">
        <v>0</v>
      </c>
      <c r="I635" t="s">
        <v>0</v>
      </c>
      <c r="J635" t="s">
        <v>59</v>
      </c>
      <c r="K635">
        <v>0</v>
      </c>
      <c r="L635" t="s">
        <v>60</v>
      </c>
      <c r="M635">
        <v>1</v>
      </c>
      <c r="N635" t="s">
        <v>67</v>
      </c>
      <c r="O635" s="2">
        <v>0.47569444444444442</v>
      </c>
      <c r="P635">
        <f>0.0006768765*3600</f>
        <v>2.4367554</v>
      </c>
      <c r="Q635">
        <f>0.0022305628*3600</f>
        <v>8.0300260800000007</v>
      </c>
    </row>
    <row r="636" spans="1:17" x14ac:dyDescent="0.3">
      <c r="A636" s="4" t="s">
        <v>47</v>
      </c>
      <c r="B636" s="6" t="s">
        <v>251</v>
      </c>
      <c r="C636">
        <v>298.82654400000001</v>
      </c>
      <c r="D636">
        <v>294.77937600000001</v>
      </c>
      <c r="E636">
        <v>1</v>
      </c>
      <c r="F636">
        <v>1</v>
      </c>
      <c r="G636">
        <v>0.26100000000000001</v>
      </c>
      <c r="H636">
        <v>0</v>
      </c>
      <c r="I636" t="s">
        <v>0</v>
      </c>
      <c r="J636" t="s">
        <v>59</v>
      </c>
      <c r="K636">
        <v>0</v>
      </c>
      <c r="L636" t="s">
        <v>60</v>
      </c>
      <c r="M636">
        <v>1</v>
      </c>
      <c r="N636" t="s">
        <v>67</v>
      </c>
      <c r="O636" s="2">
        <v>0.47569444444444442</v>
      </c>
      <c r="P636">
        <f>0.0006470917*3600</f>
        <v>2.3295301200000003</v>
      </c>
      <c r="Q636">
        <f>0.00219087*3600</f>
        <v>7.8871320000000003</v>
      </c>
    </row>
    <row r="637" spans="1:17" x14ac:dyDescent="0.3">
      <c r="A637" s="4" t="s">
        <v>47</v>
      </c>
      <c r="B637" s="6" t="s">
        <v>252</v>
      </c>
      <c r="C637">
        <v>298.82717600000001</v>
      </c>
      <c r="D637">
        <v>294.77913999999998</v>
      </c>
      <c r="E637">
        <v>1</v>
      </c>
      <c r="F637">
        <v>1</v>
      </c>
      <c r="G637">
        <v>0.26100000000000001</v>
      </c>
      <c r="H637">
        <v>0</v>
      </c>
      <c r="I637" t="s">
        <v>0</v>
      </c>
      <c r="J637" t="s">
        <v>59</v>
      </c>
      <c r="K637">
        <v>0</v>
      </c>
      <c r="L637" t="s">
        <v>60</v>
      </c>
      <c r="M637">
        <v>1</v>
      </c>
      <c r="N637" t="s">
        <v>67</v>
      </c>
      <c r="O637" s="2">
        <v>0.47569444444444442</v>
      </c>
      <c r="P637">
        <f>0.0010073093*3600</f>
        <v>3.6263134799999999</v>
      </c>
      <c r="Q637">
        <f>0.0019708682*3600</f>
        <v>7.095125519999999</v>
      </c>
    </row>
    <row r="638" spans="1:17" x14ac:dyDescent="0.3">
      <c r="A638" s="4" t="s">
        <v>47</v>
      </c>
      <c r="B638" s="6" t="s">
        <v>253</v>
      </c>
      <c r="C638">
        <v>298.82690100000002</v>
      </c>
      <c r="D638">
        <v>294.77922799999999</v>
      </c>
      <c r="E638">
        <v>1</v>
      </c>
      <c r="F638">
        <v>1</v>
      </c>
      <c r="G638">
        <v>0.26100000000000001</v>
      </c>
      <c r="H638">
        <v>0</v>
      </c>
      <c r="I638" t="s">
        <v>0</v>
      </c>
      <c r="J638" t="s">
        <v>59</v>
      </c>
      <c r="K638">
        <v>0</v>
      </c>
      <c r="L638" t="s">
        <v>60</v>
      </c>
      <c r="M638">
        <v>1</v>
      </c>
      <c r="N638" t="s">
        <v>67</v>
      </c>
      <c r="O638" s="2">
        <v>0.47569444444444442</v>
      </c>
      <c r="P638">
        <f>0.0010093339*3600</f>
        <v>3.63360204</v>
      </c>
      <c r="Q638">
        <f>0.0020528845*3600</f>
        <v>7.3903842000000006</v>
      </c>
    </row>
    <row r="639" spans="1:17" x14ac:dyDescent="0.3">
      <c r="A639" s="4" t="s">
        <v>47</v>
      </c>
      <c r="B639" s="6" t="s">
        <v>254</v>
      </c>
      <c r="C639">
        <v>298.82683700000001</v>
      </c>
      <c r="D639">
        <v>294.77924899999999</v>
      </c>
      <c r="E639">
        <v>1</v>
      </c>
      <c r="F639">
        <v>1</v>
      </c>
      <c r="G639">
        <v>0.26100000000000001</v>
      </c>
      <c r="H639">
        <v>0</v>
      </c>
      <c r="I639" t="s">
        <v>0</v>
      </c>
      <c r="J639" t="s">
        <v>59</v>
      </c>
      <c r="K639">
        <v>0</v>
      </c>
      <c r="L639" t="s">
        <v>60</v>
      </c>
      <c r="M639">
        <v>1</v>
      </c>
      <c r="N639" t="s">
        <v>67</v>
      </c>
      <c r="O639" s="2">
        <v>0.47569444444444442</v>
      </c>
      <c r="P639">
        <f>0.0009107688*3600</f>
        <v>3.2787676800000001</v>
      </c>
      <c r="Q639">
        <f>0.002089534*3600</f>
        <v>7.5223224000000002</v>
      </c>
    </row>
    <row r="640" spans="1:17" x14ac:dyDescent="0.3">
      <c r="A640" s="4" t="s">
        <v>47</v>
      </c>
      <c r="B640" s="6" t="s">
        <v>255</v>
      </c>
      <c r="C640">
        <v>298.82665800000001</v>
      </c>
      <c r="D640">
        <v>294.77926300000001</v>
      </c>
      <c r="E640">
        <v>1</v>
      </c>
      <c r="F640">
        <v>1</v>
      </c>
      <c r="G640">
        <v>0.26100000000000001</v>
      </c>
      <c r="H640">
        <v>0</v>
      </c>
      <c r="I640" t="s">
        <v>0</v>
      </c>
      <c r="J640" t="s">
        <v>59</v>
      </c>
      <c r="K640">
        <v>0</v>
      </c>
      <c r="L640" t="s">
        <v>60</v>
      </c>
      <c r="M640">
        <v>1</v>
      </c>
      <c r="N640" t="s">
        <v>67</v>
      </c>
      <c r="O640" s="2">
        <v>0.47569444444444442</v>
      </c>
      <c r="P640">
        <f>0.0008805137*3600</f>
        <v>3.16984932</v>
      </c>
      <c r="Q640">
        <f>0.0020896889*3600</f>
        <v>7.5228800400000004</v>
      </c>
    </row>
    <row r="641" spans="1:18" x14ac:dyDescent="0.3">
      <c r="A641" s="4" t="s">
        <v>47</v>
      </c>
      <c r="B641" s="6" t="s">
        <v>256</v>
      </c>
      <c r="C641">
        <v>298.82667400000003</v>
      </c>
      <c r="D641">
        <v>294.77941499999997</v>
      </c>
      <c r="E641">
        <v>1</v>
      </c>
      <c r="F641">
        <v>1</v>
      </c>
      <c r="G641">
        <v>0.26100000000000001</v>
      </c>
      <c r="H641">
        <v>0</v>
      </c>
      <c r="I641" t="s">
        <v>0</v>
      </c>
      <c r="J641" t="s">
        <v>59</v>
      </c>
      <c r="K641">
        <v>0</v>
      </c>
      <c r="L641" t="s">
        <v>60</v>
      </c>
      <c r="M641">
        <v>1</v>
      </c>
      <c r="N641" t="s">
        <v>67</v>
      </c>
      <c r="O641" s="2">
        <v>0.47569444444444442</v>
      </c>
      <c r="P641">
        <f>0.0008656549*3600</f>
        <v>3.1163576399999999</v>
      </c>
      <c r="Q641">
        <f>0.0022413814*3600</f>
        <v>8.0689730399999995</v>
      </c>
    </row>
    <row r="642" spans="1:18" x14ac:dyDescent="0.3">
      <c r="A642" s="4" t="s">
        <v>47</v>
      </c>
      <c r="B642" s="6" t="s">
        <v>257</v>
      </c>
      <c r="C642">
        <v>298.82700399999999</v>
      </c>
      <c r="D642">
        <v>294.77936199999999</v>
      </c>
      <c r="E642">
        <v>1</v>
      </c>
      <c r="F642">
        <v>1</v>
      </c>
      <c r="G642">
        <v>0.26100000000000001</v>
      </c>
      <c r="H642">
        <v>0</v>
      </c>
      <c r="I642" t="s">
        <v>0</v>
      </c>
      <c r="J642" t="s">
        <v>59</v>
      </c>
      <c r="K642">
        <v>0</v>
      </c>
      <c r="L642" t="s">
        <v>60</v>
      </c>
      <c r="M642">
        <v>1</v>
      </c>
      <c r="N642" t="s">
        <v>67</v>
      </c>
      <c r="O642" s="2">
        <v>0.47569444444444442</v>
      </c>
      <c r="P642">
        <f>0.0008690156*3600</f>
        <v>3.1284561599999998</v>
      </c>
      <c r="Q642">
        <f>0.0021755945*3600</f>
        <v>7.8321402000000004</v>
      </c>
    </row>
    <row r="643" spans="1:18" x14ac:dyDescent="0.3">
      <c r="A643" s="4" t="s">
        <v>47</v>
      </c>
      <c r="B643" s="6" t="s">
        <v>258</v>
      </c>
      <c r="C643">
        <v>298.82727699999998</v>
      </c>
      <c r="D643">
        <v>294.779338</v>
      </c>
      <c r="E643">
        <v>1</v>
      </c>
      <c r="F643">
        <v>1</v>
      </c>
      <c r="G643">
        <v>0.26100000000000001</v>
      </c>
      <c r="H643">
        <v>0</v>
      </c>
      <c r="I643" t="s">
        <v>0</v>
      </c>
      <c r="J643" t="s">
        <v>59</v>
      </c>
      <c r="K643">
        <v>0</v>
      </c>
      <c r="L643" t="s">
        <v>60</v>
      </c>
      <c r="M643">
        <v>1</v>
      </c>
      <c r="N643" t="s">
        <v>67</v>
      </c>
      <c r="O643" s="2">
        <v>0.47569444444444442</v>
      </c>
      <c r="P643">
        <f>0.000882143*3600</f>
        <v>3.1757147999999997</v>
      </c>
      <c r="Q643">
        <f>0.0021530313*3600</f>
        <v>7.750912679999999</v>
      </c>
    </row>
    <row r="644" spans="1:18" x14ac:dyDescent="0.3">
      <c r="A644" s="4" t="s">
        <v>47</v>
      </c>
      <c r="B644" s="6" t="s">
        <v>259</v>
      </c>
      <c r="C644">
        <v>298.82652400000001</v>
      </c>
      <c r="D644">
        <v>294.77936399999999</v>
      </c>
      <c r="E644">
        <v>1</v>
      </c>
      <c r="F644">
        <v>1</v>
      </c>
      <c r="G644">
        <v>0.26100000000000001</v>
      </c>
      <c r="H644">
        <v>0</v>
      </c>
      <c r="I644" t="s">
        <v>0</v>
      </c>
      <c r="J644" t="s">
        <v>59</v>
      </c>
      <c r="K644">
        <v>0</v>
      </c>
      <c r="L644" t="s">
        <v>60</v>
      </c>
      <c r="M644">
        <v>1</v>
      </c>
      <c r="N644" t="s">
        <v>67</v>
      </c>
      <c r="O644" s="2">
        <v>0.47569444444444442</v>
      </c>
      <c r="P644">
        <f>0.0009273813*3600</f>
        <v>3.33857268</v>
      </c>
      <c r="Q644">
        <f>0.002202418*3600</f>
        <v>7.9287047999999993</v>
      </c>
    </row>
    <row r="645" spans="1:18" x14ac:dyDescent="0.3">
      <c r="A645" s="4" t="s">
        <v>47</v>
      </c>
      <c r="B645" s="6" t="s">
        <v>260</v>
      </c>
      <c r="C645">
        <v>298.82615800000002</v>
      </c>
      <c r="D645">
        <v>294.77921700000002</v>
      </c>
      <c r="E645">
        <v>1</v>
      </c>
      <c r="F645">
        <v>1</v>
      </c>
      <c r="G645">
        <v>0.26100000000000001</v>
      </c>
      <c r="H645">
        <v>0</v>
      </c>
      <c r="I645" t="s">
        <v>0</v>
      </c>
      <c r="J645" t="s">
        <v>59</v>
      </c>
      <c r="K645">
        <v>0</v>
      </c>
      <c r="L645" t="s">
        <v>60</v>
      </c>
      <c r="M645">
        <v>1</v>
      </c>
      <c r="N645" t="s">
        <v>67</v>
      </c>
      <c r="O645" s="2">
        <v>0.47569444444444442</v>
      </c>
      <c r="P645">
        <f>0.0009543765*3600</f>
        <v>3.4357554000000001</v>
      </c>
      <c r="Q645">
        <f>0.0020554635*3600</f>
        <v>7.3996686000000009</v>
      </c>
    </row>
    <row r="646" spans="1:18" x14ac:dyDescent="0.3">
      <c r="A646" s="4" t="s">
        <v>47</v>
      </c>
      <c r="B646" s="6" t="s">
        <v>261</v>
      </c>
      <c r="C646">
        <v>298.82630599999999</v>
      </c>
      <c r="D646">
        <v>294.77927799999998</v>
      </c>
      <c r="E646">
        <v>1</v>
      </c>
      <c r="F646">
        <v>1</v>
      </c>
      <c r="G646">
        <v>0.26100000000000001</v>
      </c>
      <c r="H646">
        <v>0</v>
      </c>
      <c r="I646" t="s">
        <v>0</v>
      </c>
      <c r="J646" t="s">
        <v>59</v>
      </c>
      <c r="K646">
        <v>0</v>
      </c>
      <c r="L646" t="s">
        <v>60</v>
      </c>
      <c r="M646">
        <v>1</v>
      </c>
      <c r="N646" t="s">
        <v>67</v>
      </c>
      <c r="O646" s="2">
        <v>0.47569444444444442</v>
      </c>
      <c r="P646">
        <f>0.0008242964*3600</f>
        <v>2.9674670399999998</v>
      </c>
      <c r="Q646">
        <f>0.0020922528*3600</f>
        <v>7.5321100799999998</v>
      </c>
    </row>
    <row r="647" spans="1:18" x14ac:dyDescent="0.3">
      <c r="A647" s="4" t="s">
        <v>47</v>
      </c>
      <c r="B647" s="6" t="s">
        <v>262</v>
      </c>
      <c r="C647">
        <v>298.82664399999999</v>
      </c>
      <c r="D647">
        <v>294.77927099999999</v>
      </c>
      <c r="E647">
        <v>1</v>
      </c>
      <c r="F647">
        <v>1</v>
      </c>
      <c r="G647">
        <v>0.26100000000000001</v>
      </c>
      <c r="H647">
        <v>0</v>
      </c>
      <c r="I647" t="s">
        <v>0</v>
      </c>
      <c r="J647" t="s">
        <v>59</v>
      </c>
      <c r="K647">
        <v>0</v>
      </c>
      <c r="L647" t="s">
        <v>60</v>
      </c>
      <c r="M647">
        <v>1</v>
      </c>
      <c r="N647" t="s">
        <v>67</v>
      </c>
      <c r="O647" s="2">
        <v>0.47569444444444442</v>
      </c>
      <c r="P647">
        <f>0.0008316725*3600</f>
        <v>2.994021</v>
      </c>
      <c r="Q647">
        <f>0.0020999943*3600</f>
        <v>7.55997948</v>
      </c>
    </row>
    <row r="648" spans="1:18" x14ac:dyDescent="0.3">
      <c r="A648" s="4" t="s">
        <v>47</v>
      </c>
      <c r="B648" s="6" t="s">
        <v>263</v>
      </c>
      <c r="C648">
        <v>298.82621499999999</v>
      </c>
      <c r="D648">
        <v>294.77919800000001</v>
      </c>
      <c r="E648">
        <v>1</v>
      </c>
      <c r="F648">
        <v>1</v>
      </c>
      <c r="G648">
        <v>0.26100000000000001</v>
      </c>
      <c r="H648">
        <v>0</v>
      </c>
      <c r="I648" t="s">
        <v>0</v>
      </c>
      <c r="J648" t="s">
        <v>59</v>
      </c>
      <c r="K648">
        <v>0</v>
      </c>
      <c r="L648" t="s">
        <v>60</v>
      </c>
      <c r="M648">
        <v>1</v>
      </c>
      <c r="N648" t="s">
        <v>67</v>
      </c>
      <c r="O648" s="2">
        <v>0.47638888888888892</v>
      </c>
      <c r="P648">
        <f>0.0008863033*3600</f>
        <v>3.1906918799999997</v>
      </c>
      <c r="Q648">
        <f>0.0020425175*3600</f>
        <v>7.3530629999999997</v>
      </c>
    </row>
    <row r="649" spans="1:18" x14ac:dyDescent="0.3">
      <c r="A649" s="4" t="s">
        <v>47</v>
      </c>
      <c r="B649" s="6" t="s">
        <v>264</v>
      </c>
      <c r="C649">
        <v>298.82676199999997</v>
      </c>
      <c r="D649">
        <v>294.77925900000002</v>
      </c>
      <c r="E649">
        <v>1</v>
      </c>
      <c r="F649">
        <v>1</v>
      </c>
      <c r="G649">
        <v>0.26100000000000001</v>
      </c>
      <c r="H649">
        <v>0</v>
      </c>
      <c r="I649" t="s">
        <v>0</v>
      </c>
      <c r="J649" t="s">
        <v>59</v>
      </c>
      <c r="K649">
        <v>0</v>
      </c>
      <c r="L649" t="s">
        <v>60</v>
      </c>
      <c r="M649">
        <v>1</v>
      </c>
      <c r="N649" t="s">
        <v>67</v>
      </c>
      <c r="O649" s="2">
        <v>0.47638888888888892</v>
      </c>
      <c r="P649">
        <f>0.0009558134*3600</f>
        <v>3.4409282400000003</v>
      </c>
      <c r="Q649">
        <f>0.0020789517*3600</f>
        <v>7.4842261200000006</v>
      </c>
    </row>
    <row r="650" spans="1:18" x14ac:dyDescent="0.3">
      <c r="A650" s="4" t="s">
        <v>47</v>
      </c>
      <c r="B650" s="5" t="s">
        <v>49</v>
      </c>
      <c r="C650">
        <v>202.34857600000001</v>
      </c>
      <c r="D650">
        <v>99.290318999999997</v>
      </c>
      <c r="E650">
        <v>502.99880000000002</v>
      </c>
      <c r="F650">
        <v>502.87720000000002</v>
      </c>
      <c r="G650">
        <v>0.26100000000000001</v>
      </c>
      <c r="H650">
        <v>1.746</v>
      </c>
      <c r="I650" t="s">
        <v>0</v>
      </c>
      <c r="J650" t="s">
        <v>50</v>
      </c>
      <c r="K650" t="s">
        <v>51</v>
      </c>
      <c r="L650">
        <v>0</v>
      </c>
      <c r="M650" t="s">
        <v>52</v>
      </c>
      <c r="N650">
        <v>1</v>
      </c>
      <c r="O650" t="s">
        <v>53</v>
      </c>
      <c r="P650" s="2">
        <v>0.4770833333333333</v>
      </c>
      <c r="Q650">
        <f>0.0018486501*3600</f>
        <v>6.6551403599999999</v>
      </c>
      <c r="R650">
        <f>-0.0008949775*3600</f>
        <v>-3.2219189999999998</v>
      </c>
    </row>
    <row r="651" spans="1:18" x14ac:dyDescent="0.3">
      <c r="A651" s="4" t="s">
        <v>47</v>
      </c>
      <c r="B651" s="6" t="s">
        <v>49</v>
      </c>
      <c r="C651">
        <v>2.3494640000000002</v>
      </c>
      <c r="D651">
        <v>300.71136100000001</v>
      </c>
      <c r="E651">
        <v>502.99939999999998</v>
      </c>
      <c r="F651">
        <v>502.8777</v>
      </c>
      <c r="G651">
        <v>0.26100000000000001</v>
      </c>
      <c r="H651">
        <v>1.746</v>
      </c>
      <c r="I651" t="s">
        <v>0</v>
      </c>
      <c r="J651" t="s">
        <v>50</v>
      </c>
      <c r="K651" t="s">
        <v>51</v>
      </c>
      <c r="L651">
        <v>0</v>
      </c>
      <c r="M651" t="s">
        <v>52</v>
      </c>
      <c r="N651">
        <v>1</v>
      </c>
      <c r="O651" t="s">
        <v>53</v>
      </c>
      <c r="P651" s="2">
        <v>0.4770833333333333</v>
      </c>
      <c r="Q651">
        <f>-0.0028813282*3600</f>
        <v>-10.37278152</v>
      </c>
      <c r="R651">
        <f>0.0006983028*3600</f>
        <v>2.5138900799999999</v>
      </c>
    </row>
    <row r="652" spans="1:18" x14ac:dyDescent="0.3">
      <c r="A652" s="4" t="s">
        <v>47</v>
      </c>
      <c r="B652" s="5" t="s">
        <v>57</v>
      </c>
      <c r="C652">
        <v>1.286063</v>
      </c>
      <c r="D652">
        <v>99.158488000000006</v>
      </c>
      <c r="E652">
        <v>37.385300000000001</v>
      </c>
      <c r="F652">
        <v>37.375399999999999</v>
      </c>
      <c r="G652">
        <v>0.26100000000000001</v>
      </c>
      <c r="H652">
        <v>0</v>
      </c>
      <c r="I652" t="s">
        <v>0</v>
      </c>
      <c r="J652" t="s">
        <v>50</v>
      </c>
      <c r="K652" t="s">
        <v>51</v>
      </c>
      <c r="L652">
        <v>0</v>
      </c>
      <c r="M652" t="s">
        <v>52</v>
      </c>
      <c r="N652">
        <v>1</v>
      </c>
      <c r="O652" t="s">
        <v>53</v>
      </c>
      <c r="P652" s="2">
        <v>0.47847222222222219</v>
      </c>
      <c r="Q652">
        <f>-0.0038380019*3600</f>
        <v>-13.81680684</v>
      </c>
      <c r="R652">
        <f>0.0010396157*3600</f>
        <v>3.7426165200000003</v>
      </c>
    </row>
    <row r="653" spans="1:18" x14ac:dyDescent="0.3">
      <c r="A653" s="4" t="s">
        <v>47</v>
      </c>
      <c r="B653" s="6" t="s">
        <v>57</v>
      </c>
      <c r="C653">
        <v>201.285878</v>
      </c>
      <c r="D653">
        <v>300.84131500000001</v>
      </c>
      <c r="E653">
        <v>37.385399999999997</v>
      </c>
      <c r="F653">
        <v>37.375500000000002</v>
      </c>
      <c r="G653">
        <v>0.26100000000000001</v>
      </c>
      <c r="H653">
        <v>0</v>
      </c>
      <c r="I653" t="s">
        <v>0</v>
      </c>
      <c r="J653" t="s">
        <v>50</v>
      </c>
      <c r="K653" t="s">
        <v>51</v>
      </c>
      <c r="L653">
        <v>0</v>
      </c>
      <c r="M653" t="s">
        <v>52</v>
      </c>
      <c r="N653">
        <v>1</v>
      </c>
      <c r="O653" t="s">
        <v>53</v>
      </c>
      <c r="P653" s="2">
        <v>0.47847222222222219</v>
      </c>
      <c r="Q653">
        <f>0.0021866168*3600</f>
        <v>7.8718204800000002</v>
      </c>
      <c r="R653">
        <f>-0.0012592784*3600</f>
        <v>-4.53340224</v>
      </c>
    </row>
    <row r="654" spans="1:18" x14ac:dyDescent="0.3">
      <c r="A654" s="4" t="s">
        <v>47</v>
      </c>
      <c r="B654" s="5" t="s">
        <v>265</v>
      </c>
      <c r="C654">
        <v>99.122291000000004</v>
      </c>
      <c r="D654">
        <v>109.25708299999999</v>
      </c>
      <c r="E654">
        <v>8.0441000000000003</v>
      </c>
      <c r="F654">
        <v>7.9577</v>
      </c>
      <c r="G654">
        <v>0.26100000000000001</v>
      </c>
      <c r="H654">
        <v>0</v>
      </c>
      <c r="I654" t="s">
        <v>0</v>
      </c>
      <c r="J654" t="s">
        <v>59</v>
      </c>
      <c r="K654">
        <v>3.4000000000000002E-2</v>
      </c>
      <c r="L654" t="s">
        <v>60</v>
      </c>
      <c r="M654">
        <v>1</v>
      </c>
      <c r="N654" t="s">
        <v>53</v>
      </c>
      <c r="O654" s="2">
        <v>0.47916666666666669</v>
      </c>
      <c r="P654">
        <f>-0.0008477836*3600</f>
        <v>-3.0520209600000001</v>
      </c>
      <c r="Q654">
        <f>-0.0027472862*3600</f>
        <v>-9.8902303199999988</v>
      </c>
    </row>
    <row r="655" spans="1:18" x14ac:dyDescent="0.3">
      <c r="A655" s="4" t="s">
        <v>47</v>
      </c>
      <c r="B655" s="5" t="s">
        <v>266</v>
      </c>
      <c r="C655">
        <v>99.122640000000004</v>
      </c>
      <c r="D655">
        <v>109.125601</v>
      </c>
      <c r="E655">
        <v>1</v>
      </c>
      <c r="F655">
        <v>1</v>
      </c>
      <c r="G655">
        <v>0.26100000000000001</v>
      </c>
      <c r="H655">
        <v>0</v>
      </c>
      <c r="I655" t="s">
        <v>0</v>
      </c>
      <c r="J655" t="s">
        <v>59</v>
      </c>
      <c r="K655">
        <v>0</v>
      </c>
      <c r="L655" t="s">
        <v>60</v>
      </c>
      <c r="M655">
        <v>1</v>
      </c>
      <c r="N655" t="s">
        <v>67</v>
      </c>
      <c r="O655" s="2">
        <v>0.47916666666666669</v>
      </c>
      <c r="P655">
        <f>-0.0010087852*3600</f>
        <v>-3.6316267199999999</v>
      </c>
      <c r="Q655">
        <f>-0.0026184472*3600</f>
        <v>-9.4264099199999993</v>
      </c>
    </row>
    <row r="656" spans="1:18" x14ac:dyDescent="0.3">
      <c r="A656" s="4" t="s">
        <v>47</v>
      </c>
      <c r="B656" s="5" t="s">
        <v>267</v>
      </c>
      <c r="C656">
        <v>99.122891999999993</v>
      </c>
      <c r="D656">
        <v>109.125649</v>
      </c>
      <c r="E656">
        <v>1</v>
      </c>
      <c r="F656">
        <v>1</v>
      </c>
      <c r="G656">
        <v>0.26100000000000001</v>
      </c>
      <c r="H656">
        <v>0</v>
      </c>
      <c r="I656" t="s">
        <v>0</v>
      </c>
      <c r="J656" t="s">
        <v>59</v>
      </c>
      <c r="K656">
        <v>0</v>
      </c>
      <c r="L656" t="s">
        <v>60</v>
      </c>
      <c r="M656">
        <v>1</v>
      </c>
      <c r="N656" t="s">
        <v>67</v>
      </c>
      <c r="O656" s="2">
        <v>0.47916666666666669</v>
      </c>
      <c r="P656">
        <f>-0.0010557074*3600</f>
        <v>-3.8005466400000003</v>
      </c>
      <c r="Q656">
        <f>-0.0025462296*3600</f>
        <v>-9.1664265599999997</v>
      </c>
    </row>
    <row r="657" spans="1:17" x14ac:dyDescent="0.3">
      <c r="A657" s="4" t="s">
        <v>47</v>
      </c>
      <c r="B657" s="5" t="s">
        <v>268</v>
      </c>
      <c r="C657">
        <v>99.122139000000004</v>
      </c>
      <c r="D657">
        <v>109.125523</v>
      </c>
      <c r="E657">
        <v>1</v>
      </c>
      <c r="F657">
        <v>1</v>
      </c>
      <c r="G657">
        <v>0.26100000000000001</v>
      </c>
      <c r="H657">
        <v>0</v>
      </c>
      <c r="I657" t="s">
        <v>0</v>
      </c>
      <c r="J657" t="s">
        <v>59</v>
      </c>
      <c r="K657">
        <v>0</v>
      </c>
      <c r="L657" t="s">
        <v>60</v>
      </c>
      <c r="M657">
        <v>1</v>
      </c>
      <c r="N657" t="s">
        <v>67</v>
      </c>
      <c r="O657" s="2">
        <v>0.47916666666666669</v>
      </c>
      <c r="P657">
        <f>-0.0010540871*3600</f>
        <v>-3.7947135599999999</v>
      </c>
      <c r="Q657">
        <f>-0.0026593136*3600</f>
        <v>-9.5735289600000009</v>
      </c>
    </row>
    <row r="658" spans="1:17" x14ac:dyDescent="0.3">
      <c r="A658" s="4" t="s">
        <v>47</v>
      </c>
      <c r="B658" s="5" t="s">
        <v>269</v>
      </c>
      <c r="C658">
        <v>99.122612000000004</v>
      </c>
      <c r="D658">
        <v>109.12567</v>
      </c>
      <c r="E658">
        <v>1</v>
      </c>
      <c r="F658">
        <v>1</v>
      </c>
      <c r="G658">
        <v>0.26100000000000001</v>
      </c>
      <c r="H658">
        <v>0</v>
      </c>
      <c r="I658" t="s">
        <v>0</v>
      </c>
      <c r="J658" t="s">
        <v>59</v>
      </c>
      <c r="K658">
        <v>0</v>
      </c>
      <c r="L658" t="s">
        <v>60</v>
      </c>
      <c r="M658">
        <v>1</v>
      </c>
      <c r="N658" t="s">
        <v>67</v>
      </c>
      <c r="O658" s="2">
        <v>0.47916666666666669</v>
      </c>
      <c r="P658">
        <f>-0.0009857438*3600</f>
        <v>-3.5486776799999995</v>
      </c>
      <c r="Q658">
        <f>-0.0025440214*3600</f>
        <v>-9.1584770400000011</v>
      </c>
    </row>
    <row r="659" spans="1:17" x14ac:dyDescent="0.3">
      <c r="A659" s="4" t="s">
        <v>47</v>
      </c>
      <c r="B659" s="5" t="s">
        <v>270</v>
      </c>
      <c r="C659">
        <v>99.122772999999995</v>
      </c>
      <c r="D659">
        <v>109.125609</v>
      </c>
      <c r="E659">
        <v>1</v>
      </c>
      <c r="F659">
        <v>1</v>
      </c>
      <c r="G659">
        <v>0.26100000000000001</v>
      </c>
      <c r="H659">
        <v>0</v>
      </c>
      <c r="I659" t="s">
        <v>0</v>
      </c>
      <c r="J659" t="s">
        <v>59</v>
      </c>
      <c r="K659">
        <v>0</v>
      </c>
      <c r="L659" t="s">
        <v>60</v>
      </c>
      <c r="M659">
        <v>1</v>
      </c>
      <c r="N659" t="s">
        <v>67</v>
      </c>
      <c r="O659" s="2">
        <v>0.47916666666666669</v>
      </c>
      <c r="P659">
        <f>-0.0010193491*3600</f>
        <v>-3.6696567599999996</v>
      </c>
      <c r="Q659">
        <f>-0.0025892812*3600</f>
        <v>-9.3214123200000003</v>
      </c>
    </row>
    <row r="660" spans="1:17" x14ac:dyDescent="0.3">
      <c r="A660" s="4" t="s">
        <v>47</v>
      </c>
      <c r="B660" s="5" t="s">
        <v>271</v>
      </c>
      <c r="C660">
        <v>99.122589000000005</v>
      </c>
      <c r="D660">
        <v>109.125596</v>
      </c>
      <c r="E660">
        <v>1</v>
      </c>
      <c r="F660">
        <v>1</v>
      </c>
      <c r="G660">
        <v>0.26100000000000001</v>
      </c>
      <c r="H660">
        <v>0</v>
      </c>
      <c r="I660" t="s">
        <v>0</v>
      </c>
      <c r="J660" t="s">
        <v>59</v>
      </c>
      <c r="K660">
        <v>0</v>
      </c>
      <c r="L660" t="s">
        <v>60</v>
      </c>
      <c r="M660">
        <v>1</v>
      </c>
      <c r="N660" t="s">
        <v>67</v>
      </c>
      <c r="O660" s="2">
        <v>0.47916666666666669</v>
      </c>
      <c r="P660">
        <f>-0.0010897756*3600</f>
        <v>-3.9231921600000002</v>
      </c>
      <c r="Q660">
        <f>-0.0026088193*3600</f>
        <v>-9.3917494800000014</v>
      </c>
    </row>
    <row r="661" spans="1:17" x14ac:dyDescent="0.3">
      <c r="A661" s="4" t="s">
        <v>47</v>
      </c>
      <c r="B661" s="5" t="s">
        <v>272</v>
      </c>
      <c r="C661">
        <v>99.122696000000005</v>
      </c>
      <c r="D661">
        <v>109.12563400000001</v>
      </c>
      <c r="E661">
        <v>1</v>
      </c>
      <c r="F661">
        <v>1</v>
      </c>
      <c r="G661">
        <v>0.26100000000000001</v>
      </c>
      <c r="H661">
        <v>0</v>
      </c>
      <c r="I661" t="s">
        <v>0</v>
      </c>
      <c r="J661" t="s">
        <v>59</v>
      </c>
      <c r="K661">
        <v>0</v>
      </c>
      <c r="L661" t="s">
        <v>60</v>
      </c>
      <c r="M661">
        <v>1</v>
      </c>
      <c r="N661" t="s">
        <v>67</v>
      </c>
      <c r="O661" s="2">
        <v>0.47986111111111113</v>
      </c>
      <c r="P661">
        <f>-0.0008774794*3600</f>
        <v>-3.1589258400000002</v>
      </c>
      <c r="Q661">
        <f>-0.0025685044*3600</f>
        <v>-9.2466158399999987</v>
      </c>
    </row>
    <row r="662" spans="1:17" x14ac:dyDescent="0.3">
      <c r="A662" s="4" t="s">
        <v>47</v>
      </c>
      <c r="B662" s="5" t="s">
        <v>273</v>
      </c>
      <c r="C662">
        <v>99.122692999999998</v>
      </c>
      <c r="D662">
        <v>109.125557</v>
      </c>
      <c r="E662">
        <v>1</v>
      </c>
      <c r="F662">
        <v>1</v>
      </c>
      <c r="G662">
        <v>0.26100000000000001</v>
      </c>
      <c r="H662">
        <v>0</v>
      </c>
      <c r="I662" t="s">
        <v>0</v>
      </c>
      <c r="J662" t="s">
        <v>59</v>
      </c>
      <c r="K662">
        <v>0</v>
      </c>
      <c r="L662" t="s">
        <v>60</v>
      </c>
      <c r="M662">
        <v>1</v>
      </c>
      <c r="N662" t="s">
        <v>67</v>
      </c>
      <c r="O662" s="2">
        <v>0.47986111111111113</v>
      </c>
      <c r="P662">
        <f>-0.0010212597*3600</f>
        <v>-3.6765349200000004</v>
      </c>
      <c r="Q662">
        <f>-0.0026158741*3600</f>
        <v>-9.4171467599999996</v>
      </c>
    </row>
    <row r="663" spans="1:17" x14ac:dyDescent="0.3">
      <c r="A663" s="4" t="s">
        <v>47</v>
      </c>
      <c r="B663" s="5" t="s">
        <v>274</v>
      </c>
      <c r="C663">
        <v>99.122839999999997</v>
      </c>
      <c r="D663">
        <v>109.125551</v>
      </c>
      <c r="E663">
        <v>1</v>
      </c>
      <c r="F663">
        <v>1</v>
      </c>
      <c r="G663">
        <v>0.26100000000000001</v>
      </c>
      <c r="H663">
        <v>0</v>
      </c>
      <c r="I663" t="s">
        <v>0</v>
      </c>
      <c r="J663" t="s">
        <v>59</v>
      </c>
      <c r="K663">
        <v>0</v>
      </c>
      <c r="L663" t="s">
        <v>60</v>
      </c>
      <c r="M663">
        <v>1</v>
      </c>
      <c r="N663" t="s">
        <v>67</v>
      </c>
      <c r="O663" s="2">
        <v>0.47986111111111113</v>
      </c>
      <c r="P663">
        <f>-0.0009312206*3600</f>
        <v>-3.3523941599999998</v>
      </c>
      <c r="Q663">
        <f>-0.0026279431*3600</f>
        <v>-9.4605951599999987</v>
      </c>
    </row>
    <row r="664" spans="1:17" x14ac:dyDescent="0.3">
      <c r="A664" s="4" t="s">
        <v>47</v>
      </c>
      <c r="B664" s="5" t="s">
        <v>275</v>
      </c>
      <c r="C664">
        <v>99.122962000000001</v>
      </c>
      <c r="D664">
        <v>109.125653</v>
      </c>
      <c r="E664">
        <v>1</v>
      </c>
      <c r="F664">
        <v>1</v>
      </c>
      <c r="G664">
        <v>0.26100000000000001</v>
      </c>
      <c r="H664">
        <v>0</v>
      </c>
      <c r="I664" t="s">
        <v>0</v>
      </c>
      <c r="J664" t="s">
        <v>59</v>
      </c>
      <c r="K664">
        <v>0</v>
      </c>
      <c r="L664" t="s">
        <v>60</v>
      </c>
      <c r="M664">
        <v>1</v>
      </c>
      <c r="N664" t="s">
        <v>67</v>
      </c>
      <c r="O664" s="2">
        <v>0.47986111111111113</v>
      </c>
      <c r="P664">
        <f>-0.0009468363*3600</f>
        <v>-3.4086106800000002</v>
      </c>
      <c r="Q664">
        <f>-0.0025374072*3600</f>
        <v>-9.1346659199999998</v>
      </c>
    </row>
    <row r="665" spans="1:17" x14ac:dyDescent="0.3">
      <c r="A665" s="4" t="s">
        <v>47</v>
      </c>
      <c r="B665" s="5" t="s">
        <v>276</v>
      </c>
      <c r="C665">
        <v>99.122955000000005</v>
      </c>
      <c r="D665">
        <v>109.125649</v>
      </c>
      <c r="E665">
        <v>1</v>
      </c>
      <c r="F665">
        <v>1</v>
      </c>
      <c r="G665">
        <v>0.26100000000000001</v>
      </c>
      <c r="H665">
        <v>0</v>
      </c>
      <c r="I665" t="s">
        <v>0</v>
      </c>
      <c r="J665" t="s">
        <v>59</v>
      </c>
      <c r="K665">
        <v>0</v>
      </c>
      <c r="L665" t="s">
        <v>60</v>
      </c>
      <c r="M665">
        <v>1</v>
      </c>
      <c r="N665" t="s">
        <v>67</v>
      </c>
      <c r="O665" s="2">
        <v>0.47986111111111113</v>
      </c>
      <c r="P665">
        <f>-0.0009502996*3600</f>
        <v>-3.4210785600000002</v>
      </c>
      <c r="Q665">
        <f>-0.0025434655*3600</f>
        <v>-9.1564758000000008</v>
      </c>
    </row>
    <row r="666" spans="1:17" x14ac:dyDescent="0.3">
      <c r="A666" s="4" t="s">
        <v>47</v>
      </c>
      <c r="B666" s="5" t="s">
        <v>277</v>
      </c>
      <c r="C666">
        <v>99.122844999999998</v>
      </c>
      <c r="D666">
        <v>109.125598</v>
      </c>
      <c r="E666">
        <v>1</v>
      </c>
      <c r="F666">
        <v>1</v>
      </c>
      <c r="G666">
        <v>0.26100000000000001</v>
      </c>
      <c r="H666">
        <v>0</v>
      </c>
      <c r="I666" t="s">
        <v>0</v>
      </c>
      <c r="J666" t="s">
        <v>59</v>
      </c>
      <c r="K666">
        <v>0</v>
      </c>
      <c r="L666" t="s">
        <v>60</v>
      </c>
      <c r="M666">
        <v>1</v>
      </c>
      <c r="N666" t="s">
        <v>67</v>
      </c>
      <c r="O666" s="2">
        <v>0.47986111111111113</v>
      </c>
      <c r="P666">
        <f>-0.0009106739*3600</f>
        <v>-3.2784260399999998</v>
      </c>
      <c r="Q666">
        <f>-0.0025927237*3600</f>
        <v>-9.3338053199999997</v>
      </c>
    </row>
    <row r="667" spans="1:17" x14ac:dyDescent="0.3">
      <c r="A667" s="4" t="s">
        <v>47</v>
      </c>
      <c r="B667" s="5" t="s">
        <v>278</v>
      </c>
      <c r="C667">
        <v>99.122613000000001</v>
      </c>
      <c r="D667">
        <v>109.12550299999999</v>
      </c>
      <c r="E667">
        <v>1</v>
      </c>
      <c r="F667">
        <v>1</v>
      </c>
      <c r="G667">
        <v>0.26100000000000001</v>
      </c>
      <c r="H667">
        <v>0</v>
      </c>
      <c r="I667" t="s">
        <v>0</v>
      </c>
      <c r="J667" t="s">
        <v>59</v>
      </c>
      <c r="K667">
        <v>0</v>
      </c>
      <c r="L667" t="s">
        <v>60</v>
      </c>
      <c r="M667">
        <v>1</v>
      </c>
      <c r="N667" t="s">
        <v>67</v>
      </c>
      <c r="O667" s="2">
        <v>0.47986111111111113</v>
      </c>
      <c r="P667">
        <f>-0.0010509612*3600</f>
        <v>-3.7834603200000001</v>
      </c>
      <c r="Q667">
        <f>-0.0026546126*3600</f>
        <v>-9.5566053600000007</v>
      </c>
    </row>
    <row r="668" spans="1:17" x14ac:dyDescent="0.3">
      <c r="A668" s="4" t="s">
        <v>47</v>
      </c>
      <c r="B668" s="5" t="s">
        <v>279</v>
      </c>
      <c r="C668">
        <v>99.123051000000004</v>
      </c>
      <c r="D668">
        <v>109.12562</v>
      </c>
      <c r="E668">
        <v>1</v>
      </c>
      <c r="F668">
        <v>1</v>
      </c>
      <c r="G668">
        <v>0.26100000000000001</v>
      </c>
      <c r="H668">
        <v>0</v>
      </c>
      <c r="I668" t="s">
        <v>0</v>
      </c>
      <c r="J668" t="s">
        <v>59</v>
      </c>
      <c r="K668">
        <v>0</v>
      </c>
      <c r="L668" t="s">
        <v>60</v>
      </c>
      <c r="M668">
        <v>1</v>
      </c>
      <c r="N668" t="s">
        <v>67</v>
      </c>
      <c r="O668" s="2">
        <v>0.47986111111111113</v>
      </c>
      <c r="P668">
        <f>-0.0010317244*3600</f>
        <v>-3.7142078400000003</v>
      </c>
      <c r="Q668">
        <f>-0.0025644392*3600</f>
        <v>-9.2319811200000004</v>
      </c>
    </row>
    <row r="669" spans="1:17" x14ac:dyDescent="0.3">
      <c r="A669" s="4" t="s">
        <v>47</v>
      </c>
      <c r="B669" s="5" t="s">
        <v>280</v>
      </c>
      <c r="C669">
        <v>99.122933000000003</v>
      </c>
      <c r="D669">
        <v>109.12557200000001</v>
      </c>
      <c r="E669">
        <v>1</v>
      </c>
      <c r="F669">
        <v>1</v>
      </c>
      <c r="G669">
        <v>0.26100000000000001</v>
      </c>
      <c r="H669">
        <v>0</v>
      </c>
      <c r="I669" t="s">
        <v>0</v>
      </c>
      <c r="J669" t="s">
        <v>59</v>
      </c>
      <c r="K669">
        <v>0</v>
      </c>
      <c r="L669" t="s">
        <v>60</v>
      </c>
      <c r="M669">
        <v>1</v>
      </c>
      <c r="N669" t="s">
        <v>67</v>
      </c>
      <c r="O669" s="2">
        <v>0.47986111111111113</v>
      </c>
      <c r="P669">
        <f>-0.001015477*3600</f>
        <v>-3.6557172000000002</v>
      </c>
      <c r="Q669">
        <f>-0.0026109859*3600</f>
        <v>-9.3995492400000007</v>
      </c>
    </row>
    <row r="670" spans="1:17" x14ac:dyDescent="0.3">
      <c r="A670" s="4" t="s">
        <v>47</v>
      </c>
      <c r="B670" s="5" t="s">
        <v>281</v>
      </c>
      <c r="C670">
        <v>99.123087999999996</v>
      </c>
      <c r="D670">
        <v>109.12555500000001</v>
      </c>
      <c r="E670">
        <v>1</v>
      </c>
      <c r="F670">
        <v>1</v>
      </c>
      <c r="G670">
        <v>0.26100000000000001</v>
      </c>
      <c r="H670">
        <v>0</v>
      </c>
      <c r="I670" t="s">
        <v>0</v>
      </c>
      <c r="J670" t="s">
        <v>59</v>
      </c>
      <c r="K670">
        <v>0</v>
      </c>
      <c r="L670" t="s">
        <v>60</v>
      </c>
      <c r="M670">
        <v>1</v>
      </c>
      <c r="N670" t="s">
        <v>67</v>
      </c>
      <c r="O670" s="2">
        <v>0.47986111111111113</v>
      </c>
      <c r="P670">
        <f>-0.0009442312*3600</f>
        <v>-3.3992323199999999</v>
      </c>
      <c r="Q670">
        <f>-0.0026193139*3600</f>
        <v>-9.4295300400000013</v>
      </c>
    </row>
    <row r="671" spans="1:17" x14ac:dyDescent="0.3">
      <c r="A671" s="4" t="s">
        <v>47</v>
      </c>
      <c r="B671" s="5" t="s">
        <v>282</v>
      </c>
      <c r="C671">
        <v>99.122750999999994</v>
      </c>
      <c r="D671">
        <v>109.12555</v>
      </c>
      <c r="E671">
        <v>1</v>
      </c>
      <c r="F671">
        <v>1</v>
      </c>
      <c r="G671">
        <v>0.26100000000000001</v>
      </c>
      <c r="H671">
        <v>0</v>
      </c>
      <c r="I671" t="s">
        <v>0</v>
      </c>
      <c r="J671" t="s">
        <v>59</v>
      </c>
      <c r="K671">
        <v>0</v>
      </c>
      <c r="L671" t="s">
        <v>60</v>
      </c>
      <c r="M671">
        <v>1</v>
      </c>
      <c r="N671" t="s">
        <v>67</v>
      </c>
      <c r="O671" s="2">
        <v>0.47986111111111113</v>
      </c>
      <c r="P671">
        <f>-0.0009991805*3600</f>
        <v>-3.5970498000000002</v>
      </c>
      <c r="Q671">
        <f>-0.0026250312*3600</f>
        <v>-9.4501123200000006</v>
      </c>
    </row>
    <row r="672" spans="1:17" x14ac:dyDescent="0.3">
      <c r="A672" s="4" t="s">
        <v>47</v>
      </c>
      <c r="B672" s="5" t="s">
        <v>283</v>
      </c>
      <c r="C672">
        <v>99.122766999999996</v>
      </c>
      <c r="D672">
        <v>109.12562699999999</v>
      </c>
      <c r="E672">
        <v>1</v>
      </c>
      <c r="F672">
        <v>1</v>
      </c>
      <c r="G672">
        <v>0.26100000000000001</v>
      </c>
      <c r="H672">
        <v>0</v>
      </c>
      <c r="I672" t="s">
        <v>0</v>
      </c>
      <c r="J672" t="s">
        <v>59</v>
      </c>
      <c r="K672">
        <v>0</v>
      </c>
      <c r="L672" t="s">
        <v>60</v>
      </c>
      <c r="M672">
        <v>1</v>
      </c>
      <c r="N672" t="s">
        <v>67</v>
      </c>
      <c r="O672" s="2">
        <v>0.47986111111111113</v>
      </c>
      <c r="P672">
        <f>-0.0009703186*3600</f>
        <v>-3.4931469599999998</v>
      </c>
      <c r="Q672">
        <f>-0.0025476304*3600</f>
        <v>-9.171469440000001</v>
      </c>
    </row>
    <row r="673" spans="1:17" x14ac:dyDescent="0.3">
      <c r="A673" s="4" t="s">
        <v>47</v>
      </c>
      <c r="B673" s="5" t="s">
        <v>284</v>
      </c>
      <c r="C673">
        <v>99.123045000000005</v>
      </c>
      <c r="D673">
        <v>109.125604</v>
      </c>
      <c r="E673">
        <v>1</v>
      </c>
      <c r="F673">
        <v>1</v>
      </c>
      <c r="G673">
        <v>0.26100000000000001</v>
      </c>
      <c r="H673">
        <v>0</v>
      </c>
      <c r="I673" t="s">
        <v>0</v>
      </c>
      <c r="J673" t="s">
        <v>59</v>
      </c>
      <c r="K673">
        <v>0</v>
      </c>
      <c r="L673" t="s">
        <v>60</v>
      </c>
      <c r="M673">
        <v>1</v>
      </c>
      <c r="N673" t="s">
        <v>67</v>
      </c>
      <c r="O673" s="2">
        <v>0.47986111111111113</v>
      </c>
      <c r="P673">
        <f>-0.0009481602*3600</f>
        <v>-3.41337672</v>
      </c>
      <c r="Q673">
        <f>-0.0025710685*3600</f>
        <v>-9.2558465999999999</v>
      </c>
    </row>
    <row r="674" spans="1:17" x14ac:dyDescent="0.3">
      <c r="A674" s="4" t="s">
        <v>47</v>
      </c>
      <c r="B674" s="5" t="s">
        <v>285</v>
      </c>
      <c r="C674">
        <v>99.122986999999995</v>
      </c>
      <c r="D674">
        <v>109.125559</v>
      </c>
      <c r="E674">
        <v>1</v>
      </c>
      <c r="F674">
        <v>1</v>
      </c>
      <c r="G674">
        <v>0.26100000000000001</v>
      </c>
      <c r="H674">
        <v>0</v>
      </c>
      <c r="I674" t="s">
        <v>0</v>
      </c>
      <c r="J674" t="s">
        <v>59</v>
      </c>
      <c r="K674">
        <v>0</v>
      </c>
      <c r="L674" t="s">
        <v>60</v>
      </c>
      <c r="M674">
        <v>1</v>
      </c>
      <c r="N674" t="s">
        <v>67</v>
      </c>
      <c r="O674" s="2">
        <v>0.47986111111111113</v>
      </c>
      <c r="P674">
        <f>-0.000916353*3600</f>
        <v>-3.2988708</v>
      </c>
      <c r="Q674">
        <f>-0.0026112142*3600</f>
        <v>-9.4003711199999991</v>
      </c>
    </row>
    <row r="675" spans="1:17" x14ac:dyDescent="0.3">
      <c r="A675" s="4" t="s">
        <v>47</v>
      </c>
      <c r="B675" s="5" t="s">
        <v>286</v>
      </c>
      <c r="C675">
        <v>99.122949000000006</v>
      </c>
      <c r="D675">
        <v>109.12557200000001</v>
      </c>
      <c r="E675">
        <v>1</v>
      </c>
      <c r="F675">
        <v>1</v>
      </c>
      <c r="G675">
        <v>0.26100000000000001</v>
      </c>
      <c r="H675">
        <v>0</v>
      </c>
      <c r="I675" t="s">
        <v>0</v>
      </c>
      <c r="J675" t="s">
        <v>59</v>
      </c>
      <c r="K675">
        <v>0</v>
      </c>
      <c r="L675" t="s">
        <v>60</v>
      </c>
      <c r="M675">
        <v>1</v>
      </c>
      <c r="N675" t="s">
        <v>67</v>
      </c>
      <c r="O675" s="2">
        <v>0.47986111111111113</v>
      </c>
      <c r="P675">
        <f>-0.0010082591*3600</f>
        <v>-3.6297327600000004</v>
      </c>
      <c r="Q675">
        <f>-0.0026104438*3600</f>
        <v>-9.3975976799999987</v>
      </c>
    </row>
    <row r="676" spans="1:17" x14ac:dyDescent="0.3">
      <c r="A676" s="4" t="s">
        <v>47</v>
      </c>
      <c r="B676" s="5" t="s">
        <v>287</v>
      </c>
      <c r="C676">
        <v>99.122900000000001</v>
      </c>
      <c r="D676">
        <v>109.12572400000001</v>
      </c>
      <c r="E676">
        <v>1</v>
      </c>
      <c r="F676">
        <v>1</v>
      </c>
      <c r="G676">
        <v>0.26100000000000001</v>
      </c>
      <c r="H676">
        <v>0</v>
      </c>
      <c r="I676" t="s">
        <v>0</v>
      </c>
      <c r="J676" t="s">
        <v>59</v>
      </c>
      <c r="K676">
        <v>0</v>
      </c>
      <c r="L676" t="s">
        <v>60</v>
      </c>
      <c r="M676">
        <v>1</v>
      </c>
      <c r="N676" t="s">
        <v>67</v>
      </c>
      <c r="O676" s="2">
        <v>0.47986111111111113</v>
      </c>
      <c r="P676">
        <f>-0.0008305103*3600</f>
        <v>-2.98983708</v>
      </c>
      <c r="Q676">
        <f>-0.0024369487*3600</f>
        <v>-8.773015319999999</v>
      </c>
    </row>
    <row r="677" spans="1:17" x14ac:dyDescent="0.3">
      <c r="A677" s="4" t="s">
        <v>47</v>
      </c>
      <c r="B677" s="5" t="s">
        <v>288</v>
      </c>
      <c r="C677">
        <v>99.122371999999999</v>
      </c>
      <c r="D677">
        <v>109.125551</v>
      </c>
      <c r="E677">
        <v>1</v>
      </c>
      <c r="F677">
        <v>1</v>
      </c>
      <c r="G677">
        <v>0.26100000000000001</v>
      </c>
      <c r="H677">
        <v>0</v>
      </c>
      <c r="I677" t="s">
        <v>0</v>
      </c>
      <c r="J677" t="s">
        <v>59</v>
      </c>
      <c r="K677">
        <v>0</v>
      </c>
      <c r="L677" t="s">
        <v>60</v>
      </c>
      <c r="M677">
        <v>1</v>
      </c>
      <c r="N677" t="s">
        <v>67</v>
      </c>
      <c r="O677" s="2">
        <v>0.47986111111111113</v>
      </c>
      <c r="P677">
        <f>-0.0009435532*3600</f>
        <v>-3.3967915200000003</v>
      </c>
      <c r="Q677">
        <f>-0.0025970277*3600</f>
        <v>-9.3492997199999994</v>
      </c>
    </row>
    <row r="678" spans="1:17" x14ac:dyDescent="0.3">
      <c r="A678" s="4" t="s">
        <v>47</v>
      </c>
      <c r="B678" s="5" t="s">
        <v>289</v>
      </c>
      <c r="C678">
        <v>99.122580999999997</v>
      </c>
      <c r="D678">
        <v>109.12555999999999</v>
      </c>
      <c r="E678">
        <v>1</v>
      </c>
      <c r="F678">
        <v>1</v>
      </c>
      <c r="G678">
        <v>0.26100000000000001</v>
      </c>
      <c r="H678">
        <v>0</v>
      </c>
      <c r="I678" t="s">
        <v>0</v>
      </c>
      <c r="J678" t="s">
        <v>59</v>
      </c>
      <c r="K678">
        <v>0</v>
      </c>
      <c r="L678" t="s">
        <v>60</v>
      </c>
      <c r="M678">
        <v>1</v>
      </c>
      <c r="N678" t="s">
        <v>67</v>
      </c>
      <c r="O678" s="2">
        <v>0.47986111111111113</v>
      </c>
      <c r="P678">
        <f>-0.0009000002*3600</f>
        <v>-3.2400007200000003</v>
      </c>
      <c r="Q678">
        <f>-0.0025917457*3600</f>
        <v>-9.3302845200000011</v>
      </c>
    </row>
    <row r="679" spans="1:17" x14ac:dyDescent="0.3">
      <c r="A679" s="4" t="s">
        <v>47</v>
      </c>
      <c r="B679" s="5" t="s">
        <v>290</v>
      </c>
      <c r="C679">
        <v>99.122665999999995</v>
      </c>
      <c r="D679">
        <v>109.12558</v>
      </c>
      <c r="E679">
        <v>1</v>
      </c>
      <c r="F679">
        <v>1</v>
      </c>
      <c r="G679">
        <v>0.26100000000000001</v>
      </c>
      <c r="H679">
        <v>0</v>
      </c>
      <c r="I679" t="s">
        <v>0</v>
      </c>
      <c r="J679" t="s">
        <v>59</v>
      </c>
      <c r="K679">
        <v>0</v>
      </c>
      <c r="L679" t="s">
        <v>60</v>
      </c>
      <c r="M679">
        <v>1</v>
      </c>
      <c r="N679" t="s">
        <v>67</v>
      </c>
      <c r="O679" s="2">
        <v>0.47986111111111113</v>
      </c>
      <c r="P679">
        <f>-0.0009570513*3600</f>
        <v>-3.4453846800000001</v>
      </c>
      <c r="Q679">
        <f>-0.0025590622*3600</f>
        <v>-9.2126239200000004</v>
      </c>
    </row>
    <row r="680" spans="1:17" x14ac:dyDescent="0.3">
      <c r="A680" s="4" t="s">
        <v>47</v>
      </c>
      <c r="B680" s="5" t="s">
        <v>291</v>
      </c>
      <c r="C680">
        <v>99.122602000000001</v>
      </c>
      <c r="D680">
        <v>109.125619</v>
      </c>
      <c r="E680">
        <v>1</v>
      </c>
      <c r="F680">
        <v>1</v>
      </c>
      <c r="G680">
        <v>0.26100000000000001</v>
      </c>
      <c r="H680">
        <v>0</v>
      </c>
      <c r="I680" t="s">
        <v>0</v>
      </c>
      <c r="J680" t="s">
        <v>59</v>
      </c>
      <c r="K680">
        <v>0</v>
      </c>
      <c r="L680" t="s">
        <v>60</v>
      </c>
      <c r="M680">
        <v>1</v>
      </c>
      <c r="N680" t="s">
        <v>67</v>
      </c>
      <c r="O680" s="2">
        <v>0.47986111111111113</v>
      </c>
      <c r="P680">
        <f>-0.0009806041*3600</f>
        <v>-3.53017476</v>
      </c>
      <c r="Q680">
        <f>-0.0025309404*3600</f>
        <v>-9.1113854399999994</v>
      </c>
    </row>
    <row r="681" spans="1:17" x14ac:dyDescent="0.3">
      <c r="A681" s="4" t="s">
        <v>47</v>
      </c>
      <c r="B681" s="5" t="s">
        <v>292</v>
      </c>
      <c r="C681">
        <v>99.122736000000003</v>
      </c>
      <c r="D681">
        <v>109.12551999999999</v>
      </c>
      <c r="E681">
        <v>1</v>
      </c>
      <c r="F681">
        <v>1</v>
      </c>
      <c r="G681">
        <v>0.26100000000000001</v>
      </c>
      <c r="H681">
        <v>0</v>
      </c>
      <c r="I681" t="s">
        <v>0</v>
      </c>
      <c r="J681" t="s">
        <v>59</v>
      </c>
      <c r="K681">
        <v>0</v>
      </c>
      <c r="L681" t="s">
        <v>60</v>
      </c>
      <c r="M681">
        <v>1</v>
      </c>
      <c r="N681" t="s">
        <v>67</v>
      </c>
      <c r="O681" s="2">
        <v>0.47986111111111113</v>
      </c>
      <c r="P681">
        <f>-0.0009865935*3600</f>
        <v>-3.5517365999999999</v>
      </c>
      <c r="Q681">
        <f>-0.0026171394*3600</f>
        <v>-9.421701839999999</v>
      </c>
    </row>
    <row r="682" spans="1:17" x14ac:dyDescent="0.3">
      <c r="A682" s="4" t="s">
        <v>47</v>
      </c>
      <c r="B682" s="5" t="s">
        <v>293</v>
      </c>
      <c r="C682">
        <v>99.122911999999999</v>
      </c>
      <c r="D682">
        <v>109.12554799999999</v>
      </c>
      <c r="E682">
        <v>1</v>
      </c>
      <c r="F682">
        <v>1</v>
      </c>
      <c r="G682">
        <v>0.26100000000000001</v>
      </c>
      <c r="H682">
        <v>0</v>
      </c>
      <c r="I682" t="s">
        <v>0</v>
      </c>
      <c r="J682" t="s">
        <v>59</v>
      </c>
      <c r="K682">
        <v>0</v>
      </c>
      <c r="L682" t="s">
        <v>60</v>
      </c>
      <c r="M682">
        <v>1</v>
      </c>
      <c r="N682" t="s">
        <v>67</v>
      </c>
      <c r="O682" s="2">
        <v>0.47986111111111113</v>
      </c>
      <c r="P682">
        <f>-0.0010336001*3600</f>
        <v>-3.7209603599999999</v>
      </c>
      <c r="Q682">
        <f>-0.002577874*3600</f>
        <v>-9.2803463999999991</v>
      </c>
    </row>
    <row r="683" spans="1:17" x14ac:dyDescent="0.3">
      <c r="A683" s="4" t="s">
        <v>47</v>
      </c>
      <c r="B683" s="5" t="s">
        <v>294</v>
      </c>
      <c r="C683">
        <v>99.123215000000002</v>
      </c>
      <c r="D683">
        <v>109.125561</v>
      </c>
      <c r="E683">
        <v>1</v>
      </c>
      <c r="F683">
        <v>1</v>
      </c>
      <c r="G683">
        <v>0.26100000000000001</v>
      </c>
      <c r="H683">
        <v>0</v>
      </c>
      <c r="I683" t="s">
        <v>0</v>
      </c>
      <c r="J683" t="s">
        <v>59</v>
      </c>
      <c r="K683">
        <v>0</v>
      </c>
      <c r="L683" t="s">
        <v>60</v>
      </c>
      <c r="M683">
        <v>1</v>
      </c>
      <c r="N683" t="s">
        <v>67</v>
      </c>
      <c r="O683" s="2">
        <v>0.47986111111111113</v>
      </c>
      <c r="P683">
        <f>-0.0009249457*3600</f>
        <v>-3.3298045199999997</v>
      </c>
      <c r="Q683">
        <f>-0.002592452*3600</f>
        <v>-9.3328271999999988</v>
      </c>
    </row>
    <row r="684" spans="1:17" x14ac:dyDescent="0.3">
      <c r="A684" s="4" t="s">
        <v>47</v>
      </c>
      <c r="B684" s="5" t="s">
        <v>295</v>
      </c>
      <c r="C684">
        <v>99.122248999999996</v>
      </c>
      <c r="D684">
        <v>109.12565499999999</v>
      </c>
      <c r="E684">
        <v>1</v>
      </c>
      <c r="F684">
        <v>1</v>
      </c>
      <c r="G684">
        <v>0.26100000000000001</v>
      </c>
      <c r="H684">
        <v>0</v>
      </c>
      <c r="I684" t="s">
        <v>0</v>
      </c>
      <c r="J684" t="s">
        <v>59</v>
      </c>
      <c r="K684">
        <v>0</v>
      </c>
      <c r="L684" t="s">
        <v>60</v>
      </c>
      <c r="M684">
        <v>1</v>
      </c>
      <c r="N684" t="s">
        <v>67</v>
      </c>
      <c r="O684" s="2">
        <v>0.47986111111111113</v>
      </c>
      <c r="P684">
        <f>-0.0008172309*3600</f>
        <v>-2.9420312399999999</v>
      </c>
      <c r="Q684">
        <f>-0.0024740203*3600</f>
        <v>-8.9064730799999996</v>
      </c>
    </row>
    <row r="685" spans="1:17" x14ac:dyDescent="0.3">
      <c r="A685" s="4" t="s">
        <v>47</v>
      </c>
      <c r="B685" s="5" t="s">
        <v>296</v>
      </c>
      <c r="C685">
        <v>99.122772999999995</v>
      </c>
      <c r="D685">
        <v>109.125732</v>
      </c>
      <c r="E685">
        <v>1</v>
      </c>
      <c r="F685">
        <v>1</v>
      </c>
      <c r="G685">
        <v>0.26100000000000001</v>
      </c>
      <c r="H685">
        <v>0</v>
      </c>
      <c r="I685" t="s">
        <v>0</v>
      </c>
      <c r="J685" t="s">
        <v>59</v>
      </c>
      <c r="K685">
        <v>0</v>
      </c>
      <c r="L685" t="s">
        <v>60</v>
      </c>
      <c r="M685">
        <v>1</v>
      </c>
      <c r="N685" t="s">
        <v>67</v>
      </c>
      <c r="O685" s="2">
        <v>0.47986111111111113</v>
      </c>
      <c r="P685">
        <f>-0.0009371239*3600</f>
        <v>-3.3736460400000001</v>
      </c>
      <c r="Q685">
        <f>-0.0024283852*3600</f>
        <v>-8.7421867199999994</v>
      </c>
    </row>
    <row r="686" spans="1:17" x14ac:dyDescent="0.3">
      <c r="A686" s="4" t="s">
        <v>47</v>
      </c>
      <c r="B686" s="5" t="s">
        <v>297</v>
      </c>
      <c r="C686">
        <v>99.123137</v>
      </c>
      <c r="D686">
        <v>109.12551000000001</v>
      </c>
      <c r="E686">
        <v>1</v>
      </c>
      <c r="F686">
        <v>1</v>
      </c>
      <c r="G686">
        <v>0.26100000000000001</v>
      </c>
      <c r="H686">
        <v>0</v>
      </c>
      <c r="I686" t="s">
        <v>0</v>
      </c>
      <c r="J686" t="s">
        <v>59</v>
      </c>
      <c r="K686">
        <v>0</v>
      </c>
      <c r="L686" t="s">
        <v>60</v>
      </c>
      <c r="M686">
        <v>1</v>
      </c>
      <c r="N686" t="s">
        <v>67</v>
      </c>
      <c r="O686" s="2">
        <v>0.47986111111111113</v>
      </c>
      <c r="P686">
        <f>-0.0009124281*3600</f>
        <v>-3.2847411599999998</v>
      </c>
      <c r="Q686">
        <f>-0.0026409036*3600</f>
        <v>-9.5072529600000006</v>
      </c>
    </row>
    <row r="687" spans="1:17" x14ac:dyDescent="0.3">
      <c r="A687" s="4" t="s">
        <v>47</v>
      </c>
      <c r="B687" s="5" t="s">
        <v>298</v>
      </c>
      <c r="C687">
        <v>99.122767999999994</v>
      </c>
      <c r="D687">
        <v>109.125546</v>
      </c>
      <c r="E687">
        <v>1</v>
      </c>
      <c r="F687">
        <v>1</v>
      </c>
      <c r="G687">
        <v>0.26100000000000001</v>
      </c>
      <c r="H687">
        <v>0</v>
      </c>
      <c r="I687" t="s">
        <v>0</v>
      </c>
      <c r="J687" t="s">
        <v>59</v>
      </c>
      <c r="K687">
        <v>0</v>
      </c>
      <c r="L687" t="s">
        <v>60</v>
      </c>
      <c r="M687">
        <v>1</v>
      </c>
      <c r="N687" t="s">
        <v>67</v>
      </c>
      <c r="O687" s="2">
        <v>0.47986111111111113</v>
      </c>
      <c r="P687">
        <f>-0.0008934844*3600</f>
        <v>-3.2165438399999999</v>
      </c>
      <c r="Q687">
        <f>-0.0025795279*3600</f>
        <v>-9.2863004399999998</v>
      </c>
    </row>
    <row r="688" spans="1:17" x14ac:dyDescent="0.3">
      <c r="A688" s="4" t="s">
        <v>47</v>
      </c>
      <c r="B688" s="5" t="s">
        <v>299</v>
      </c>
      <c r="C688">
        <v>99.122746000000006</v>
      </c>
      <c r="D688">
        <v>109.125618</v>
      </c>
      <c r="E688">
        <v>1</v>
      </c>
      <c r="F688">
        <v>1</v>
      </c>
      <c r="G688">
        <v>0.26100000000000001</v>
      </c>
      <c r="H688">
        <v>0</v>
      </c>
      <c r="I688" t="s">
        <v>0</v>
      </c>
      <c r="J688" t="s">
        <v>59</v>
      </c>
      <c r="K688">
        <v>0</v>
      </c>
      <c r="L688" t="s">
        <v>60</v>
      </c>
      <c r="M688">
        <v>1</v>
      </c>
      <c r="N688" t="s">
        <v>67</v>
      </c>
      <c r="O688" s="2">
        <v>0.47986111111111113</v>
      </c>
      <c r="P688">
        <f>-0.0008758584*3600</f>
        <v>-3.15309024</v>
      </c>
      <c r="Q688">
        <f>-0.0025253868*3600</f>
        <v>-9.0913924799999997</v>
      </c>
    </row>
    <row r="689" spans="1:17" x14ac:dyDescent="0.3">
      <c r="A689" s="4" t="s">
        <v>47</v>
      </c>
      <c r="B689" s="5" t="s">
        <v>300</v>
      </c>
      <c r="C689">
        <v>99.122415000000004</v>
      </c>
      <c r="D689">
        <v>109.125626</v>
      </c>
      <c r="E689">
        <v>1</v>
      </c>
      <c r="F689">
        <v>1</v>
      </c>
      <c r="G689">
        <v>0.26100000000000001</v>
      </c>
      <c r="H689">
        <v>0</v>
      </c>
      <c r="I689" t="s">
        <v>0</v>
      </c>
      <c r="J689" t="s">
        <v>59</v>
      </c>
      <c r="K689">
        <v>0</v>
      </c>
      <c r="L689" t="s">
        <v>60</v>
      </c>
      <c r="M689">
        <v>1</v>
      </c>
      <c r="N689" t="s">
        <v>67</v>
      </c>
      <c r="O689" s="2">
        <v>0.47986111111111113</v>
      </c>
      <c r="P689">
        <f>-0.0008743367*3600</f>
        <v>-3.1476121199999998</v>
      </c>
      <c r="Q689">
        <f>-0.0024910444*3600</f>
        <v>-8.9677598400000011</v>
      </c>
    </row>
    <row r="690" spans="1:17" x14ac:dyDescent="0.3">
      <c r="A690" s="4" t="s">
        <v>47</v>
      </c>
      <c r="B690" s="5" t="s">
        <v>301</v>
      </c>
      <c r="C690">
        <v>99.122794999999996</v>
      </c>
      <c r="D690">
        <v>109.125544</v>
      </c>
      <c r="E690">
        <v>1</v>
      </c>
      <c r="F690">
        <v>1</v>
      </c>
      <c r="G690">
        <v>0.26100000000000001</v>
      </c>
      <c r="H690">
        <v>0</v>
      </c>
      <c r="I690" t="s">
        <v>0</v>
      </c>
      <c r="J690" t="s">
        <v>59</v>
      </c>
      <c r="K690">
        <v>0</v>
      </c>
      <c r="L690" t="s">
        <v>60</v>
      </c>
      <c r="M690">
        <v>1</v>
      </c>
      <c r="N690" t="s">
        <v>67</v>
      </c>
      <c r="O690" s="2">
        <v>0.47986111111111113</v>
      </c>
      <c r="P690">
        <f>-0.0009566299*3600</f>
        <v>-3.4438676399999997</v>
      </c>
      <c r="Q690">
        <f>-0.0025859272*3600</f>
        <v>-9.3093379200000008</v>
      </c>
    </row>
    <row r="691" spans="1:17" x14ac:dyDescent="0.3">
      <c r="A691" s="4" t="s">
        <v>47</v>
      </c>
      <c r="B691" s="5" t="s">
        <v>302</v>
      </c>
      <c r="C691">
        <v>99.122699999999995</v>
      </c>
      <c r="D691">
        <v>109.125637</v>
      </c>
      <c r="E691">
        <v>1</v>
      </c>
      <c r="F691">
        <v>1</v>
      </c>
      <c r="G691">
        <v>0.26100000000000001</v>
      </c>
      <c r="H691">
        <v>0</v>
      </c>
      <c r="I691" t="s">
        <v>0</v>
      </c>
      <c r="J691" t="s">
        <v>59</v>
      </c>
      <c r="K691">
        <v>0</v>
      </c>
      <c r="L691" t="s">
        <v>60</v>
      </c>
      <c r="M691">
        <v>1</v>
      </c>
      <c r="N691" t="s">
        <v>67</v>
      </c>
      <c r="O691" s="2">
        <v>0.47986111111111113</v>
      </c>
      <c r="P691">
        <f>-0.0008412299*3600</f>
        <v>-3.0284276399999999</v>
      </c>
      <c r="Q691">
        <f>-0.0025201326*3600</f>
        <v>-9.0724773599999988</v>
      </c>
    </row>
    <row r="692" spans="1:17" x14ac:dyDescent="0.3">
      <c r="A692" s="4" t="s">
        <v>47</v>
      </c>
      <c r="B692" s="5" t="s">
        <v>303</v>
      </c>
      <c r="C692">
        <v>99.123104999999995</v>
      </c>
      <c r="D692">
        <v>109.125635</v>
      </c>
      <c r="E692">
        <v>1</v>
      </c>
      <c r="F692">
        <v>1</v>
      </c>
      <c r="G692">
        <v>0.26100000000000001</v>
      </c>
      <c r="H692">
        <v>0</v>
      </c>
      <c r="I692" t="s">
        <v>0</v>
      </c>
      <c r="J692" t="s">
        <v>59</v>
      </c>
      <c r="K692">
        <v>0</v>
      </c>
      <c r="L692" t="s">
        <v>60</v>
      </c>
      <c r="M692">
        <v>1</v>
      </c>
      <c r="N692" t="s">
        <v>67</v>
      </c>
      <c r="O692" s="2">
        <v>0.47986111111111113</v>
      </c>
      <c r="P692">
        <f>-0.0008486793*3600</f>
        <v>-3.05524548</v>
      </c>
      <c r="Q692">
        <f>-0.0025033626*3600</f>
        <v>-9.0121053599999996</v>
      </c>
    </row>
    <row r="693" spans="1:17" x14ac:dyDescent="0.3">
      <c r="A693" s="4" t="s">
        <v>47</v>
      </c>
      <c r="B693" s="5" t="s">
        <v>304</v>
      </c>
      <c r="C693">
        <v>99.122342000000003</v>
      </c>
      <c r="D693">
        <v>109.125642</v>
      </c>
      <c r="E693">
        <v>1</v>
      </c>
      <c r="F693">
        <v>1</v>
      </c>
      <c r="G693">
        <v>0.26100000000000001</v>
      </c>
      <c r="H693">
        <v>0</v>
      </c>
      <c r="I693" t="s">
        <v>0</v>
      </c>
      <c r="J693" t="s">
        <v>59</v>
      </c>
      <c r="K693">
        <v>0</v>
      </c>
      <c r="L693" t="s">
        <v>60</v>
      </c>
      <c r="M693">
        <v>1</v>
      </c>
      <c r="N693" t="s">
        <v>67</v>
      </c>
      <c r="O693" s="2">
        <v>0.47986111111111113</v>
      </c>
      <c r="P693">
        <f>-0.0008698365*3600</f>
        <v>-3.1314113999999997</v>
      </c>
      <c r="Q693">
        <f>-0.0024929411*3600</f>
        <v>-8.9745879599999991</v>
      </c>
    </row>
    <row r="694" spans="1:17" x14ac:dyDescent="0.3">
      <c r="A694" s="4" t="s">
        <v>47</v>
      </c>
      <c r="B694" s="5" t="s">
        <v>305</v>
      </c>
      <c r="C694">
        <v>99.122393000000002</v>
      </c>
      <c r="D694">
        <v>109.12557700000001</v>
      </c>
      <c r="E694">
        <v>1</v>
      </c>
      <c r="F694">
        <v>1</v>
      </c>
      <c r="G694">
        <v>0.26100000000000001</v>
      </c>
      <c r="H694">
        <v>0</v>
      </c>
      <c r="I694" t="s">
        <v>0</v>
      </c>
      <c r="J694" t="s">
        <v>59</v>
      </c>
      <c r="K694">
        <v>0</v>
      </c>
      <c r="L694" t="s">
        <v>60</v>
      </c>
      <c r="M694">
        <v>1</v>
      </c>
      <c r="N694" t="s">
        <v>67</v>
      </c>
      <c r="O694" s="2">
        <v>0.47986111111111113</v>
      </c>
      <c r="P694">
        <f>-0.000763225*3600</f>
        <v>-2.7476099999999999</v>
      </c>
      <c r="Q694">
        <f>-0.002546487*3600</f>
        <v>-9.1673532000000009</v>
      </c>
    </row>
    <row r="695" spans="1:17" x14ac:dyDescent="0.3">
      <c r="A695" s="4" t="s">
        <v>47</v>
      </c>
      <c r="B695" s="5" t="s">
        <v>306</v>
      </c>
      <c r="C695">
        <v>99.122437000000005</v>
      </c>
      <c r="D695">
        <v>109.125799</v>
      </c>
      <c r="E695">
        <v>1</v>
      </c>
      <c r="F695">
        <v>1</v>
      </c>
      <c r="G695">
        <v>0.26100000000000001</v>
      </c>
      <c r="H695">
        <v>0</v>
      </c>
      <c r="I695" t="s">
        <v>0</v>
      </c>
      <c r="J695" t="s">
        <v>59</v>
      </c>
      <c r="K695">
        <v>0</v>
      </c>
      <c r="L695" t="s">
        <v>60</v>
      </c>
      <c r="M695">
        <v>1</v>
      </c>
      <c r="N695" t="s">
        <v>67</v>
      </c>
      <c r="O695" s="2">
        <v>0.47986111111111113</v>
      </c>
      <c r="P695">
        <f>-0.0008199572*3600</f>
        <v>-2.9518459200000002</v>
      </c>
      <c r="Q695">
        <f>-0.0023354384*3600</f>
        <v>-8.4075782400000012</v>
      </c>
    </row>
    <row r="696" spans="1:17" x14ac:dyDescent="0.3">
      <c r="A696" s="4" t="s">
        <v>47</v>
      </c>
      <c r="B696" s="5" t="s">
        <v>307</v>
      </c>
      <c r="C696">
        <v>99.122902999999994</v>
      </c>
      <c r="D696">
        <v>109.125643</v>
      </c>
      <c r="E696">
        <v>1</v>
      </c>
      <c r="F696">
        <v>1</v>
      </c>
      <c r="G696">
        <v>0.26100000000000001</v>
      </c>
      <c r="H696">
        <v>0</v>
      </c>
      <c r="I696" t="s">
        <v>0</v>
      </c>
      <c r="J696" t="s">
        <v>59</v>
      </c>
      <c r="K696">
        <v>0</v>
      </c>
      <c r="L696" t="s">
        <v>60</v>
      </c>
      <c r="M696">
        <v>1</v>
      </c>
      <c r="N696" t="s">
        <v>67</v>
      </c>
      <c r="O696" s="2">
        <v>0.47986111111111113</v>
      </c>
      <c r="P696">
        <f>-0.0007996028*3600</f>
        <v>-2.8785700799999998</v>
      </c>
      <c r="Q696">
        <f>-0.0024834171*3600</f>
        <v>-8.94030156</v>
      </c>
    </row>
    <row r="697" spans="1:17" x14ac:dyDescent="0.3">
      <c r="A697" s="4" t="s">
        <v>47</v>
      </c>
      <c r="B697" s="5" t="s">
        <v>308</v>
      </c>
      <c r="C697">
        <v>99.122715999999997</v>
      </c>
      <c r="D697">
        <v>109.125601</v>
      </c>
      <c r="E697">
        <v>1</v>
      </c>
      <c r="F697">
        <v>1</v>
      </c>
      <c r="G697">
        <v>0.26100000000000001</v>
      </c>
      <c r="H697">
        <v>0</v>
      </c>
      <c r="I697" t="s">
        <v>0</v>
      </c>
      <c r="J697" t="s">
        <v>59</v>
      </c>
      <c r="K697">
        <v>0</v>
      </c>
      <c r="L697" t="s">
        <v>60</v>
      </c>
      <c r="M697">
        <v>1</v>
      </c>
      <c r="N697" t="s">
        <v>67</v>
      </c>
      <c r="O697" s="2">
        <v>0.47986111111111113</v>
      </c>
      <c r="P697">
        <f>-0.0007474938*3600</f>
        <v>-2.69097768</v>
      </c>
      <c r="Q697">
        <f>-0.0025200492*3600</f>
        <v>-9.0721771199999992</v>
      </c>
    </row>
    <row r="698" spans="1:17" x14ac:dyDescent="0.3">
      <c r="A698" s="4" t="s">
        <v>47</v>
      </c>
      <c r="B698" s="5" t="s">
        <v>309</v>
      </c>
      <c r="C698">
        <v>99.122821000000002</v>
      </c>
      <c r="D698">
        <v>109.12580800000001</v>
      </c>
      <c r="E698">
        <v>1</v>
      </c>
      <c r="F698">
        <v>1</v>
      </c>
      <c r="G698">
        <v>0.26100000000000001</v>
      </c>
      <c r="H698">
        <v>0</v>
      </c>
      <c r="I698" t="s">
        <v>0</v>
      </c>
      <c r="J698" t="s">
        <v>59</v>
      </c>
      <c r="K698">
        <v>0</v>
      </c>
      <c r="L698" t="s">
        <v>60</v>
      </c>
      <c r="M698">
        <v>1</v>
      </c>
      <c r="N698" t="s">
        <v>67</v>
      </c>
      <c r="O698" s="2">
        <v>0.47986111111111113</v>
      </c>
      <c r="P698">
        <f>-0.0008039367*3600</f>
        <v>-2.8941721199999999</v>
      </c>
      <c r="Q698">
        <f>-0.0023098422*3600</f>
        <v>-8.31543192</v>
      </c>
    </row>
    <row r="699" spans="1:17" x14ac:dyDescent="0.3">
      <c r="A699" s="4" t="s">
        <v>47</v>
      </c>
      <c r="B699" s="5" t="s">
        <v>310</v>
      </c>
      <c r="C699">
        <v>99.122427000000002</v>
      </c>
      <c r="D699">
        <v>109.12570100000001</v>
      </c>
      <c r="E699">
        <v>1</v>
      </c>
      <c r="F699">
        <v>1</v>
      </c>
      <c r="G699">
        <v>0.26100000000000001</v>
      </c>
      <c r="H699">
        <v>0</v>
      </c>
      <c r="I699" t="s">
        <v>0</v>
      </c>
      <c r="J699" t="s">
        <v>59</v>
      </c>
      <c r="K699">
        <v>0</v>
      </c>
      <c r="L699" t="s">
        <v>60</v>
      </c>
      <c r="M699">
        <v>1</v>
      </c>
      <c r="N699" t="s">
        <v>67</v>
      </c>
      <c r="O699" s="2">
        <v>0.47986111111111113</v>
      </c>
      <c r="P699">
        <f>-0.0008434942*3600</f>
        <v>-3.0365791200000003</v>
      </c>
      <c r="Q699">
        <f>-0.0024300064*3600</f>
        <v>-8.7480230399999996</v>
      </c>
    </row>
    <row r="700" spans="1:17" x14ac:dyDescent="0.3">
      <c r="A700" s="4" t="s">
        <v>47</v>
      </c>
      <c r="B700" s="5" t="s">
        <v>311</v>
      </c>
      <c r="C700">
        <v>99.122844999999998</v>
      </c>
      <c r="D700">
        <v>109.12573500000001</v>
      </c>
      <c r="E700">
        <v>1</v>
      </c>
      <c r="F700">
        <v>1</v>
      </c>
      <c r="G700">
        <v>0.26100000000000001</v>
      </c>
      <c r="H700">
        <v>0</v>
      </c>
      <c r="I700" t="s">
        <v>0</v>
      </c>
      <c r="J700" t="s">
        <v>59</v>
      </c>
      <c r="K700">
        <v>0</v>
      </c>
      <c r="L700" t="s">
        <v>60</v>
      </c>
      <c r="M700">
        <v>1</v>
      </c>
      <c r="N700" t="s">
        <v>67</v>
      </c>
      <c r="O700" s="2">
        <v>0.47986111111111113</v>
      </c>
      <c r="P700">
        <f>-0.0008803943*3600</f>
        <v>-3.1694194800000002</v>
      </c>
      <c r="Q700">
        <f>-0.0023853942*3600</f>
        <v>-8.5874191199999999</v>
      </c>
    </row>
    <row r="701" spans="1:17" x14ac:dyDescent="0.3">
      <c r="A701" s="4" t="s">
        <v>47</v>
      </c>
      <c r="B701" s="5" t="s">
        <v>312</v>
      </c>
      <c r="C701">
        <v>99.122827000000001</v>
      </c>
      <c r="D701">
        <v>109.125716</v>
      </c>
      <c r="E701">
        <v>1</v>
      </c>
      <c r="F701">
        <v>1</v>
      </c>
      <c r="G701">
        <v>0.26100000000000001</v>
      </c>
      <c r="H701">
        <v>0</v>
      </c>
      <c r="I701" t="s">
        <v>0</v>
      </c>
      <c r="J701" t="s">
        <v>59</v>
      </c>
      <c r="K701">
        <v>0</v>
      </c>
      <c r="L701" t="s">
        <v>60</v>
      </c>
      <c r="M701">
        <v>1</v>
      </c>
      <c r="N701" t="s">
        <v>67</v>
      </c>
      <c r="O701" s="2">
        <v>0.47986111111111113</v>
      </c>
      <c r="P701">
        <f>-0.0009077372*3600</f>
        <v>-3.2678539199999999</v>
      </c>
      <c r="Q701">
        <f>-0.0023914541*3600</f>
        <v>-8.6092347599999997</v>
      </c>
    </row>
    <row r="702" spans="1:17" x14ac:dyDescent="0.3">
      <c r="A702" s="4" t="s">
        <v>47</v>
      </c>
      <c r="B702" s="5" t="s">
        <v>313</v>
      </c>
      <c r="C702">
        <v>99.123041000000001</v>
      </c>
      <c r="D702">
        <v>109.12560000000001</v>
      </c>
      <c r="E702">
        <v>1</v>
      </c>
      <c r="F702">
        <v>1</v>
      </c>
      <c r="G702">
        <v>0.26100000000000001</v>
      </c>
      <c r="H702">
        <v>0</v>
      </c>
      <c r="I702" t="s">
        <v>0</v>
      </c>
      <c r="J702" t="s">
        <v>59</v>
      </c>
      <c r="K702">
        <v>0</v>
      </c>
      <c r="L702" t="s">
        <v>60</v>
      </c>
      <c r="M702">
        <v>1</v>
      </c>
      <c r="N702" t="s">
        <v>67</v>
      </c>
      <c r="O702" s="2">
        <v>0.47986111111111113</v>
      </c>
      <c r="P702">
        <f>-0.0008767097*3600</f>
        <v>-3.1561549199999996</v>
      </c>
      <c r="Q702">
        <f>-0.0025084299*3600</f>
        <v>-9.0303476399999987</v>
      </c>
    </row>
    <row r="703" spans="1:17" x14ac:dyDescent="0.3">
      <c r="A703" s="4" t="s">
        <v>47</v>
      </c>
      <c r="B703" s="5" t="s">
        <v>314</v>
      </c>
      <c r="C703">
        <v>99.122917999999999</v>
      </c>
      <c r="D703">
        <v>109.125653</v>
      </c>
      <c r="E703">
        <v>1</v>
      </c>
      <c r="F703">
        <v>1</v>
      </c>
      <c r="G703">
        <v>0.26100000000000001</v>
      </c>
      <c r="H703">
        <v>0</v>
      </c>
      <c r="I703" t="s">
        <v>0</v>
      </c>
      <c r="J703" t="s">
        <v>59</v>
      </c>
      <c r="K703">
        <v>0</v>
      </c>
      <c r="L703" t="s">
        <v>60</v>
      </c>
      <c r="M703">
        <v>1</v>
      </c>
      <c r="N703" t="s">
        <v>67</v>
      </c>
      <c r="O703" s="2">
        <v>0.47986111111111113</v>
      </c>
      <c r="P703">
        <f>-0.0009376225*3600</f>
        <v>-3.3754409999999999</v>
      </c>
      <c r="Q703">
        <f>-0.0024680965*3600</f>
        <v>-8.885147400000001</v>
      </c>
    </row>
    <row r="704" spans="1:17" x14ac:dyDescent="0.3">
      <c r="A704" s="4" t="s">
        <v>47</v>
      </c>
      <c r="B704" s="6" t="s">
        <v>315</v>
      </c>
      <c r="C704">
        <v>299.12269900000001</v>
      </c>
      <c r="D704">
        <v>290.75003900000002</v>
      </c>
      <c r="E704">
        <v>8.0432000000000006</v>
      </c>
      <c r="F704">
        <v>7.9569999999999999</v>
      </c>
      <c r="G704">
        <v>0.26100000000000001</v>
      </c>
      <c r="H704">
        <v>0</v>
      </c>
      <c r="I704" t="s">
        <v>0</v>
      </c>
      <c r="J704" t="s">
        <v>59</v>
      </c>
      <c r="K704">
        <v>3.4000000000000002E-2</v>
      </c>
      <c r="L704" t="s">
        <v>60</v>
      </c>
      <c r="M704">
        <v>1</v>
      </c>
      <c r="N704" t="s">
        <v>53</v>
      </c>
      <c r="O704" s="2">
        <v>0.48055555555555557</v>
      </c>
      <c r="P704">
        <f>0.0006198524*3600</f>
        <v>2.2314686400000001</v>
      </c>
      <c r="Q704">
        <f>0.0017902685*3600</f>
        <v>6.4449665999999999</v>
      </c>
    </row>
    <row r="705" spans="1:17" x14ac:dyDescent="0.3">
      <c r="A705" s="4" t="s">
        <v>47</v>
      </c>
      <c r="B705" s="6" t="s">
        <v>316</v>
      </c>
      <c r="C705">
        <v>299.123043</v>
      </c>
      <c r="D705">
        <v>290.86396200000001</v>
      </c>
      <c r="E705">
        <v>1</v>
      </c>
      <c r="F705">
        <v>1</v>
      </c>
      <c r="G705">
        <v>0.26100000000000001</v>
      </c>
      <c r="H705">
        <v>0</v>
      </c>
      <c r="I705" t="s">
        <v>0</v>
      </c>
      <c r="J705" t="s">
        <v>59</v>
      </c>
      <c r="K705">
        <v>0</v>
      </c>
      <c r="L705" t="s">
        <v>60</v>
      </c>
      <c r="M705">
        <v>1</v>
      </c>
      <c r="N705" t="s">
        <v>67</v>
      </c>
      <c r="O705" s="2">
        <v>0.48055555555555557</v>
      </c>
      <c r="P705">
        <f>-0.0002387289*3600</f>
        <v>-0.85942403999999994</v>
      </c>
      <c r="Q705">
        <f>0.0018643753*3600</f>
        <v>6.71175108</v>
      </c>
    </row>
    <row r="706" spans="1:17" x14ac:dyDescent="0.3">
      <c r="A706" s="4" t="s">
        <v>47</v>
      </c>
      <c r="B706" s="6" t="s">
        <v>317</v>
      </c>
      <c r="C706">
        <v>299.12295799999998</v>
      </c>
      <c r="D706">
        <v>290.86400400000002</v>
      </c>
      <c r="E706">
        <v>1</v>
      </c>
      <c r="F706">
        <v>1</v>
      </c>
      <c r="G706">
        <v>0.26100000000000001</v>
      </c>
      <c r="H706">
        <v>0</v>
      </c>
      <c r="I706" t="s">
        <v>0</v>
      </c>
      <c r="J706" t="s">
        <v>59</v>
      </c>
      <c r="K706">
        <v>0</v>
      </c>
      <c r="L706" t="s">
        <v>60</v>
      </c>
      <c r="M706">
        <v>1</v>
      </c>
      <c r="N706" t="s">
        <v>67</v>
      </c>
      <c r="O706" s="2">
        <v>0.48055555555555557</v>
      </c>
      <c r="P706">
        <f>-0.0001579247*3600</f>
        <v>-0.56852891999999999</v>
      </c>
      <c r="Q706">
        <f>0.0019313321*3600</f>
        <v>6.9527955600000002</v>
      </c>
    </row>
    <row r="707" spans="1:17" x14ac:dyDescent="0.3">
      <c r="A707" s="4" t="s">
        <v>47</v>
      </c>
      <c r="B707" s="6" t="s">
        <v>318</v>
      </c>
      <c r="C707">
        <v>299.12232599999999</v>
      </c>
      <c r="D707">
        <v>290.86388599999998</v>
      </c>
      <c r="E707">
        <v>1</v>
      </c>
      <c r="F707">
        <v>1</v>
      </c>
      <c r="G707">
        <v>0.26100000000000001</v>
      </c>
      <c r="H707">
        <v>0</v>
      </c>
      <c r="I707" t="s">
        <v>0</v>
      </c>
      <c r="J707" t="s">
        <v>59</v>
      </c>
      <c r="K707">
        <v>0</v>
      </c>
      <c r="L707" t="s">
        <v>60</v>
      </c>
      <c r="M707">
        <v>1</v>
      </c>
      <c r="N707" t="s">
        <v>67</v>
      </c>
      <c r="O707" s="2">
        <v>0.48055555555555557</v>
      </c>
      <c r="P707">
        <f>-0.0000823456*3600</f>
        <v>-0.29644416000000001</v>
      </c>
      <c r="Q707">
        <f>0.001817183*3600</f>
        <v>6.5418588</v>
      </c>
    </row>
    <row r="708" spans="1:17" x14ac:dyDescent="0.3">
      <c r="A708" s="4" t="s">
        <v>47</v>
      </c>
      <c r="B708" s="6" t="s">
        <v>319</v>
      </c>
      <c r="C708">
        <v>299.12276400000002</v>
      </c>
      <c r="D708">
        <v>290.86391300000003</v>
      </c>
      <c r="E708">
        <v>1</v>
      </c>
      <c r="F708">
        <v>1</v>
      </c>
      <c r="G708">
        <v>0.26100000000000001</v>
      </c>
      <c r="H708">
        <v>0</v>
      </c>
      <c r="I708" t="s">
        <v>0</v>
      </c>
      <c r="J708" t="s">
        <v>59</v>
      </c>
      <c r="K708">
        <v>0</v>
      </c>
      <c r="L708" t="s">
        <v>60</v>
      </c>
      <c r="M708">
        <v>1</v>
      </c>
      <c r="N708" t="s">
        <v>67</v>
      </c>
      <c r="O708" s="2">
        <v>0.48055555555555557</v>
      </c>
      <c r="P708">
        <f>-0.0000637783*3600</f>
        <v>-0.22960188000000001</v>
      </c>
      <c r="Q708">
        <f>0.0018295178*3600</f>
        <v>6.5862640800000003</v>
      </c>
    </row>
    <row r="709" spans="1:17" x14ac:dyDescent="0.3">
      <c r="A709" s="4" t="s">
        <v>47</v>
      </c>
      <c r="B709" s="6" t="s">
        <v>320</v>
      </c>
      <c r="C709">
        <v>299.12308400000001</v>
      </c>
      <c r="D709">
        <v>290.86387000000002</v>
      </c>
      <c r="E709">
        <v>1</v>
      </c>
      <c r="F709">
        <v>1</v>
      </c>
      <c r="G709">
        <v>0.26100000000000001</v>
      </c>
      <c r="H709">
        <v>0</v>
      </c>
      <c r="I709" t="s">
        <v>0</v>
      </c>
      <c r="J709" t="s">
        <v>59</v>
      </c>
      <c r="K709">
        <v>0</v>
      </c>
      <c r="L709" t="s">
        <v>60</v>
      </c>
      <c r="M709">
        <v>1</v>
      </c>
      <c r="N709" t="s">
        <v>67</v>
      </c>
      <c r="O709" s="2">
        <v>0.48055555555555557</v>
      </c>
      <c r="P709">
        <f>-0.0000566136*3600</f>
        <v>-0.20380896000000001</v>
      </c>
      <c r="Q709">
        <f>0.0017691219*3600</f>
        <v>6.3688388400000004</v>
      </c>
    </row>
    <row r="710" spans="1:17" x14ac:dyDescent="0.3">
      <c r="A710" s="4" t="s">
        <v>47</v>
      </c>
      <c r="B710" s="6" t="s">
        <v>321</v>
      </c>
      <c r="C710">
        <v>299.12235600000002</v>
      </c>
      <c r="D710">
        <v>290.863989</v>
      </c>
      <c r="E710">
        <v>1</v>
      </c>
      <c r="F710">
        <v>1</v>
      </c>
      <c r="G710">
        <v>0.26100000000000001</v>
      </c>
      <c r="H710">
        <v>0</v>
      </c>
      <c r="I710" t="s">
        <v>0</v>
      </c>
      <c r="J710" t="s">
        <v>59</v>
      </c>
      <c r="K710">
        <v>0</v>
      </c>
      <c r="L710" t="s">
        <v>60</v>
      </c>
      <c r="M710">
        <v>1</v>
      </c>
      <c r="N710" t="s">
        <v>67</v>
      </c>
      <c r="O710" s="2">
        <v>0.48055555555555557</v>
      </c>
      <c r="P710">
        <f>-0.0000683559*3600</f>
        <v>-0.24608124000000001</v>
      </c>
      <c r="Q710">
        <f>0.0018875536*3600</f>
        <v>6.7951929599999996</v>
      </c>
    </row>
    <row r="711" spans="1:17" x14ac:dyDescent="0.3">
      <c r="A711" s="4" t="s">
        <v>47</v>
      </c>
      <c r="B711" s="6" t="s">
        <v>322</v>
      </c>
      <c r="C711">
        <v>299.12224800000001</v>
      </c>
      <c r="D711">
        <v>290.86396400000001</v>
      </c>
      <c r="E711">
        <v>1</v>
      </c>
      <c r="F711">
        <v>1</v>
      </c>
      <c r="G711">
        <v>0.26100000000000001</v>
      </c>
      <c r="H711">
        <v>0</v>
      </c>
      <c r="I711" t="s">
        <v>0</v>
      </c>
      <c r="J711" t="s">
        <v>59</v>
      </c>
      <c r="K711">
        <v>0</v>
      </c>
      <c r="L711" t="s">
        <v>60</v>
      </c>
      <c r="M711">
        <v>1</v>
      </c>
      <c r="N711" t="s">
        <v>67</v>
      </c>
      <c r="O711" s="2">
        <v>0.48055555555555557</v>
      </c>
      <c r="P711">
        <f>-0.0000716593*3600</f>
        <v>-0.25797347999999998</v>
      </c>
      <c r="Q711">
        <f>0.0018713774*3600</f>
        <v>6.7369586400000001</v>
      </c>
    </row>
    <row r="712" spans="1:17" x14ac:dyDescent="0.3">
      <c r="A712" s="4" t="s">
        <v>47</v>
      </c>
      <c r="B712" s="6" t="s">
        <v>323</v>
      </c>
      <c r="C712">
        <v>299.122998</v>
      </c>
      <c r="D712">
        <v>290.86407500000001</v>
      </c>
      <c r="E712">
        <v>1</v>
      </c>
      <c r="F712">
        <v>1</v>
      </c>
      <c r="G712">
        <v>0.26100000000000001</v>
      </c>
      <c r="H712">
        <v>0</v>
      </c>
      <c r="I712" t="s">
        <v>0</v>
      </c>
      <c r="J712" t="s">
        <v>59</v>
      </c>
      <c r="K712">
        <v>0</v>
      </c>
      <c r="L712" t="s">
        <v>60</v>
      </c>
      <c r="M712">
        <v>1</v>
      </c>
      <c r="N712" t="s">
        <v>67</v>
      </c>
      <c r="O712" s="2">
        <v>0.48055555555555557</v>
      </c>
      <c r="P712">
        <f>-0.0000376404*3600</f>
        <v>-0.13550544</v>
      </c>
      <c r="Q712">
        <f>0.0019511798*3600</f>
        <v>7.02424728</v>
      </c>
    </row>
    <row r="713" spans="1:17" x14ac:dyDescent="0.3">
      <c r="A713" s="4" t="s">
        <v>47</v>
      </c>
      <c r="B713" s="6" t="s">
        <v>324</v>
      </c>
      <c r="C713">
        <v>299.12216799999999</v>
      </c>
      <c r="D713">
        <v>290.86401899999998</v>
      </c>
      <c r="E713">
        <v>1</v>
      </c>
      <c r="F713">
        <v>1</v>
      </c>
      <c r="G713">
        <v>0.26100000000000001</v>
      </c>
      <c r="H713">
        <v>0</v>
      </c>
      <c r="I713" t="s">
        <v>0</v>
      </c>
      <c r="J713" t="s">
        <v>59</v>
      </c>
      <c r="K713">
        <v>0</v>
      </c>
      <c r="L713" t="s">
        <v>60</v>
      </c>
      <c r="M713">
        <v>1</v>
      </c>
      <c r="N713" t="s">
        <v>67</v>
      </c>
      <c r="O713" s="2">
        <v>0.48055555555555557</v>
      </c>
      <c r="P713">
        <f>-0.0000918046*3600</f>
        <v>-0.33049655999999999</v>
      </c>
      <c r="Q713">
        <f>0.0018997106*3600</f>
        <v>6.8389581599999998</v>
      </c>
    </row>
    <row r="714" spans="1:17" x14ac:dyDescent="0.3">
      <c r="A714" s="4" t="s">
        <v>47</v>
      </c>
      <c r="B714" s="6" t="s">
        <v>325</v>
      </c>
      <c r="C714">
        <v>299.12264599999997</v>
      </c>
      <c r="D714">
        <v>290.86405000000002</v>
      </c>
      <c r="E714">
        <v>1</v>
      </c>
      <c r="F714">
        <v>1</v>
      </c>
      <c r="G714">
        <v>0.26100000000000001</v>
      </c>
      <c r="H714">
        <v>0</v>
      </c>
      <c r="I714" t="s">
        <v>0</v>
      </c>
      <c r="J714" t="s">
        <v>59</v>
      </c>
      <c r="K714">
        <v>0</v>
      </c>
      <c r="L714" t="s">
        <v>60</v>
      </c>
      <c r="M714">
        <v>1</v>
      </c>
      <c r="N714" t="s">
        <v>67</v>
      </c>
      <c r="O714" s="2">
        <v>0.48055555555555557</v>
      </c>
      <c r="P714">
        <f>-0.0001496261*3600</f>
        <v>-0.53865395999999999</v>
      </c>
      <c r="Q714">
        <f>0.0019305517*3600</f>
        <v>6.9499861200000002</v>
      </c>
    </row>
    <row r="715" spans="1:17" x14ac:dyDescent="0.3">
      <c r="A715" s="4" t="s">
        <v>47</v>
      </c>
      <c r="B715" s="6" t="s">
        <v>326</v>
      </c>
      <c r="C715">
        <v>299.12242300000003</v>
      </c>
      <c r="D715">
        <v>290.864035</v>
      </c>
      <c r="E715">
        <v>1</v>
      </c>
      <c r="F715">
        <v>1</v>
      </c>
      <c r="G715">
        <v>0.26100000000000001</v>
      </c>
      <c r="H715">
        <v>0</v>
      </c>
      <c r="I715" t="s">
        <v>0</v>
      </c>
      <c r="J715" t="s">
        <v>59</v>
      </c>
      <c r="K715">
        <v>0</v>
      </c>
      <c r="L715" t="s">
        <v>60</v>
      </c>
      <c r="M715">
        <v>1</v>
      </c>
      <c r="N715" t="s">
        <v>67</v>
      </c>
      <c r="O715" s="2">
        <v>0.48055555555555557</v>
      </c>
      <c r="P715">
        <f>-0.0000817426*3600</f>
        <v>-0.29427336000000004</v>
      </c>
      <c r="Q715">
        <f>0.0019050327*3600</f>
        <v>6.8581177200000001</v>
      </c>
    </row>
    <row r="716" spans="1:17" x14ac:dyDescent="0.3">
      <c r="A716" s="4" t="s">
        <v>47</v>
      </c>
      <c r="B716" s="6" t="s">
        <v>327</v>
      </c>
      <c r="C716">
        <v>299.12204500000001</v>
      </c>
      <c r="D716">
        <v>290.863923</v>
      </c>
      <c r="E716">
        <v>1</v>
      </c>
      <c r="F716">
        <v>1</v>
      </c>
      <c r="G716">
        <v>0.26100000000000001</v>
      </c>
      <c r="H716">
        <v>0</v>
      </c>
      <c r="I716" t="s">
        <v>0</v>
      </c>
      <c r="J716" t="s">
        <v>59</v>
      </c>
      <c r="K716">
        <v>0</v>
      </c>
      <c r="L716" t="s">
        <v>60</v>
      </c>
      <c r="M716">
        <v>1</v>
      </c>
      <c r="N716" t="s">
        <v>67</v>
      </c>
      <c r="O716" s="2">
        <v>0.48055555555555557</v>
      </c>
      <c r="P716">
        <f>-0.0000688532*3600</f>
        <v>-0.24787152000000001</v>
      </c>
      <c r="Q716">
        <f>0.0018134004*3600</f>
        <v>6.5282414400000004</v>
      </c>
    </row>
    <row r="717" spans="1:17" x14ac:dyDescent="0.3">
      <c r="A717" s="4" t="s">
        <v>47</v>
      </c>
      <c r="B717" s="6" t="s">
        <v>328</v>
      </c>
      <c r="C717">
        <v>299.122342</v>
      </c>
      <c r="D717">
        <v>290.86399899999998</v>
      </c>
      <c r="E717">
        <v>1</v>
      </c>
      <c r="F717">
        <v>1</v>
      </c>
      <c r="G717">
        <v>0.26100000000000001</v>
      </c>
      <c r="H717">
        <v>0</v>
      </c>
      <c r="I717" t="s">
        <v>0</v>
      </c>
      <c r="J717" t="s">
        <v>59</v>
      </c>
      <c r="K717">
        <v>0</v>
      </c>
      <c r="L717" t="s">
        <v>60</v>
      </c>
      <c r="M717">
        <v>1</v>
      </c>
      <c r="N717" t="s">
        <v>67</v>
      </c>
      <c r="O717" s="2">
        <v>0.48055555555555557</v>
      </c>
      <c r="P717">
        <f>-0.0000507415*3600</f>
        <v>-0.18266940000000001</v>
      </c>
      <c r="Q717">
        <f>0.0018486655*3600</f>
        <v>6.6551957999999996</v>
      </c>
    </row>
    <row r="718" spans="1:17" x14ac:dyDescent="0.3">
      <c r="A718" s="4" t="s">
        <v>47</v>
      </c>
      <c r="B718" s="6" t="s">
        <v>329</v>
      </c>
      <c r="C718">
        <v>299.12230399999999</v>
      </c>
      <c r="D718">
        <v>290.863992</v>
      </c>
      <c r="E718">
        <v>1</v>
      </c>
      <c r="F718">
        <v>1</v>
      </c>
      <c r="G718">
        <v>0.26100000000000001</v>
      </c>
      <c r="H718">
        <v>0</v>
      </c>
      <c r="I718" t="s">
        <v>0</v>
      </c>
      <c r="J718" t="s">
        <v>59</v>
      </c>
      <c r="K718">
        <v>0</v>
      </c>
      <c r="L718" t="s">
        <v>60</v>
      </c>
      <c r="M718">
        <v>1</v>
      </c>
      <c r="N718" t="s">
        <v>67</v>
      </c>
      <c r="O718" s="2">
        <v>0.48055555555555557</v>
      </c>
      <c r="P718">
        <f>-0.0000933443*3600</f>
        <v>-0.33603948</v>
      </c>
      <c r="Q718">
        <f>0.0018555563*3600</f>
        <v>6.6800026800000003</v>
      </c>
    </row>
    <row r="719" spans="1:17" x14ac:dyDescent="0.3">
      <c r="A719" s="4" t="s">
        <v>47</v>
      </c>
      <c r="B719" s="6" t="s">
        <v>330</v>
      </c>
      <c r="C719">
        <v>299.12211400000001</v>
      </c>
      <c r="D719">
        <v>290.86401999999998</v>
      </c>
      <c r="E719">
        <v>1</v>
      </c>
      <c r="F719">
        <v>1</v>
      </c>
      <c r="G719">
        <v>0.26100000000000001</v>
      </c>
      <c r="H719">
        <v>0</v>
      </c>
      <c r="I719" t="s">
        <v>0</v>
      </c>
      <c r="J719" t="s">
        <v>59</v>
      </c>
      <c r="K719">
        <v>0</v>
      </c>
      <c r="L719" t="s">
        <v>60</v>
      </c>
      <c r="M719">
        <v>1</v>
      </c>
      <c r="N719" t="s">
        <v>67</v>
      </c>
      <c r="O719" s="2">
        <v>0.48055555555555557</v>
      </c>
      <c r="P719">
        <f>-0.0001291448*3600</f>
        <v>-0.46492128000000005</v>
      </c>
      <c r="Q719">
        <f>0.0019024529*3600</f>
        <v>6.8488304400000004</v>
      </c>
    </row>
    <row r="720" spans="1:17" x14ac:dyDescent="0.3">
      <c r="A720" s="4" t="s">
        <v>47</v>
      </c>
      <c r="B720" s="6" t="s">
        <v>331</v>
      </c>
      <c r="C720">
        <v>299.12393900000001</v>
      </c>
      <c r="D720">
        <v>290.86404399999998</v>
      </c>
      <c r="E720">
        <v>1</v>
      </c>
      <c r="F720">
        <v>1</v>
      </c>
      <c r="G720">
        <v>0.26100000000000001</v>
      </c>
      <c r="H720">
        <v>0</v>
      </c>
      <c r="I720" t="s">
        <v>0</v>
      </c>
      <c r="J720" t="s">
        <v>59</v>
      </c>
      <c r="K720">
        <v>0</v>
      </c>
      <c r="L720" t="s">
        <v>60</v>
      </c>
      <c r="M720">
        <v>1</v>
      </c>
      <c r="N720" t="s">
        <v>67</v>
      </c>
      <c r="O720" s="2">
        <v>0.48055555555555557</v>
      </c>
      <c r="P720">
        <f>-0.0000266102*3600</f>
        <v>-9.5796720000000002E-2</v>
      </c>
      <c r="Q720">
        <f>0.0018588552*3600</f>
        <v>6.6918787200000001</v>
      </c>
    </row>
    <row r="721" spans="1:17" x14ac:dyDescent="0.3">
      <c r="A721" s="4" t="s">
        <v>47</v>
      </c>
      <c r="B721" s="6" t="s">
        <v>332</v>
      </c>
      <c r="C721">
        <v>299.123242</v>
      </c>
      <c r="D721">
        <v>290.86416600000001</v>
      </c>
      <c r="E721">
        <v>1</v>
      </c>
      <c r="F721">
        <v>1</v>
      </c>
      <c r="G721">
        <v>0.26100000000000001</v>
      </c>
      <c r="H721">
        <v>0</v>
      </c>
      <c r="I721" t="s">
        <v>0</v>
      </c>
      <c r="J721" t="s">
        <v>59</v>
      </c>
      <c r="K721">
        <v>0</v>
      </c>
      <c r="L721" t="s">
        <v>60</v>
      </c>
      <c r="M721">
        <v>1</v>
      </c>
      <c r="N721" t="s">
        <v>67</v>
      </c>
      <c r="O721" s="2">
        <v>0.48055555555555557</v>
      </c>
      <c r="P721">
        <f>-0.0001167864*3600</f>
        <v>-0.42043104000000003</v>
      </c>
      <c r="Q721">
        <f>0.0020559288*3600</f>
        <v>7.4013436800000001</v>
      </c>
    </row>
    <row r="722" spans="1:17" x14ac:dyDescent="0.3">
      <c r="A722" s="4" t="s">
        <v>47</v>
      </c>
      <c r="B722" s="6" t="s">
        <v>333</v>
      </c>
      <c r="C722">
        <v>299.122772</v>
      </c>
      <c r="D722">
        <v>290.86414400000001</v>
      </c>
      <c r="E722">
        <v>1</v>
      </c>
      <c r="F722">
        <v>1</v>
      </c>
      <c r="G722">
        <v>0.26100000000000001</v>
      </c>
      <c r="H722">
        <v>0</v>
      </c>
      <c r="I722" t="s">
        <v>0</v>
      </c>
      <c r="J722" t="s">
        <v>59</v>
      </c>
      <c r="K722">
        <v>0</v>
      </c>
      <c r="L722" t="s">
        <v>60</v>
      </c>
      <c r="M722">
        <v>1</v>
      </c>
      <c r="N722" t="s">
        <v>67</v>
      </c>
      <c r="O722" s="2">
        <v>0.48055555555555557</v>
      </c>
      <c r="P722">
        <f>-0.0000532545*3600</f>
        <v>-0.1917162</v>
      </c>
      <c r="Q722">
        <f>0.0020050941*3600</f>
        <v>7.2183387599999991</v>
      </c>
    </row>
    <row r="723" spans="1:17" x14ac:dyDescent="0.3">
      <c r="A723" s="4" t="s">
        <v>47</v>
      </c>
      <c r="B723" s="6" t="s">
        <v>334</v>
      </c>
      <c r="C723">
        <v>299.12229400000001</v>
      </c>
      <c r="D723">
        <v>290.86415699999998</v>
      </c>
      <c r="E723">
        <v>1</v>
      </c>
      <c r="F723">
        <v>1</v>
      </c>
      <c r="G723">
        <v>0.26100000000000001</v>
      </c>
      <c r="H723">
        <v>0</v>
      </c>
      <c r="I723" t="s">
        <v>0</v>
      </c>
      <c r="J723" t="s">
        <v>59</v>
      </c>
      <c r="K723">
        <v>0</v>
      </c>
      <c r="L723" t="s">
        <v>60</v>
      </c>
      <c r="M723">
        <v>1</v>
      </c>
      <c r="N723" t="s">
        <v>67</v>
      </c>
      <c r="O723" s="2">
        <v>0.48055555555555557</v>
      </c>
      <c r="P723">
        <f>-0.0000927787*3600</f>
        <v>-0.33400332000000005</v>
      </c>
      <c r="Q723">
        <f>0.0020245559*3600</f>
        <v>7.2884012399999989</v>
      </c>
    </row>
    <row r="724" spans="1:17" x14ac:dyDescent="0.3">
      <c r="A724" s="4" t="s">
        <v>47</v>
      </c>
      <c r="B724" s="6" t="s">
        <v>335</v>
      </c>
      <c r="C724">
        <v>299.12219900000002</v>
      </c>
      <c r="D724">
        <v>290.86411600000002</v>
      </c>
      <c r="E724">
        <v>1</v>
      </c>
      <c r="F724">
        <v>1</v>
      </c>
      <c r="G724">
        <v>0.26100000000000001</v>
      </c>
      <c r="H724">
        <v>0</v>
      </c>
      <c r="I724" t="s">
        <v>0</v>
      </c>
      <c r="J724" t="s">
        <v>59</v>
      </c>
      <c r="K724">
        <v>0</v>
      </c>
      <c r="L724" t="s">
        <v>60</v>
      </c>
      <c r="M724">
        <v>1</v>
      </c>
      <c r="N724" t="s">
        <v>67</v>
      </c>
      <c r="O724" s="2">
        <v>0.48055555555555557</v>
      </c>
      <c r="P724">
        <f>-0.0001683416*3600</f>
        <v>-0.60602975999999997</v>
      </c>
      <c r="Q724">
        <f>0.0019686566*3600</f>
        <v>7.0871637599999993</v>
      </c>
    </row>
    <row r="725" spans="1:17" x14ac:dyDescent="0.3">
      <c r="A725" s="4" t="s">
        <v>47</v>
      </c>
      <c r="B725" s="6" t="s">
        <v>336</v>
      </c>
      <c r="C725">
        <v>299.123379</v>
      </c>
      <c r="D725">
        <v>290.864169</v>
      </c>
      <c r="E725">
        <v>1</v>
      </c>
      <c r="F725">
        <v>1</v>
      </c>
      <c r="G725">
        <v>0.26100000000000001</v>
      </c>
      <c r="H725">
        <v>0</v>
      </c>
      <c r="I725" t="s">
        <v>0</v>
      </c>
      <c r="J725" t="s">
        <v>59</v>
      </c>
      <c r="K725">
        <v>0</v>
      </c>
      <c r="L725" t="s">
        <v>60</v>
      </c>
      <c r="M725">
        <v>1</v>
      </c>
      <c r="N725" t="s">
        <v>67</v>
      </c>
      <c r="O725" s="2">
        <v>0.48055555555555557</v>
      </c>
      <c r="P725">
        <f>-0.0001092993*3600</f>
        <v>-0.39347748000000005</v>
      </c>
      <c r="Q725">
        <f>0.0020038834*3600</f>
        <v>7.2139802399999997</v>
      </c>
    </row>
    <row r="726" spans="1:17" x14ac:dyDescent="0.3">
      <c r="A726" s="4" t="s">
        <v>47</v>
      </c>
      <c r="B726" s="6" t="s">
        <v>337</v>
      </c>
      <c r="C726">
        <v>299.12238300000001</v>
      </c>
      <c r="D726">
        <v>290.864147</v>
      </c>
      <c r="E726">
        <v>1</v>
      </c>
      <c r="F726">
        <v>1</v>
      </c>
      <c r="G726">
        <v>0.26100000000000001</v>
      </c>
      <c r="H726">
        <v>0</v>
      </c>
      <c r="I726" t="s">
        <v>0</v>
      </c>
      <c r="J726" t="s">
        <v>59</v>
      </c>
      <c r="K726">
        <v>0</v>
      </c>
      <c r="L726" t="s">
        <v>60</v>
      </c>
      <c r="M726">
        <v>1</v>
      </c>
      <c r="N726" t="s">
        <v>67</v>
      </c>
      <c r="O726" s="2">
        <v>0.48055555555555557</v>
      </c>
      <c r="P726">
        <f>-0.000142369*3600</f>
        <v>-0.5125284</v>
      </c>
      <c r="Q726">
        <f>0.0019848396*3600</f>
        <v>7.145422560000001</v>
      </c>
    </row>
    <row r="727" spans="1:17" x14ac:dyDescent="0.3">
      <c r="A727" s="4" t="s">
        <v>47</v>
      </c>
      <c r="B727" s="6" t="s">
        <v>338</v>
      </c>
      <c r="C727">
        <v>299.12233099999997</v>
      </c>
      <c r="D727">
        <v>290.864125</v>
      </c>
      <c r="E727">
        <v>1</v>
      </c>
      <c r="F727">
        <v>1</v>
      </c>
      <c r="G727">
        <v>0.26100000000000001</v>
      </c>
      <c r="H727">
        <v>0</v>
      </c>
      <c r="I727" t="s">
        <v>0</v>
      </c>
      <c r="J727" t="s">
        <v>59</v>
      </c>
      <c r="K727">
        <v>0</v>
      </c>
      <c r="L727" t="s">
        <v>60</v>
      </c>
      <c r="M727">
        <v>1</v>
      </c>
      <c r="N727" t="s">
        <v>67</v>
      </c>
      <c r="O727" s="2">
        <v>0.48055555555555557</v>
      </c>
      <c r="P727">
        <f>-0.0002364965*3600</f>
        <v>-0.85138740000000002</v>
      </c>
      <c r="Q727">
        <f>0.0019708143*3600</f>
        <v>7.0949314800000005</v>
      </c>
    </row>
    <row r="728" spans="1:17" x14ac:dyDescent="0.3">
      <c r="A728" s="4" t="s">
        <v>47</v>
      </c>
      <c r="B728" s="6" t="s">
        <v>339</v>
      </c>
      <c r="C728">
        <v>299.12257099999999</v>
      </c>
      <c r="D728">
        <v>290.86415799999997</v>
      </c>
      <c r="E728">
        <v>1</v>
      </c>
      <c r="F728">
        <v>1</v>
      </c>
      <c r="G728">
        <v>0.26100000000000001</v>
      </c>
      <c r="H728">
        <v>0</v>
      </c>
      <c r="I728" t="s">
        <v>0</v>
      </c>
      <c r="J728" t="s">
        <v>59</v>
      </c>
      <c r="K728">
        <v>0</v>
      </c>
      <c r="L728" t="s">
        <v>60</v>
      </c>
      <c r="M728">
        <v>1</v>
      </c>
      <c r="N728" t="s">
        <v>67</v>
      </c>
      <c r="O728" s="2">
        <v>0.48055555555555557</v>
      </c>
      <c r="P728">
        <f>-0.0002628985*3600</f>
        <v>-0.94643460000000013</v>
      </c>
      <c r="Q728">
        <f>0.0020210137*3600</f>
        <v>7.2756493200000003</v>
      </c>
    </row>
    <row r="729" spans="1:17" x14ac:dyDescent="0.3">
      <c r="A729" s="4" t="s">
        <v>47</v>
      </c>
      <c r="B729" s="6" t="s">
        <v>340</v>
      </c>
      <c r="C729">
        <v>299.12351999999998</v>
      </c>
      <c r="D729">
        <v>290.864079</v>
      </c>
      <c r="E729">
        <v>1</v>
      </c>
      <c r="F729">
        <v>1</v>
      </c>
      <c r="G729">
        <v>0.26100000000000001</v>
      </c>
      <c r="H729">
        <v>0</v>
      </c>
      <c r="I729" t="s">
        <v>0</v>
      </c>
      <c r="J729" t="s">
        <v>59</v>
      </c>
      <c r="K729">
        <v>0</v>
      </c>
      <c r="L729" t="s">
        <v>60</v>
      </c>
      <c r="M729">
        <v>1</v>
      </c>
      <c r="N729" t="s">
        <v>67</v>
      </c>
      <c r="O729" s="2">
        <v>0.48055555555555557</v>
      </c>
      <c r="P729">
        <f>-0.0001436808*3600</f>
        <v>-0.51725088000000008</v>
      </c>
      <c r="Q729">
        <f>0.0018735732*3600</f>
        <v>6.74486352</v>
      </c>
    </row>
    <row r="730" spans="1:17" x14ac:dyDescent="0.3">
      <c r="A730" s="4" t="s">
        <v>47</v>
      </c>
      <c r="B730" s="6" t="s">
        <v>341</v>
      </c>
      <c r="C730">
        <v>299.12272999999999</v>
      </c>
      <c r="D730">
        <v>290.86419100000001</v>
      </c>
      <c r="E730">
        <v>1</v>
      </c>
      <c r="F730">
        <v>1</v>
      </c>
      <c r="G730">
        <v>0.26100000000000001</v>
      </c>
      <c r="H730">
        <v>0</v>
      </c>
      <c r="I730" t="s">
        <v>0</v>
      </c>
      <c r="J730" t="s">
        <v>59</v>
      </c>
      <c r="K730">
        <v>0</v>
      </c>
      <c r="L730" t="s">
        <v>60</v>
      </c>
      <c r="M730">
        <v>1</v>
      </c>
      <c r="N730" t="s">
        <v>67</v>
      </c>
      <c r="O730" s="2">
        <v>0.48055555555555557</v>
      </c>
      <c r="P730">
        <f>-0.0001588442*3600</f>
        <v>-0.57183912000000003</v>
      </c>
      <c r="Q730">
        <f>0.0020163397*3600</f>
        <v>7.2588229200000001</v>
      </c>
    </row>
    <row r="731" spans="1:17" x14ac:dyDescent="0.3">
      <c r="A731" s="4" t="s">
        <v>47</v>
      </c>
      <c r="B731" s="6" t="s">
        <v>342</v>
      </c>
      <c r="C731">
        <v>299.12248799999998</v>
      </c>
      <c r="D731">
        <v>290.86415899999997</v>
      </c>
      <c r="E731">
        <v>1</v>
      </c>
      <c r="F731">
        <v>1</v>
      </c>
      <c r="G731">
        <v>0.26100000000000001</v>
      </c>
      <c r="H731">
        <v>0</v>
      </c>
      <c r="I731" t="s">
        <v>0</v>
      </c>
      <c r="J731" t="s">
        <v>59</v>
      </c>
      <c r="K731">
        <v>0</v>
      </c>
      <c r="L731" t="s">
        <v>60</v>
      </c>
      <c r="M731">
        <v>1</v>
      </c>
      <c r="N731" t="s">
        <v>67</v>
      </c>
      <c r="O731" s="2">
        <v>0.48055555555555557</v>
      </c>
      <c r="P731">
        <f>-0.0002410892*3600</f>
        <v>-0.86792111999999999</v>
      </c>
      <c r="Q731">
        <f>0.0020150223*3600</f>
        <v>7.2540802800000002</v>
      </c>
    </row>
    <row r="732" spans="1:17" x14ac:dyDescent="0.3">
      <c r="A732" s="4" t="s">
        <v>47</v>
      </c>
      <c r="B732" s="6" t="s">
        <v>343</v>
      </c>
      <c r="C732">
        <v>299.12219399999998</v>
      </c>
      <c r="D732">
        <v>290.86411700000002</v>
      </c>
      <c r="E732">
        <v>1</v>
      </c>
      <c r="F732">
        <v>1</v>
      </c>
      <c r="G732">
        <v>0.26100000000000001</v>
      </c>
      <c r="H732">
        <v>0</v>
      </c>
      <c r="I732" t="s">
        <v>0</v>
      </c>
      <c r="J732" t="s">
        <v>59</v>
      </c>
      <c r="K732">
        <v>0</v>
      </c>
      <c r="L732" t="s">
        <v>60</v>
      </c>
      <c r="M732">
        <v>1</v>
      </c>
      <c r="N732" t="s">
        <v>67</v>
      </c>
      <c r="O732" s="2">
        <v>0.48055555555555557</v>
      </c>
      <c r="P732">
        <f>-0.00021351*3600</f>
        <v>-0.76863599999999999</v>
      </c>
      <c r="Q732">
        <f>0.0019794768*3600</f>
        <v>7.1261164799999994</v>
      </c>
    </row>
    <row r="733" spans="1:17" x14ac:dyDescent="0.3">
      <c r="A733" s="4" t="s">
        <v>47</v>
      </c>
      <c r="B733" s="6" t="s">
        <v>344</v>
      </c>
      <c r="C733">
        <v>299.12181800000002</v>
      </c>
      <c r="D733">
        <v>290.86400500000002</v>
      </c>
      <c r="E733">
        <v>1</v>
      </c>
      <c r="F733">
        <v>1</v>
      </c>
      <c r="G733">
        <v>0.26100000000000001</v>
      </c>
      <c r="H733">
        <v>0</v>
      </c>
      <c r="I733" t="s">
        <v>0</v>
      </c>
      <c r="J733" t="s">
        <v>59</v>
      </c>
      <c r="K733">
        <v>0</v>
      </c>
      <c r="L733" t="s">
        <v>60</v>
      </c>
      <c r="M733">
        <v>1</v>
      </c>
      <c r="N733" t="s">
        <v>67</v>
      </c>
      <c r="O733" s="2">
        <v>0.48055555555555557</v>
      </c>
      <c r="P733">
        <f>-0.0003689769*3600</f>
        <v>-1.3283168400000001</v>
      </c>
      <c r="Q733">
        <f>0.0018671675*3600</f>
        <v>6.7218030000000004</v>
      </c>
    </row>
    <row r="734" spans="1:17" x14ac:dyDescent="0.3">
      <c r="A734" s="4" t="s">
        <v>47</v>
      </c>
      <c r="B734" s="6" t="s">
        <v>345</v>
      </c>
      <c r="C734">
        <v>299.12210599999997</v>
      </c>
      <c r="D734">
        <v>290.86404399999998</v>
      </c>
      <c r="E734">
        <v>1</v>
      </c>
      <c r="F734">
        <v>1</v>
      </c>
      <c r="G734">
        <v>0.26100000000000001</v>
      </c>
      <c r="H734">
        <v>0</v>
      </c>
      <c r="I734" t="s">
        <v>0</v>
      </c>
      <c r="J734" t="s">
        <v>59</v>
      </c>
      <c r="K734">
        <v>0</v>
      </c>
      <c r="L734" t="s">
        <v>60</v>
      </c>
      <c r="M734">
        <v>1</v>
      </c>
      <c r="N734" t="s">
        <v>67</v>
      </c>
      <c r="O734" s="2">
        <v>0.48055555555555557</v>
      </c>
      <c r="P734">
        <f>-0.0001031594*3600</f>
        <v>-0.37137383999999996</v>
      </c>
      <c r="Q734">
        <f>0.0018712607*3600</f>
        <v>6.7365385199999999</v>
      </c>
    </row>
    <row r="735" spans="1:17" x14ac:dyDescent="0.3">
      <c r="A735" s="4" t="s">
        <v>47</v>
      </c>
      <c r="B735" s="6" t="s">
        <v>346</v>
      </c>
      <c r="C735">
        <v>299.123245</v>
      </c>
      <c r="D735">
        <v>290.86421899999999</v>
      </c>
      <c r="E735">
        <v>1</v>
      </c>
      <c r="F735">
        <v>1</v>
      </c>
      <c r="G735">
        <v>0.26100000000000001</v>
      </c>
      <c r="H735">
        <v>0</v>
      </c>
      <c r="I735" t="s">
        <v>0</v>
      </c>
      <c r="J735" t="s">
        <v>59</v>
      </c>
      <c r="K735">
        <v>0</v>
      </c>
      <c r="L735" t="s">
        <v>60</v>
      </c>
      <c r="M735">
        <v>1</v>
      </c>
      <c r="N735" t="s">
        <v>67</v>
      </c>
      <c r="O735" s="2">
        <v>0.48055555555555557</v>
      </c>
      <c r="P735">
        <f>-0.0001545784*3600</f>
        <v>-0.55648224000000002</v>
      </c>
      <c r="Q735">
        <f>0.0020457193*3600</f>
        <v>7.3645894800000011</v>
      </c>
    </row>
    <row r="736" spans="1:17" x14ac:dyDescent="0.3">
      <c r="A736" s="4" t="s">
        <v>47</v>
      </c>
      <c r="B736" s="6" t="s">
        <v>347</v>
      </c>
      <c r="C736">
        <v>299.12327699999997</v>
      </c>
      <c r="D736">
        <v>290.86419599999999</v>
      </c>
      <c r="E736">
        <v>1</v>
      </c>
      <c r="F736">
        <v>1</v>
      </c>
      <c r="G736">
        <v>0.26100000000000001</v>
      </c>
      <c r="H736">
        <v>0</v>
      </c>
      <c r="I736" t="s">
        <v>0</v>
      </c>
      <c r="J736" t="s">
        <v>59</v>
      </c>
      <c r="K736">
        <v>0</v>
      </c>
      <c r="L736" t="s">
        <v>60</v>
      </c>
      <c r="M736">
        <v>1</v>
      </c>
      <c r="N736" t="s">
        <v>67</v>
      </c>
      <c r="O736" s="2">
        <v>0.48055555555555557</v>
      </c>
      <c r="P736">
        <f>-0.0001193797*3600</f>
        <v>-0.42976692</v>
      </c>
      <c r="Q736">
        <f>0.002029284*3600</f>
        <v>7.3054224000000003</v>
      </c>
    </row>
    <row r="737" spans="1:17" x14ac:dyDescent="0.3">
      <c r="A737" s="4" t="s">
        <v>47</v>
      </c>
      <c r="B737" s="6" t="s">
        <v>348</v>
      </c>
      <c r="C737">
        <v>299.12264900000002</v>
      </c>
      <c r="D737">
        <v>290.86418500000002</v>
      </c>
      <c r="E737">
        <v>1</v>
      </c>
      <c r="F737">
        <v>1</v>
      </c>
      <c r="G737">
        <v>0.26100000000000001</v>
      </c>
      <c r="H737">
        <v>0</v>
      </c>
      <c r="I737" t="s">
        <v>0</v>
      </c>
      <c r="J737" t="s">
        <v>59</v>
      </c>
      <c r="K737">
        <v>0</v>
      </c>
      <c r="L737" t="s">
        <v>60</v>
      </c>
      <c r="M737">
        <v>1</v>
      </c>
      <c r="N737" t="s">
        <v>67</v>
      </c>
      <c r="O737" s="2">
        <v>0.48055555555555557</v>
      </c>
      <c r="P737">
        <f>-0.0001694232*3600</f>
        <v>-0.60992351999999994</v>
      </c>
      <c r="Q737">
        <f>0.002029666*3600</f>
        <v>7.3067975999999994</v>
      </c>
    </row>
    <row r="738" spans="1:17" x14ac:dyDescent="0.3">
      <c r="A738" s="4" t="s">
        <v>47</v>
      </c>
      <c r="B738" s="6" t="s">
        <v>349</v>
      </c>
      <c r="C738">
        <v>299.12301600000001</v>
      </c>
      <c r="D738">
        <v>290.864172</v>
      </c>
      <c r="E738">
        <v>1</v>
      </c>
      <c r="F738">
        <v>1</v>
      </c>
      <c r="G738">
        <v>0.26100000000000001</v>
      </c>
      <c r="H738">
        <v>0</v>
      </c>
      <c r="I738" t="s">
        <v>0</v>
      </c>
      <c r="J738" t="s">
        <v>59</v>
      </c>
      <c r="K738">
        <v>0</v>
      </c>
      <c r="L738" t="s">
        <v>60</v>
      </c>
      <c r="M738">
        <v>1</v>
      </c>
      <c r="N738" t="s">
        <v>67</v>
      </c>
      <c r="O738" s="2">
        <v>0.48055555555555557</v>
      </c>
      <c r="P738">
        <f>-0.0001850541*3600</f>
        <v>-0.66619476</v>
      </c>
      <c r="Q738">
        <f>0.0020050546*3600</f>
        <v>7.2181965599999991</v>
      </c>
    </row>
    <row r="739" spans="1:17" x14ac:dyDescent="0.3">
      <c r="A739" s="4" t="s">
        <v>47</v>
      </c>
      <c r="B739" s="6" t="s">
        <v>350</v>
      </c>
      <c r="C739">
        <v>299.12227200000001</v>
      </c>
      <c r="D739">
        <v>290.86420700000002</v>
      </c>
      <c r="E739">
        <v>1</v>
      </c>
      <c r="F739">
        <v>1</v>
      </c>
      <c r="G739">
        <v>0.26100000000000001</v>
      </c>
      <c r="H739">
        <v>0</v>
      </c>
      <c r="I739" t="s">
        <v>0</v>
      </c>
      <c r="J739" t="s">
        <v>59</v>
      </c>
      <c r="K739">
        <v>0</v>
      </c>
      <c r="L739" t="s">
        <v>60</v>
      </c>
      <c r="M739">
        <v>1</v>
      </c>
      <c r="N739" t="s">
        <v>67</v>
      </c>
      <c r="O739" s="2">
        <v>0.48055555555555557</v>
      </c>
      <c r="P739">
        <f>-0.0001208917*3600</f>
        <v>-0.43521011999999998</v>
      </c>
      <c r="Q739">
        <f>0.0020536581*3600</f>
        <v>7.3931691599999994</v>
      </c>
    </row>
    <row r="740" spans="1:17" x14ac:dyDescent="0.3">
      <c r="A740" s="4" t="s">
        <v>47</v>
      </c>
      <c r="B740" s="6" t="s">
        <v>351</v>
      </c>
      <c r="C740">
        <v>299.12268699999998</v>
      </c>
      <c r="D740">
        <v>290.86420500000003</v>
      </c>
      <c r="E740">
        <v>1</v>
      </c>
      <c r="F740">
        <v>1</v>
      </c>
      <c r="G740">
        <v>0.26100000000000001</v>
      </c>
      <c r="H740">
        <v>0</v>
      </c>
      <c r="I740" t="s">
        <v>0</v>
      </c>
      <c r="J740" t="s">
        <v>59</v>
      </c>
      <c r="K740">
        <v>0</v>
      </c>
      <c r="L740" t="s">
        <v>60</v>
      </c>
      <c r="M740">
        <v>1</v>
      </c>
      <c r="N740" t="s">
        <v>67</v>
      </c>
      <c r="O740" s="2">
        <v>0.48055555555555557</v>
      </c>
      <c r="P740">
        <f>-0.0001911379*3600</f>
        <v>-0.68809644000000003</v>
      </c>
      <c r="Q740">
        <f>0.0020350233*3600</f>
        <v>7.3260838800000005</v>
      </c>
    </row>
    <row r="741" spans="1:17" x14ac:dyDescent="0.3">
      <c r="A741" s="4" t="s">
        <v>47</v>
      </c>
      <c r="B741" s="6" t="s">
        <v>352</v>
      </c>
      <c r="C741">
        <v>299.12287199999997</v>
      </c>
      <c r="D741">
        <v>290.86415899999997</v>
      </c>
      <c r="E741">
        <v>1</v>
      </c>
      <c r="F741">
        <v>1</v>
      </c>
      <c r="G741">
        <v>0.26100000000000001</v>
      </c>
      <c r="H741">
        <v>0</v>
      </c>
      <c r="I741" t="s">
        <v>0</v>
      </c>
      <c r="J741" t="s">
        <v>59</v>
      </c>
      <c r="K741">
        <v>0</v>
      </c>
      <c r="L741" t="s">
        <v>60</v>
      </c>
      <c r="M741">
        <v>1</v>
      </c>
      <c r="N741" t="s">
        <v>67</v>
      </c>
      <c r="O741" s="2">
        <v>0.48055555555555557</v>
      </c>
      <c r="P741">
        <f>-0.0002006369*3600</f>
        <v>-0.72229284000000005</v>
      </c>
      <c r="Q741">
        <f>0.0019563651*3600</f>
        <v>7.0429143599999993</v>
      </c>
    </row>
    <row r="742" spans="1:17" x14ac:dyDescent="0.3">
      <c r="A742" s="4" t="s">
        <v>47</v>
      </c>
      <c r="B742" s="6" t="s">
        <v>353</v>
      </c>
      <c r="C742">
        <v>299.12264299999998</v>
      </c>
      <c r="D742">
        <v>290.86398400000002</v>
      </c>
      <c r="E742">
        <v>1</v>
      </c>
      <c r="F742">
        <v>1</v>
      </c>
      <c r="G742">
        <v>0.26100000000000001</v>
      </c>
      <c r="H742">
        <v>0</v>
      </c>
      <c r="I742" t="s">
        <v>0</v>
      </c>
      <c r="J742" t="s">
        <v>59</v>
      </c>
      <c r="K742">
        <v>0</v>
      </c>
      <c r="L742" t="s">
        <v>60</v>
      </c>
      <c r="M742">
        <v>1</v>
      </c>
      <c r="N742" t="s">
        <v>67</v>
      </c>
      <c r="O742" s="2">
        <v>0.48125000000000001</v>
      </c>
      <c r="P742">
        <f>-0.0001197854*3600</f>
        <v>-0.43122743999999996</v>
      </c>
      <c r="Q742">
        <f>0.0018238158*3600</f>
        <v>6.5657368800000002</v>
      </c>
    </row>
    <row r="743" spans="1:17" x14ac:dyDescent="0.3">
      <c r="A743" s="4" t="s">
        <v>47</v>
      </c>
      <c r="B743" s="6" t="s">
        <v>354</v>
      </c>
      <c r="C743">
        <v>299.12231400000002</v>
      </c>
      <c r="D743">
        <v>290.86427700000002</v>
      </c>
      <c r="E743">
        <v>8.0434000000000001</v>
      </c>
      <c r="F743">
        <v>7.9592999999999998</v>
      </c>
      <c r="G743">
        <v>0.26100000000000001</v>
      </c>
      <c r="H743">
        <v>0</v>
      </c>
      <c r="I743" t="s">
        <v>0</v>
      </c>
      <c r="J743" t="s">
        <v>59</v>
      </c>
      <c r="K743">
        <v>3.4000000000000002E-2</v>
      </c>
      <c r="L743" t="s">
        <v>60</v>
      </c>
      <c r="M743">
        <v>1</v>
      </c>
      <c r="N743" t="s">
        <v>53</v>
      </c>
      <c r="O743" s="2">
        <v>0.48125000000000001</v>
      </c>
      <c r="P743">
        <f>0.0006562234*3600</f>
        <v>2.36240424</v>
      </c>
      <c r="Q743">
        <f>0.0020237884*3600</f>
        <v>7.2856382399999999</v>
      </c>
    </row>
    <row r="744" spans="1:17" x14ac:dyDescent="0.3">
      <c r="A744" s="4" t="s">
        <v>47</v>
      </c>
      <c r="B744" s="6" t="s">
        <v>355</v>
      </c>
      <c r="C744">
        <v>299.12260800000001</v>
      </c>
      <c r="D744">
        <v>290.86428899999999</v>
      </c>
      <c r="E744">
        <v>1</v>
      </c>
      <c r="F744">
        <v>1</v>
      </c>
      <c r="G744">
        <v>0.26100000000000001</v>
      </c>
      <c r="H744">
        <v>0</v>
      </c>
      <c r="I744" t="s">
        <v>0</v>
      </c>
      <c r="J744" t="s">
        <v>59</v>
      </c>
      <c r="K744">
        <v>0</v>
      </c>
      <c r="L744" t="s">
        <v>60</v>
      </c>
      <c r="M744">
        <v>1</v>
      </c>
      <c r="N744" t="s">
        <v>67</v>
      </c>
      <c r="O744" s="2">
        <v>0.48125000000000001</v>
      </c>
      <c r="P744">
        <f>0.0006228013*3600</f>
        <v>2.2420846800000001</v>
      </c>
      <c r="Q744">
        <f>0.0020411179*3600</f>
        <v>7.3480244400000005</v>
      </c>
    </row>
    <row r="745" spans="1:17" x14ac:dyDescent="0.3">
      <c r="A745" s="4" t="s">
        <v>47</v>
      </c>
      <c r="B745" s="6" t="s">
        <v>356</v>
      </c>
      <c r="C745">
        <v>299.12423000000001</v>
      </c>
      <c r="D745">
        <v>290.86464999999998</v>
      </c>
      <c r="E745">
        <v>1</v>
      </c>
      <c r="F745">
        <v>1</v>
      </c>
      <c r="G745">
        <v>0.26100000000000001</v>
      </c>
      <c r="H745">
        <v>0</v>
      </c>
      <c r="I745" t="s">
        <v>0</v>
      </c>
      <c r="J745" t="s">
        <v>59</v>
      </c>
      <c r="K745">
        <v>0</v>
      </c>
      <c r="L745" t="s">
        <v>60</v>
      </c>
      <c r="M745">
        <v>1</v>
      </c>
      <c r="N745" t="s">
        <v>67</v>
      </c>
      <c r="O745" s="2">
        <v>0.48125000000000001</v>
      </c>
      <c r="P745">
        <f>0.0005609318*3600</f>
        <v>2.0193544800000001</v>
      </c>
      <c r="Q745">
        <f>0.0022620501*3600</f>
        <v>8.1433803600000001</v>
      </c>
    </row>
    <row r="746" spans="1:17" x14ac:dyDescent="0.3">
      <c r="A746" s="4" t="s">
        <v>47</v>
      </c>
      <c r="B746" s="6" t="s">
        <v>357</v>
      </c>
      <c r="C746">
        <v>299.12297799999999</v>
      </c>
      <c r="D746">
        <v>290.86466300000001</v>
      </c>
      <c r="E746">
        <v>1</v>
      </c>
      <c r="F746">
        <v>1</v>
      </c>
      <c r="G746">
        <v>0.26100000000000001</v>
      </c>
      <c r="H746">
        <v>0</v>
      </c>
      <c r="I746" t="s">
        <v>0</v>
      </c>
      <c r="J746" t="s">
        <v>59</v>
      </c>
      <c r="K746">
        <v>0</v>
      </c>
      <c r="L746" t="s">
        <v>60</v>
      </c>
      <c r="M746">
        <v>1</v>
      </c>
      <c r="N746" t="s">
        <v>67</v>
      </c>
      <c r="O746" s="2">
        <v>0.48125000000000001</v>
      </c>
      <c r="P746">
        <f>0.000605635*3600</f>
        <v>2.1802859999999997</v>
      </c>
      <c r="Q746">
        <f>0.0022675902*3600</f>
        <v>8.1633247200000003</v>
      </c>
    </row>
    <row r="747" spans="1:17" x14ac:dyDescent="0.3">
      <c r="A747" s="4" t="s">
        <v>47</v>
      </c>
      <c r="B747" s="6" t="s">
        <v>358</v>
      </c>
      <c r="C747">
        <v>299.12295599999999</v>
      </c>
      <c r="D747">
        <v>290.86458099999999</v>
      </c>
      <c r="E747">
        <v>1</v>
      </c>
      <c r="F747">
        <v>1</v>
      </c>
      <c r="G747">
        <v>0.26100000000000001</v>
      </c>
      <c r="H747">
        <v>0</v>
      </c>
      <c r="I747" t="s">
        <v>0</v>
      </c>
      <c r="J747" t="s">
        <v>59</v>
      </c>
      <c r="K747">
        <v>0</v>
      </c>
      <c r="L747" t="s">
        <v>60</v>
      </c>
      <c r="M747">
        <v>1</v>
      </c>
      <c r="N747" t="s">
        <v>67</v>
      </c>
      <c r="O747" s="2">
        <v>0.48125000000000001</v>
      </c>
      <c r="P747">
        <f>0.0006374623*3600</f>
        <v>2.2948642800000001</v>
      </c>
      <c r="Q747">
        <f>0.0021970756*3600</f>
        <v>7.90947216</v>
      </c>
    </row>
    <row r="748" spans="1:17" x14ac:dyDescent="0.3">
      <c r="A748" s="4" t="s">
        <v>47</v>
      </c>
      <c r="B748" s="6" t="s">
        <v>359</v>
      </c>
      <c r="C748">
        <v>299.123041</v>
      </c>
      <c r="D748">
        <v>290.86454600000002</v>
      </c>
      <c r="E748">
        <v>1</v>
      </c>
      <c r="F748">
        <v>1</v>
      </c>
      <c r="G748">
        <v>0.26100000000000001</v>
      </c>
      <c r="H748">
        <v>0</v>
      </c>
      <c r="I748" t="s">
        <v>0</v>
      </c>
      <c r="J748" t="s">
        <v>59</v>
      </c>
      <c r="K748">
        <v>0</v>
      </c>
      <c r="L748" t="s">
        <v>60</v>
      </c>
      <c r="M748">
        <v>1</v>
      </c>
      <c r="N748" t="s">
        <v>67</v>
      </c>
      <c r="O748" s="2">
        <v>0.48125000000000001</v>
      </c>
      <c r="P748">
        <f>0.0006402066*3600</f>
        <v>2.30474376</v>
      </c>
      <c r="Q748">
        <f>0.0021758971*3600</f>
        <v>7.8332295600000004</v>
      </c>
    </row>
    <row r="749" spans="1:17" x14ac:dyDescent="0.3">
      <c r="A749" s="4" t="s">
        <v>47</v>
      </c>
      <c r="B749" s="6" t="s">
        <v>360</v>
      </c>
      <c r="C749">
        <v>299.12285800000001</v>
      </c>
      <c r="D749">
        <v>290.86456399999997</v>
      </c>
      <c r="E749">
        <v>1</v>
      </c>
      <c r="F749">
        <v>1</v>
      </c>
      <c r="G749">
        <v>0.26100000000000001</v>
      </c>
      <c r="H749">
        <v>0</v>
      </c>
      <c r="I749" t="s">
        <v>0</v>
      </c>
      <c r="J749" t="s">
        <v>59</v>
      </c>
      <c r="K749">
        <v>0</v>
      </c>
      <c r="L749" t="s">
        <v>60</v>
      </c>
      <c r="M749">
        <v>1</v>
      </c>
      <c r="N749" t="s">
        <v>67</v>
      </c>
      <c r="O749" s="2">
        <v>0.48125000000000001</v>
      </c>
      <c r="P749">
        <f>0.0006185869*3600</f>
        <v>2.2269128400000002</v>
      </c>
      <c r="Q749">
        <f>0.0021620137*3600</f>
        <v>7.7832493200000004</v>
      </c>
    </row>
    <row r="750" spans="1:17" x14ac:dyDescent="0.3">
      <c r="A750" s="4" t="s">
        <v>47</v>
      </c>
      <c r="B750" s="6" t="s">
        <v>361</v>
      </c>
      <c r="C750">
        <v>299.12355000000002</v>
      </c>
      <c r="D750">
        <v>290.864555</v>
      </c>
      <c r="E750">
        <v>1</v>
      </c>
      <c r="F750">
        <v>1</v>
      </c>
      <c r="G750">
        <v>0.26100000000000001</v>
      </c>
      <c r="H750">
        <v>0</v>
      </c>
      <c r="I750" t="s">
        <v>0</v>
      </c>
      <c r="J750" t="s">
        <v>59</v>
      </c>
      <c r="K750">
        <v>0</v>
      </c>
      <c r="L750" t="s">
        <v>60</v>
      </c>
      <c r="M750">
        <v>1</v>
      </c>
      <c r="N750" t="s">
        <v>67</v>
      </c>
      <c r="O750" s="2">
        <v>0.48125000000000001</v>
      </c>
      <c r="P750">
        <f>0.000641146*3600</f>
        <v>2.3081255999999999</v>
      </c>
      <c r="Q750">
        <f>0.0021467949*3600</f>
        <v>7.7284616399999999</v>
      </c>
    </row>
    <row r="751" spans="1:17" x14ac:dyDescent="0.3">
      <c r="A751" s="4" t="s">
        <v>47</v>
      </c>
      <c r="B751" s="6" t="s">
        <v>362</v>
      </c>
      <c r="C751">
        <v>299.124413</v>
      </c>
      <c r="D751">
        <v>290.86460399999999</v>
      </c>
      <c r="E751">
        <v>1</v>
      </c>
      <c r="F751">
        <v>1</v>
      </c>
      <c r="G751">
        <v>0.26100000000000001</v>
      </c>
      <c r="H751">
        <v>0</v>
      </c>
      <c r="I751" t="s">
        <v>0</v>
      </c>
      <c r="J751" t="s">
        <v>59</v>
      </c>
      <c r="K751">
        <v>0</v>
      </c>
      <c r="L751" t="s">
        <v>60</v>
      </c>
      <c r="M751">
        <v>1</v>
      </c>
      <c r="N751" t="s">
        <v>67</v>
      </c>
      <c r="O751" s="2">
        <v>0.48125000000000001</v>
      </c>
      <c r="P751">
        <f>0.0006422787*3600</f>
        <v>2.3122033199999996</v>
      </c>
      <c r="Q751">
        <f>0.0022062093*3600</f>
        <v>7.9423534799999995</v>
      </c>
    </row>
    <row r="752" spans="1:17" x14ac:dyDescent="0.3">
      <c r="A752" s="4" t="s">
        <v>47</v>
      </c>
      <c r="B752" s="5" t="s">
        <v>363</v>
      </c>
      <c r="C752">
        <v>98.827360999999996</v>
      </c>
      <c r="D752">
        <v>104.968698</v>
      </c>
      <c r="E752">
        <v>19.663499999999999</v>
      </c>
      <c r="F752">
        <v>19.600200000000001</v>
      </c>
      <c r="G752">
        <v>0.26100000000000001</v>
      </c>
      <c r="H752">
        <v>0</v>
      </c>
      <c r="I752" t="s">
        <v>0</v>
      </c>
      <c r="J752" t="s">
        <v>59</v>
      </c>
      <c r="K752">
        <v>3.4000000000000002E-2</v>
      </c>
      <c r="L752" t="s">
        <v>60</v>
      </c>
      <c r="M752">
        <v>1</v>
      </c>
      <c r="N752" t="s">
        <v>53</v>
      </c>
      <c r="O752" s="2">
        <v>0.49027777777777781</v>
      </c>
      <c r="P752">
        <f>-0.0009296162*3600</f>
        <v>-3.3466183200000001</v>
      </c>
      <c r="Q752">
        <f>-0.0024266769*3600</f>
        <v>-8.7360368399999988</v>
      </c>
    </row>
    <row r="753" spans="1:17" x14ac:dyDescent="0.3">
      <c r="A753" s="4" t="s">
        <v>47</v>
      </c>
      <c r="B753" s="5" t="s">
        <v>364</v>
      </c>
      <c r="C753">
        <v>98.828111000000007</v>
      </c>
      <c r="D753">
        <v>104.988274</v>
      </c>
      <c r="E753">
        <v>1</v>
      </c>
      <c r="F753">
        <v>1</v>
      </c>
      <c r="G753">
        <v>0.26100000000000001</v>
      </c>
      <c r="H753">
        <v>0</v>
      </c>
      <c r="I753" t="s">
        <v>0</v>
      </c>
      <c r="J753" t="s">
        <v>59</v>
      </c>
      <c r="K753">
        <v>0</v>
      </c>
      <c r="L753" t="s">
        <v>60</v>
      </c>
      <c r="M753">
        <v>1</v>
      </c>
      <c r="N753" t="s">
        <v>67</v>
      </c>
      <c r="O753" s="2">
        <v>0.49027777777777781</v>
      </c>
      <c r="P753">
        <f>-0.0011845924*3600</f>
        <v>-4.2645326400000005</v>
      </c>
      <c r="Q753">
        <f>-0.0016945895*3600</f>
        <v>-6.1005222000000003</v>
      </c>
    </row>
    <row r="754" spans="1:17" x14ac:dyDescent="0.3">
      <c r="A754" s="4" t="s">
        <v>47</v>
      </c>
      <c r="B754" s="5" t="s">
        <v>365</v>
      </c>
      <c r="C754">
        <v>98.827775000000003</v>
      </c>
      <c r="D754">
        <v>104.98818799999999</v>
      </c>
      <c r="E754">
        <v>1</v>
      </c>
      <c r="F754">
        <v>1</v>
      </c>
      <c r="G754">
        <v>0.26100000000000001</v>
      </c>
      <c r="H754">
        <v>0</v>
      </c>
      <c r="I754" t="s">
        <v>0</v>
      </c>
      <c r="J754" t="s">
        <v>59</v>
      </c>
      <c r="K754">
        <v>0</v>
      </c>
      <c r="L754" t="s">
        <v>60</v>
      </c>
      <c r="M754">
        <v>1</v>
      </c>
      <c r="N754" t="s">
        <v>67</v>
      </c>
      <c r="O754" s="2">
        <v>0.49027777777777781</v>
      </c>
      <c r="P754">
        <f>-0.0011597467*3600</f>
        <v>-4.1750881199999998</v>
      </c>
      <c r="Q754">
        <f>-0.0017703629*3600</f>
        <v>-6.3733064400000004</v>
      </c>
    </row>
    <row r="755" spans="1:17" x14ac:dyDescent="0.3">
      <c r="A755" s="4" t="s">
        <v>47</v>
      </c>
      <c r="B755" s="5" t="s">
        <v>366</v>
      </c>
      <c r="C755">
        <v>98.827589000000003</v>
      </c>
      <c r="D755">
        <v>104.98813199999999</v>
      </c>
      <c r="E755">
        <v>1</v>
      </c>
      <c r="F755">
        <v>1</v>
      </c>
      <c r="G755">
        <v>0.26100000000000001</v>
      </c>
      <c r="H755">
        <v>0</v>
      </c>
      <c r="I755" t="s">
        <v>0</v>
      </c>
      <c r="J755" t="s">
        <v>59</v>
      </c>
      <c r="K755">
        <v>0</v>
      </c>
      <c r="L755" t="s">
        <v>60</v>
      </c>
      <c r="M755">
        <v>1</v>
      </c>
      <c r="N755" t="s">
        <v>67</v>
      </c>
      <c r="O755" s="2">
        <v>0.49027777777777781</v>
      </c>
      <c r="P755">
        <f>-0.0012293895*3600</f>
        <v>-4.4258021999999997</v>
      </c>
      <c r="Q755">
        <f>-0.0018356542*3600</f>
        <v>-6.6083551199999997</v>
      </c>
    </row>
    <row r="756" spans="1:17" x14ac:dyDescent="0.3">
      <c r="A756" s="4" t="s">
        <v>47</v>
      </c>
      <c r="B756" s="5" t="s">
        <v>367</v>
      </c>
      <c r="C756">
        <v>98.827712000000005</v>
      </c>
      <c r="D756">
        <v>104.98806399999999</v>
      </c>
      <c r="E756">
        <v>1</v>
      </c>
      <c r="F756">
        <v>1</v>
      </c>
      <c r="G756">
        <v>0.26100000000000001</v>
      </c>
      <c r="H756">
        <v>0</v>
      </c>
      <c r="I756" t="s">
        <v>0</v>
      </c>
      <c r="J756" t="s">
        <v>59</v>
      </c>
      <c r="K756">
        <v>0</v>
      </c>
      <c r="L756" t="s">
        <v>60</v>
      </c>
      <c r="M756">
        <v>1</v>
      </c>
      <c r="N756" t="s">
        <v>67</v>
      </c>
      <c r="O756" s="2">
        <v>0.49027777777777781</v>
      </c>
      <c r="P756">
        <f>-0.0012701519*3600</f>
        <v>-4.5725468400000002</v>
      </c>
      <c r="Q756">
        <f>-0.0019069879*3600</f>
        <v>-6.8651564399999998</v>
      </c>
    </row>
    <row r="757" spans="1:17" x14ac:dyDescent="0.3">
      <c r="A757" s="4" t="s">
        <v>47</v>
      </c>
      <c r="B757" s="5" t="s">
        <v>368</v>
      </c>
      <c r="C757">
        <v>98.827588000000006</v>
      </c>
      <c r="D757">
        <v>104.988043</v>
      </c>
      <c r="E757">
        <v>1</v>
      </c>
      <c r="F757">
        <v>1</v>
      </c>
      <c r="G757">
        <v>0.26100000000000001</v>
      </c>
      <c r="H757">
        <v>0</v>
      </c>
      <c r="I757" t="s">
        <v>0</v>
      </c>
      <c r="J757" t="s">
        <v>59</v>
      </c>
      <c r="K757">
        <v>0</v>
      </c>
      <c r="L757" t="s">
        <v>60</v>
      </c>
      <c r="M757">
        <v>1</v>
      </c>
      <c r="N757" t="s">
        <v>67</v>
      </c>
      <c r="O757" s="2">
        <v>0.49027777777777781</v>
      </c>
      <c r="P757">
        <f>-0.0013192944*3600</f>
        <v>-4.7494598400000001</v>
      </c>
      <c r="Q757">
        <f>-0.0019210885*3600</f>
        <v>-6.9159186000000004</v>
      </c>
    </row>
    <row r="758" spans="1:17" x14ac:dyDescent="0.3">
      <c r="A758" s="4" t="s">
        <v>47</v>
      </c>
      <c r="B758" s="5" t="s">
        <v>369</v>
      </c>
      <c r="C758">
        <v>98.827736000000002</v>
      </c>
      <c r="D758">
        <v>104.988141</v>
      </c>
      <c r="E758">
        <v>1</v>
      </c>
      <c r="F758">
        <v>1</v>
      </c>
      <c r="G758">
        <v>0.26100000000000001</v>
      </c>
      <c r="H758">
        <v>0</v>
      </c>
      <c r="I758" t="s">
        <v>0</v>
      </c>
      <c r="J758" t="s">
        <v>59</v>
      </c>
      <c r="K758">
        <v>0</v>
      </c>
      <c r="L758" t="s">
        <v>60</v>
      </c>
      <c r="M758">
        <v>1</v>
      </c>
      <c r="N758" t="s">
        <v>67</v>
      </c>
      <c r="O758" s="2">
        <v>0.49027777777777781</v>
      </c>
      <c r="P758">
        <f>-0.0011435705*3600</f>
        <v>-4.1168537999999995</v>
      </c>
      <c r="Q758">
        <f>-0.0018235512*3600</f>
        <v>-6.5647843199999993</v>
      </c>
    </row>
    <row r="759" spans="1:17" x14ac:dyDescent="0.3">
      <c r="A759" s="4" t="s">
        <v>47</v>
      </c>
      <c r="B759" s="5" t="s">
        <v>370</v>
      </c>
      <c r="C759">
        <v>98.827718000000004</v>
      </c>
      <c r="D759">
        <v>104.98817200000001</v>
      </c>
      <c r="E759">
        <v>1</v>
      </c>
      <c r="F759">
        <v>1</v>
      </c>
      <c r="G759">
        <v>0.26100000000000001</v>
      </c>
      <c r="H759">
        <v>0</v>
      </c>
      <c r="I759" t="s">
        <v>0</v>
      </c>
      <c r="J759" t="s">
        <v>59</v>
      </c>
      <c r="K759">
        <v>0</v>
      </c>
      <c r="L759" t="s">
        <v>60</v>
      </c>
      <c r="M759">
        <v>1</v>
      </c>
      <c r="N759" t="s">
        <v>67</v>
      </c>
      <c r="O759" s="2">
        <v>0.49027777777777781</v>
      </c>
      <c r="P759">
        <f>-0.0011819084*3600</f>
        <v>-4.2548702400000007</v>
      </c>
      <c r="Q759">
        <f>-0.001800007*3600</f>
        <v>-6.4800252</v>
      </c>
    </row>
    <row r="760" spans="1:17" x14ac:dyDescent="0.3">
      <c r="A760" s="4" t="s">
        <v>47</v>
      </c>
      <c r="B760" s="5" t="s">
        <v>371</v>
      </c>
      <c r="C760">
        <v>98.827984999999998</v>
      </c>
      <c r="D760">
        <v>104.98806</v>
      </c>
      <c r="E760">
        <v>1</v>
      </c>
      <c r="F760">
        <v>1</v>
      </c>
      <c r="G760">
        <v>0.26100000000000001</v>
      </c>
      <c r="H760">
        <v>0</v>
      </c>
      <c r="I760" t="s">
        <v>0</v>
      </c>
      <c r="J760" t="s">
        <v>59</v>
      </c>
      <c r="K760">
        <v>0</v>
      </c>
      <c r="L760" t="s">
        <v>60</v>
      </c>
      <c r="M760">
        <v>1</v>
      </c>
      <c r="N760" t="s">
        <v>67</v>
      </c>
      <c r="O760" s="2">
        <v>0.49027777777777781</v>
      </c>
      <c r="P760">
        <f>-0.0013217101*3600</f>
        <v>-4.7581563600000001</v>
      </c>
      <c r="Q760">
        <f>-0.0019052992*3600</f>
        <v>-6.8590771199999994</v>
      </c>
    </row>
    <row r="761" spans="1:17" x14ac:dyDescent="0.3">
      <c r="A761" s="4" t="s">
        <v>47</v>
      </c>
      <c r="B761" s="5" t="s">
        <v>372</v>
      </c>
      <c r="C761">
        <v>98.827674000000002</v>
      </c>
      <c r="D761">
        <v>104.987999</v>
      </c>
      <c r="E761">
        <v>1</v>
      </c>
      <c r="F761">
        <v>1</v>
      </c>
      <c r="G761">
        <v>0.26100000000000001</v>
      </c>
      <c r="H761">
        <v>0</v>
      </c>
      <c r="I761" t="s">
        <v>0</v>
      </c>
      <c r="J761" t="s">
        <v>59</v>
      </c>
      <c r="K761">
        <v>0</v>
      </c>
      <c r="L761" t="s">
        <v>60</v>
      </c>
      <c r="M761">
        <v>1</v>
      </c>
      <c r="N761" t="s">
        <v>67</v>
      </c>
      <c r="O761" s="2">
        <v>0.49027777777777781</v>
      </c>
      <c r="P761">
        <f>-0.0012612095*3600</f>
        <v>-4.5403542000000003</v>
      </c>
      <c r="Q761">
        <f>-0.0019765762*3600</f>
        <v>-7.1156743200000001</v>
      </c>
    </row>
    <row r="762" spans="1:17" x14ac:dyDescent="0.3">
      <c r="A762" s="4" t="s">
        <v>47</v>
      </c>
      <c r="B762" s="5" t="s">
        <v>373</v>
      </c>
      <c r="C762">
        <v>98.827814000000004</v>
      </c>
      <c r="D762">
        <v>104.988135</v>
      </c>
      <c r="E762">
        <v>1</v>
      </c>
      <c r="F762">
        <v>1</v>
      </c>
      <c r="G762">
        <v>0.26100000000000001</v>
      </c>
      <c r="H762">
        <v>0</v>
      </c>
      <c r="I762" t="s">
        <v>0</v>
      </c>
      <c r="J762" t="s">
        <v>59</v>
      </c>
      <c r="K762">
        <v>0</v>
      </c>
      <c r="L762" t="s">
        <v>60</v>
      </c>
      <c r="M762">
        <v>1</v>
      </c>
      <c r="N762" t="s">
        <v>67</v>
      </c>
      <c r="O762" s="2">
        <v>0.49027777777777781</v>
      </c>
      <c r="P762">
        <f>-0.0011503934*3600</f>
        <v>-4.1414162399999999</v>
      </c>
      <c r="Q762">
        <f>-0.001857372*3600</f>
        <v>-6.6865391999999995</v>
      </c>
    </row>
    <row r="763" spans="1:17" x14ac:dyDescent="0.3">
      <c r="A763" s="4" t="s">
        <v>47</v>
      </c>
      <c r="B763" s="5" t="s">
        <v>374</v>
      </c>
      <c r="C763">
        <v>98.827776</v>
      </c>
      <c r="D763">
        <v>104.98804</v>
      </c>
      <c r="E763">
        <v>1</v>
      </c>
      <c r="F763">
        <v>1</v>
      </c>
      <c r="G763">
        <v>0.26100000000000001</v>
      </c>
      <c r="H763">
        <v>0</v>
      </c>
      <c r="I763" t="s">
        <v>0</v>
      </c>
      <c r="J763" t="s">
        <v>59</v>
      </c>
      <c r="K763">
        <v>0</v>
      </c>
      <c r="L763" t="s">
        <v>60</v>
      </c>
      <c r="M763">
        <v>1</v>
      </c>
      <c r="N763" t="s">
        <v>67</v>
      </c>
      <c r="O763" s="2">
        <v>0.49027777777777781</v>
      </c>
      <c r="P763">
        <f>-0.0012727675*3600</f>
        <v>-4.581963</v>
      </c>
      <c r="Q763">
        <f>-0.0019368656*3600</f>
        <v>-6.9727161600000001</v>
      </c>
    </row>
    <row r="764" spans="1:17" x14ac:dyDescent="0.3">
      <c r="A764" s="4" t="s">
        <v>47</v>
      </c>
      <c r="B764" s="5" t="s">
        <v>375</v>
      </c>
      <c r="C764">
        <v>98.827654999999993</v>
      </c>
      <c r="D764">
        <v>104.987858</v>
      </c>
      <c r="E764">
        <v>1</v>
      </c>
      <c r="F764">
        <v>1</v>
      </c>
      <c r="G764">
        <v>0.26100000000000001</v>
      </c>
      <c r="H764">
        <v>0</v>
      </c>
      <c r="I764" t="s">
        <v>0</v>
      </c>
      <c r="J764" t="s">
        <v>59</v>
      </c>
      <c r="K764">
        <v>0</v>
      </c>
      <c r="L764" t="s">
        <v>60</v>
      </c>
      <c r="M764">
        <v>1</v>
      </c>
      <c r="N764" t="s">
        <v>67</v>
      </c>
      <c r="O764" s="2">
        <v>0.49027777777777781</v>
      </c>
      <c r="P764">
        <f>-0.0012384809*3600</f>
        <v>-4.4585312400000001</v>
      </c>
      <c r="Q764">
        <f>-0.0021164031*3600</f>
        <v>-7.6190511599999997</v>
      </c>
    </row>
    <row r="765" spans="1:17" x14ac:dyDescent="0.3">
      <c r="A765" s="4" t="s">
        <v>47</v>
      </c>
      <c r="B765" s="5" t="s">
        <v>376</v>
      </c>
      <c r="C765">
        <v>98.827511999999999</v>
      </c>
      <c r="D765">
        <v>104.988124</v>
      </c>
      <c r="E765">
        <v>1</v>
      </c>
      <c r="F765">
        <v>1</v>
      </c>
      <c r="G765">
        <v>0.26100000000000001</v>
      </c>
      <c r="H765">
        <v>0</v>
      </c>
      <c r="I765" t="s">
        <v>0</v>
      </c>
      <c r="J765" t="s">
        <v>59</v>
      </c>
      <c r="K765">
        <v>0</v>
      </c>
      <c r="L765" t="s">
        <v>60</v>
      </c>
      <c r="M765">
        <v>1</v>
      </c>
      <c r="N765" t="s">
        <v>67</v>
      </c>
      <c r="O765" s="2">
        <v>0.49027777777777781</v>
      </c>
      <c r="P765">
        <f>-0.0012683234*3600</f>
        <v>-4.5659642399999996</v>
      </c>
      <c r="Q765">
        <f>-0.0018578434*3600</f>
        <v>-6.6882362400000002</v>
      </c>
    </row>
    <row r="766" spans="1:17" x14ac:dyDescent="0.3">
      <c r="A766" s="4" t="s">
        <v>47</v>
      </c>
      <c r="B766" s="5" t="s">
        <v>377</v>
      </c>
      <c r="C766">
        <v>98.827765999999997</v>
      </c>
      <c r="D766">
        <v>104.98807100000001</v>
      </c>
      <c r="E766">
        <v>1</v>
      </c>
      <c r="F766">
        <v>1</v>
      </c>
      <c r="G766">
        <v>0.26100000000000001</v>
      </c>
      <c r="H766">
        <v>0</v>
      </c>
      <c r="I766" t="s">
        <v>0</v>
      </c>
      <c r="J766" t="s">
        <v>59</v>
      </c>
      <c r="K766">
        <v>0</v>
      </c>
      <c r="L766" t="s">
        <v>60</v>
      </c>
      <c r="M766">
        <v>1</v>
      </c>
      <c r="N766" t="s">
        <v>67</v>
      </c>
      <c r="O766" s="2">
        <v>0.49027777777777781</v>
      </c>
      <c r="P766">
        <f>-0.0011075882*3600</f>
        <v>-3.9873175199999995</v>
      </c>
      <c r="Q766">
        <f>-0.0019121678*3600</f>
        <v>-6.88380408</v>
      </c>
    </row>
    <row r="767" spans="1:17" x14ac:dyDescent="0.3">
      <c r="A767" s="4" t="s">
        <v>47</v>
      </c>
      <c r="B767" s="5" t="s">
        <v>378</v>
      </c>
      <c r="C767">
        <v>98.827257000000003</v>
      </c>
      <c r="D767">
        <v>104.988057</v>
      </c>
      <c r="E767">
        <v>1</v>
      </c>
      <c r="F767">
        <v>1</v>
      </c>
      <c r="G767">
        <v>0.26100000000000001</v>
      </c>
      <c r="H767">
        <v>0</v>
      </c>
      <c r="I767" t="s">
        <v>0</v>
      </c>
      <c r="J767" t="s">
        <v>59</v>
      </c>
      <c r="K767">
        <v>0</v>
      </c>
      <c r="L767" t="s">
        <v>60</v>
      </c>
      <c r="M767">
        <v>1</v>
      </c>
      <c r="N767" t="s">
        <v>67</v>
      </c>
      <c r="O767" s="2">
        <v>0.49027777777777781</v>
      </c>
      <c r="P767">
        <f>-0.0012359173*3600</f>
        <v>-4.4493022800000004</v>
      </c>
      <c r="Q767">
        <f>-0.0019042187*3600</f>
        <v>-6.8551873200000006</v>
      </c>
    </row>
    <row r="768" spans="1:17" x14ac:dyDescent="0.3">
      <c r="A768" s="4" t="s">
        <v>47</v>
      </c>
      <c r="B768" s="5" t="s">
        <v>379</v>
      </c>
      <c r="C768">
        <v>98.827298999999996</v>
      </c>
      <c r="D768">
        <v>104.987999</v>
      </c>
      <c r="E768">
        <v>1</v>
      </c>
      <c r="F768">
        <v>1</v>
      </c>
      <c r="G768">
        <v>0.26100000000000001</v>
      </c>
      <c r="H768">
        <v>0</v>
      </c>
      <c r="I768" t="s">
        <v>0</v>
      </c>
      <c r="J768" t="s">
        <v>59</v>
      </c>
      <c r="K768">
        <v>0</v>
      </c>
      <c r="L768" t="s">
        <v>60</v>
      </c>
      <c r="M768">
        <v>1</v>
      </c>
      <c r="N768" t="s">
        <v>67</v>
      </c>
      <c r="O768" s="2">
        <v>0.49027777777777781</v>
      </c>
      <c r="P768">
        <f>-0.0011700396*3600</f>
        <v>-4.2121425600000002</v>
      </c>
      <c r="Q768">
        <f>-0.0019798421*3600</f>
        <v>-7.1274315599999998</v>
      </c>
    </row>
    <row r="769" spans="1:17" x14ac:dyDescent="0.3">
      <c r="A769" s="4" t="s">
        <v>47</v>
      </c>
      <c r="B769" s="5" t="s">
        <v>380</v>
      </c>
      <c r="C769">
        <v>98.827684000000005</v>
      </c>
      <c r="D769">
        <v>104.988086</v>
      </c>
      <c r="E769">
        <v>1</v>
      </c>
      <c r="F769">
        <v>1</v>
      </c>
      <c r="G769">
        <v>0.26100000000000001</v>
      </c>
      <c r="H769">
        <v>0</v>
      </c>
      <c r="I769" t="s">
        <v>0</v>
      </c>
      <c r="J769" t="s">
        <v>59</v>
      </c>
      <c r="K769">
        <v>0</v>
      </c>
      <c r="L769" t="s">
        <v>60</v>
      </c>
      <c r="M769">
        <v>1</v>
      </c>
      <c r="N769" t="s">
        <v>67</v>
      </c>
      <c r="O769" s="2">
        <v>0.49027777777777781</v>
      </c>
      <c r="P769">
        <f>-0.0011292385*3600</f>
        <v>-4.0652585999999999</v>
      </c>
      <c r="Q769">
        <f>-0.001901197*3600</f>
        <v>-6.8443092000000005</v>
      </c>
    </row>
    <row r="770" spans="1:17" x14ac:dyDescent="0.3">
      <c r="A770" s="4" t="s">
        <v>47</v>
      </c>
      <c r="B770" s="5" t="s">
        <v>381</v>
      </c>
      <c r="C770">
        <v>98.827886000000007</v>
      </c>
      <c r="D770">
        <v>104.988139</v>
      </c>
      <c r="E770">
        <v>1</v>
      </c>
      <c r="F770">
        <v>1</v>
      </c>
      <c r="G770">
        <v>0.26100000000000001</v>
      </c>
      <c r="H770">
        <v>0</v>
      </c>
      <c r="I770" t="s">
        <v>0</v>
      </c>
      <c r="J770" t="s">
        <v>59</v>
      </c>
      <c r="K770">
        <v>0</v>
      </c>
      <c r="L770" t="s">
        <v>60</v>
      </c>
      <c r="M770">
        <v>1</v>
      </c>
      <c r="N770" t="s">
        <v>67</v>
      </c>
      <c r="O770" s="2">
        <v>0.49027777777777781</v>
      </c>
      <c r="P770">
        <f>-0.0011698794*3600</f>
        <v>-4.2115658400000004</v>
      </c>
      <c r="Q770">
        <f>-0.0018641096*3600</f>
        <v>-6.7107945600000001</v>
      </c>
    </row>
    <row r="771" spans="1:17" x14ac:dyDescent="0.3">
      <c r="A771" s="4" t="s">
        <v>47</v>
      </c>
      <c r="B771" s="5" t="s">
        <v>382</v>
      </c>
      <c r="C771">
        <v>98.827703999999997</v>
      </c>
      <c r="D771">
        <v>104.98807600000001</v>
      </c>
      <c r="E771">
        <v>1</v>
      </c>
      <c r="F771">
        <v>1</v>
      </c>
      <c r="G771">
        <v>0.26100000000000001</v>
      </c>
      <c r="H771">
        <v>0</v>
      </c>
      <c r="I771" t="s">
        <v>0</v>
      </c>
      <c r="J771" t="s">
        <v>59</v>
      </c>
      <c r="K771">
        <v>0</v>
      </c>
      <c r="L771" t="s">
        <v>60</v>
      </c>
      <c r="M771">
        <v>1</v>
      </c>
      <c r="N771" t="s">
        <v>67</v>
      </c>
      <c r="O771" s="2">
        <v>0.49027777777777781</v>
      </c>
      <c r="P771">
        <f>-0.001135659*3600</f>
        <v>-4.0883723999999999</v>
      </c>
      <c r="Q771">
        <f>-0.0018980049*3600</f>
        <v>-6.83281764</v>
      </c>
    </row>
    <row r="772" spans="1:17" x14ac:dyDescent="0.3">
      <c r="A772" s="4" t="s">
        <v>47</v>
      </c>
      <c r="B772" s="5" t="s">
        <v>383</v>
      </c>
      <c r="C772">
        <v>98.827725999999998</v>
      </c>
      <c r="D772">
        <v>104.988118</v>
      </c>
      <c r="E772">
        <v>1</v>
      </c>
      <c r="F772">
        <v>1</v>
      </c>
      <c r="G772">
        <v>0.26100000000000001</v>
      </c>
      <c r="H772">
        <v>0</v>
      </c>
      <c r="I772" t="s">
        <v>0</v>
      </c>
      <c r="J772" t="s">
        <v>59</v>
      </c>
      <c r="K772">
        <v>0</v>
      </c>
      <c r="L772" t="s">
        <v>60</v>
      </c>
      <c r="M772">
        <v>1</v>
      </c>
      <c r="N772" t="s">
        <v>67</v>
      </c>
      <c r="O772" s="2">
        <v>0.49027777777777781</v>
      </c>
      <c r="P772">
        <f>-0.0012588192*3600</f>
        <v>-4.5317491200000006</v>
      </c>
      <c r="Q772">
        <f>-0.0018856356*3600</f>
        <v>-6.7882881600000005</v>
      </c>
    </row>
    <row r="773" spans="1:17" x14ac:dyDescent="0.3">
      <c r="A773" s="4" t="s">
        <v>47</v>
      </c>
      <c r="B773" s="5" t="s">
        <v>384</v>
      </c>
      <c r="C773">
        <v>98.827636999999996</v>
      </c>
      <c r="D773">
        <v>104.987894</v>
      </c>
      <c r="E773">
        <v>1</v>
      </c>
      <c r="F773">
        <v>1</v>
      </c>
      <c r="G773">
        <v>0.26100000000000001</v>
      </c>
      <c r="H773">
        <v>0</v>
      </c>
      <c r="I773" t="s">
        <v>0</v>
      </c>
      <c r="J773" t="s">
        <v>59</v>
      </c>
      <c r="K773">
        <v>0</v>
      </c>
      <c r="L773" t="s">
        <v>60</v>
      </c>
      <c r="M773">
        <v>1</v>
      </c>
      <c r="N773" t="s">
        <v>67</v>
      </c>
      <c r="O773" s="2">
        <v>0.49027777777777781</v>
      </c>
      <c r="P773">
        <f>-0.0012094687*3600</f>
        <v>-4.3540873199999997</v>
      </c>
      <c r="Q773">
        <f>-0.0020800419*3600</f>
        <v>-7.4881508399999994</v>
      </c>
    </row>
    <row r="774" spans="1:17" x14ac:dyDescent="0.3">
      <c r="A774" s="4" t="s">
        <v>47</v>
      </c>
      <c r="B774" s="5" t="s">
        <v>385</v>
      </c>
      <c r="C774">
        <v>98.827774000000005</v>
      </c>
      <c r="D774">
        <v>104.98809</v>
      </c>
      <c r="E774">
        <v>1</v>
      </c>
      <c r="F774">
        <v>1</v>
      </c>
      <c r="G774">
        <v>0.26100000000000001</v>
      </c>
      <c r="H774">
        <v>0</v>
      </c>
      <c r="I774" t="s">
        <v>0</v>
      </c>
      <c r="J774" t="s">
        <v>59</v>
      </c>
      <c r="K774">
        <v>0</v>
      </c>
      <c r="L774" t="s">
        <v>60</v>
      </c>
      <c r="M774">
        <v>1</v>
      </c>
      <c r="N774" t="s">
        <v>67</v>
      </c>
      <c r="O774" s="2">
        <v>0.49027777777777781</v>
      </c>
      <c r="P774">
        <f>-0.0010615823*3600</f>
        <v>-3.8216962800000003</v>
      </c>
      <c r="Q774">
        <f>-0.0019279596*3600</f>
        <v>-6.9406545599999996</v>
      </c>
    </row>
    <row r="775" spans="1:17" x14ac:dyDescent="0.3">
      <c r="A775" s="4" t="s">
        <v>47</v>
      </c>
      <c r="B775" s="5" t="s">
        <v>386</v>
      </c>
      <c r="C775">
        <v>98.828081999999995</v>
      </c>
      <c r="D775">
        <v>104.98800300000001</v>
      </c>
      <c r="E775">
        <v>1</v>
      </c>
      <c r="F775">
        <v>1</v>
      </c>
      <c r="G775">
        <v>0.26100000000000001</v>
      </c>
      <c r="H775">
        <v>0</v>
      </c>
      <c r="I775" t="s">
        <v>0</v>
      </c>
      <c r="J775" t="s">
        <v>59</v>
      </c>
      <c r="K775">
        <v>0</v>
      </c>
      <c r="L775" t="s">
        <v>60</v>
      </c>
      <c r="M775">
        <v>1</v>
      </c>
      <c r="N775" t="s">
        <v>67</v>
      </c>
      <c r="O775" s="2">
        <v>0.49027777777777781</v>
      </c>
      <c r="P775">
        <f>-0.0011725353*3600</f>
        <v>-4.2211270800000005</v>
      </c>
      <c r="Q775">
        <f>-0.0019763139*3600</f>
        <v>-7.1147300399999995</v>
      </c>
    </row>
    <row r="776" spans="1:17" x14ac:dyDescent="0.3">
      <c r="A776" s="4" t="s">
        <v>47</v>
      </c>
      <c r="B776" s="5" t="s">
        <v>387</v>
      </c>
      <c r="C776">
        <v>98.827893000000003</v>
      </c>
      <c r="D776">
        <v>104.988079</v>
      </c>
      <c r="E776">
        <v>1</v>
      </c>
      <c r="F776">
        <v>1</v>
      </c>
      <c r="G776">
        <v>0.26100000000000001</v>
      </c>
      <c r="H776">
        <v>0</v>
      </c>
      <c r="I776" t="s">
        <v>0</v>
      </c>
      <c r="J776" t="s">
        <v>59</v>
      </c>
      <c r="K776">
        <v>0</v>
      </c>
      <c r="L776" t="s">
        <v>60</v>
      </c>
      <c r="M776">
        <v>1</v>
      </c>
      <c r="N776" t="s">
        <v>67</v>
      </c>
      <c r="O776" s="2">
        <v>0.49027777777777781</v>
      </c>
      <c r="P776">
        <f>-0.0011746046*3600</f>
        <v>-4.2285765600000005</v>
      </c>
      <c r="Q776">
        <f>-0.0019350973*3600</f>
        <v>-6.9663502800000003</v>
      </c>
    </row>
    <row r="777" spans="1:17" x14ac:dyDescent="0.3">
      <c r="A777" s="4" t="s">
        <v>47</v>
      </c>
      <c r="B777" s="5" t="s">
        <v>388</v>
      </c>
      <c r="C777">
        <v>98.828018</v>
      </c>
      <c r="D777">
        <v>104.988102</v>
      </c>
      <c r="E777">
        <v>1</v>
      </c>
      <c r="F777">
        <v>1</v>
      </c>
      <c r="G777">
        <v>0.26100000000000001</v>
      </c>
      <c r="H777">
        <v>0</v>
      </c>
      <c r="I777" t="s">
        <v>0</v>
      </c>
      <c r="J777" t="s">
        <v>59</v>
      </c>
      <c r="K777">
        <v>0</v>
      </c>
      <c r="L777" t="s">
        <v>60</v>
      </c>
      <c r="M777">
        <v>1</v>
      </c>
      <c r="N777" t="s">
        <v>67</v>
      </c>
      <c r="O777" s="2">
        <v>0.49027777777777781</v>
      </c>
      <c r="P777">
        <f>-0.0011161527*3600</f>
        <v>-4.0181497200000003</v>
      </c>
      <c r="Q777">
        <f>-0.0019193833*3600</f>
        <v>-6.9097798800000003</v>
      </c>
    </row>
    <row r="778" spans="1:17" x14ac:dyDescent="0.3">
      <c r="A778" s="4" t="s">
        <v>47</v>
      </c>
      <c r="B778" s="5" t="s">
        <v>389</v>
      </c>
      <c r="C778">
        <v>98.827658999999997</v>
      </c>
      <c r="D778">
        <v>104.988079</v>
      </c>
      <c r="E778">
        <v>1</v>
      </c>
      <c r="F778">
        <v>1</v>
      </c>
      <c r="G778">
        <v>0.26100000000000001</v>
      </c>
      <c r="H778">
        <v>0</v>
      </c>
      <c r="I778" t="s">
        <v>0</v>
      </c>
      <c r="J778" t="s">
        <v>59</v>
      </c>
      <c r="K778">
        <v>0</v>
      </c>
      <c r="L778" t="s">
        <v>60</v>
      </c>
      <c r="M778">
        <v>1</v>
      </c>
      <c r="N778" t="s">
        <v>67</v>
      </c>
      <c r="O778" s="2">
        <v>0.49027777777777781</v>
      </c>
      <c r="P778">
        <f>-0.0011950442*3600</f>
        <v>-4.3021591199999998</v>
      </c>
      <c r="Q778">
        <f>-0.0019147575*3600</f>
        <v>-6.8931269999999998</v>
      </c>
    </row>
    <row r="779" spans="1:17" x14ac:dyDescent="0.3">
      <c r="A779" s="4" t="s">
        <v>47</v>
      </c>
      <c r="B779" s="5" t="s">
        <v>390</v>
      </c>
      <c r="C779">
        <v>98.827898000000005</v>
      </c>
      <c r="D779">
        <v>104.988123</v>
      </c>
      <c r="E779">
        <v>1</v>
      </c>
      <c r="F779">
        <v>1</v>
      </c>
      <c r="G779">
        <v>0.26100000000000001</v>
      </c>
      <c r="H779">
        <v>0</v>
      </c>
      <c r="I779" t="s">
        <v>0</v>
      </c>
      <c r="J779" t="s">
        <v>59</v>
      </c>
      <c r="K779">
        <v>0</v>
      </c>
      <c r="L779" t="s">
        <v>60</v>
      </c>
      <c r="M779">
        <v>1</v>
      </c>
      <c r="N779" t="s">
        <v>67</v>
      </c>
      <c r="O779" s="2">
        <v>0.49027777777777781</v>
      </c>
      <c r="P779">
        <f>-0.0011290964*3600</f>
        <v>-4.0647470399999994</v>
      </c>
      <c r="Q779">
        <f>-0.0018901713*3600</f>
        <v>-6.8046166800000005</v>
      </c>
    </row>
    <row r="780" spans="1:17" x14ac:dyDescent="0.3">
      <c r="A780" s="4" t="s">
        <v>47</v>
      </c>
      <c r="B780" s="5" t="s">
        <v>391</v>
      </c>
      <c r="C780">
        <v>98.828001999999998</v>
      </c>
      <c r="D780">
        <v>104.988057</v>
      </c>
      <c r="E780">
        <v>1</v>
      </c>
      <c r="F780">
        <v>1</v>
      </c>
      <c r="G780">
        <v>0.26100000000000001</v>
      </c>
      <c r="H780">
        <v>0</v>
      </c>
      <c r="I780" t="s">
        <v>0</v>
      </c>
      <c r="J780" t="s">
        <v>59</v>
      </c>
      <c r="K780">
        <v>0</v>
      </c>
      <c r="L780" t="s">
        <v>60</v>
      </c>
      <c r="M780">
        <v>1</v>
      </c>
      <c r="N780" t="s">
        <v>67</v>
      </c>
      <c r="O780" s="2">
        <v>0.49027777777777781</v>
      </c>
      <c r="P780">
        <f>-0.001121797*3600</f>
        <v>-4.0384691999999998</v>
      </c>
      <c r="Q780">
        <f>-0.0019547452*3600</f>
        <v>-7.0370827199999999</v>
      </c>
    </row>
    <row r="781" spans="1:17" x14ac:dyDescent="0.3">
      <c r="A781" s="4" t="s">
        <v>47</v>
      </c>
      <c r="B781" s="5" t="s">
        <v>392</v>
      </c>
      <c r="C781">
        <v>98.828419999999994</v>
      </c>
      <c r="D781">
        <v>104.98805900000001</v>
      </c>
      <c r="E781">
        <v>1</v>
      </c>
      <c r="F781">
        <v>1</v>
      </c>
      <c r="G781">
        <v>0.26100000000000001</v>
      </c>
      <c r="H781">
        <v>0</v>
      </c>
      <c r="I781" t="s">
        <v>0</v>
      </c>
      <c r="J781" t="s">
        <v>59</v>
      </c>
      <c r="K781">
        <v>0</v>
      </c>
      <c r="L781" t="s">
        <v>60</v>
      </c>
      <c r="M781">
        <v>1</v>
      </c>
      <c r="N781" t="s">
        <v>67</v>
      </c>
      <c r="O781" s="2">
        <v>0.49027777777777781</v>
      </c>
      <c r="P781">
        <f>-0.0012749737*3600</f>
        <v>-4.5899053199999997</v>
      </c>
      <c r="Q781">
        <f>-0.0019679688*3600</f>
        <v>-7.08468768</v>
      </c>
    </row>
    <row r="782" spans="1:17" x14ac:dyDescent="0.3">
      <c r="A782" s="4" t="s">
        <v>47</v>
      </c>
      <c r="B782" s="5" t="s">
        <v>393</v>
      </c>
      <c r="C782">
        <v>98.827839999999995</v>
      </c>
      <c r="D782">
        <v>104.987995</v>
      </c>
      <c r="E782">
        <v>1</v>
      </c>
      <c r="F782">
        <v>1</v>
      </c>
      <c r="G782">
        <v>0.26100000000000001</v>
      </c>
      <c r="H782">
        <v>0</v>
      </c>
      <c r="I782" t="s">
        <v>0</v>
      </c>
      <c r="J782" t="s">
        <v>59</v>
      </c>
      <c r="K782">
        <v>0</v>
      </c>
      <c r="L782" t="s">
        <v>60</v>
      </c>
      <c r="M782">
        <v>1</v>
      </c>
      <c r="N782" t="s">
        <v>67</v>
      </c>
      <c r="O782" s="2">
        <v>0.49027777777777781</v>
      </c>
      <c r="P782">
        <f>-0.0012741087*3600</f>
        <v>-4.5867913199999997</v>
      </c>
      <c r="Q782">
        <f>-0.0020094444*3600</f>
        <v>-7.2339998400000001</v>
      </c>
    </row>
    <row r="783" spans="1:17" x14ac:dyDescent="0.3">
      <c r="A783" s="4" t="s">
        <v>47</v>
      </c>
      <c r="B783" s="5" t="s">
        <v>394</v>
      </c>
      <c r="C783">
        <v>98.827815999999999</v>
      </c>
      <c r="D783">
        <v>104.988079</v>
      </c>
      <c r="E783">
        <v>1</v>
      </c>
      <c r="F783">
        <v>1</v>
      </c>
      <c r="G783">
        <v>0.26100000000000001</v>
      </c>
      <c r="H783">
        <v>0</v>
      </c>
      <c r="I783" t="s">
        <v>0</v>
      </c>
      <c r="J783" t="s">
        <v>59</v>
      </c>
      <c r="K783">
        <v>0</v>
      </c>
      <c r="L783" t="s">
        <v>60</v>
      </c>
      <c r="M783">
        <v>1</v>
      </c>
      <c r="N783" t="s">
        <v>67</v>
      </c>
      <c r="O783" s="2">
        <v>0.49027777777777781</v>
      </c>
      <c r="P783">
        <f>-0.0011812691*3600</f>
        <v>-4.2525687599999999</v>
      </c>
      <c r="Q783">
        <f>-0.0019282007*3600</f>
        <v>-6.9415225199999995</v>
      </c>
    </row>
    <row r="784" spans="1:17" x14ac:dyDescent="0.3">
      <c r="A784" s="4" t="s">
        <v>47</v>
      </c>
      <c r="B784" s="5" t="s">
        <v>395</v>
      </c>
      <c r="C784">
        <v>98.827335000000005</v>
      </c>
      <c r="D784">
        <v>104.987771</v>
      </c>
      <c r="E784">
        <v>1</v>
      </c>
      <c r="F784">
        <v>1</v>
      </c>
      <c r="G784">
        <v>0.26100000000000001</v>
      </c>
      <c r="H784">
        <v>0</v>
      </c>
      <c r="I784" t="s">
        <v>0</v>
      </c>
      <c r="J784" t="s">
        <v>59</v>
      </c>
      <c r="K784">
        <v>0</v>
      </c>
      <c r="L784" t="s">
        <v>60</v>
      </c>
      <c r="M784">
        <v>1</v>
      </c>
      <c r="N784" t="s">
        <v>67</v>
      </c>
      <c r="O784" s="2">
        <v>0.49027777777777781</v>
      </c>
      <c r="P784">
        <f>-0.0011034851*3600</f>
        <v>-3.9725463599999999</v>
      </c>
      <c r="Q784">
        <f>-0.0022467518*3600</f>
        <v>-8.08830648</v>
      </c>
    </row>
    <row r="785" spans="1:17" x14ac:dyDescent="0.3">
      <c r="A785" s="4" t="s">
        <v>47</v>
      </c>
      <c r="B785" s="5" t="s">
        <v>396</v>
      </c>
      <c r="C785">
        <v>98.826965999999999</v>
      </c>
      <c r="D785">
        <v>104.987819</v>
      </c>
      <c r="E785">
        <v>1</v>
      </c>
      <c r="F785">
        <v>1</v>
      </c>
      <c r="G785">
        <v>0.26100000000000001</v>
      </c>
      <c r="H785">
        <v>0</v>
      </c>
      <c r="I785" t="s">
        <v>0</v>
      </c>
      <c r="J785" t="s">
        <v>59</v>
      </c>
      <c r="K785">
        <v>0</v>
      </c>
      <c r="L785" t="s">
        <v>60</v>
      </c>
      <c r="M785">
        <v>1</v>
      </c>
      <c r="N785" t="s">
        <v>67</v>
      </c>
      <c r="O785" s="2">
        <v>0.49027777777777781</v>
      </c>
      <c r="P785">
        <f>-0.0010399181*3600</f>
        <v>-3.7437051599999998</v>
      </c>
      <c r="Q785">
        <f>-0.0021932166*3600</f>
        <v>-7.8955797600000004</v>
      </c>
    </row>
    <row r="786" spans="1:17" x14ac:dyDescent="0.3">
      <c r="A786" s="4" t="s">
        <v>47</v>
      </c>
      <c r="B786" s="5" t="s">
        <v>397</v>
      </c>
      <c r="C786">
        <v>98.827359999999999</v>
      </c>
      <c r="D786">
        <v>104.987815</v>
      </c>
      <c r="E786">
        <v>1</v>
      </c>
      <c r="F786">
        <v>1</v>
      </c>
      <c r="G786">
        <v>0.26100000000000001</v>
      </c>
      <c r="H786">
        <v>0</v>
      </c>
      <c r="I786" t="s">
        <v>0</v>
      </c>
      <c r="J786" t="s">
        <v>59</v>
      </c>
      <c r="K786">
        <v>0</v>
      </c>
      <c r="L786" t="s">
        <v>60</v>
      </c>
      <c r="M786">
        <v>1</v>
      </c>
      <c r="N786" t="s">
        <v>67</v>
      </c>
      <c r="O786" s="2">
        <v>0.49027777777777781</v>
      </c>
      <c r="P786">
        <f>-0.0010415813*3600</f>
        <v>-3.7496926800000003</v>
      </c>
      <c r="Q786">
        <f>-0.0022120457*3600</f>
        <v>-7.9633645199999998</v>
      </c>
    </row>
    <row r="787" spans="1:17" x14ac:dyDescent="0.3">
      <c r="A787" s="4" t="s">
        <v>47</v>
      </c>
      <c r="B787" s="5" t="s">
        <v>398</v>
      </c>
      <c r="C787">
        <v>98.827574999999996</v>
      </c>
      <c r="D787">
        <v>104.987807</v>
      </c>
      <c r="E787">
        <v>1</v>
      </c>
      <c r="F787">
        <v>1</v>
      </c>
      <c r="G787">
        <v>0.26100000000000001</v>
      </c>
      <c r="H787">
        <v>0</v>
      </c>
      <c r="I787" t="s">
        <v>0</v>
      </c>
      <c r="J787" t="s">
        <v>59</v>
      </c>
      <c r="K787">
        <v>0</v>
      </c>
      <c r="L787" t="s">
        <v>60</v>
      </c>
      <c r="M787">
        <v>1</v>
      </c>
      <c r="N787" t="s">
        <v>67</v>
      </c>
      <c r="O787" s="2">
        <v>0.49027777777777781</v>
      </c>
      <c r="P787">
        <f>-0.001062826*3600</f>
        <v>-3.8261736000000002</v>
      </c>
      <c r="Q787">
        <f>-0.0021964522*3600</f>
        <v>-7.9072279199999995</v>
      </c>
    </row>
    <row r="788" spans="1:17" x14ac:dyDescent="0.3">
      <c r="A788" s="4" t="s">
        <v>47</v>
      </c>
      <c r="B788" s="5" t="s">
        <v>399</v>
      </c>
      <c r="C788">
        <v>98.827321999999995</v>
      </c>
      <c r="D788">
        <v>104.987808</v>
      </c>
      <c r="E788">
        <v>1</v>
      </c>
      <c r="F788">
        <v>1</v>
      </c>
      <c r="G788">
        <v>0.26100000000000001</v>
      </c>
      <c r="H788">
        <v>0</v>
      </c>
      <c r="I788" t="s">
        <v>0</v>
      </c>
      <c r="J788" t="s">
        <v>59</v>
      </c>
      <c r="K788">
        <v>0</v>
      </c>
      <c r="L788" t="s">
        <v>60</v>
      </c>
      <c r="M788">
        <v>1</v>
      </c>
      <c r="N788" t="s">
        <v>67</v>
      </c>
      <c r="O788" s="2">
        <v>0.49027777777777781</v>
      </c>
      <c r="P788">
        <f>-0.0010600646*3600</f>
        <v>-3.8162325600000004</v>
      </c>
      <c r="Q788">
        <f>-0.0021787168*3600</f>
        <v>-7.8433804800000004</v>
      </c>
    </row>
    <row r="789" spans="1:17" x14ac:dyDescent="0.3">
      <c r="A789" s="4" t="s">
        <v>47</v>
      </c>
      <c r="B789" s="5" t="s">
        <v>400</v>
      </c>
      <c r="C789">
        <v>98.827276999999995</v>
      </c>
      <c r="D789">
        <v>104.987829</v>
      </c>
      <c r="E789">
        <v>1</v>
      </c>
      <c r="F789">
        <v>1</v>
      </c>
      <c r="G789">
        <v>0.26100000000000001</v>
      </c>
      <c r="H789">
        <v>0</v>
      </c>
      <c r="I789" t="s">
        <v>0</v>
      </c>
      <c r="J789" t="s">
        <v>59</v>
      </c>
      <c r="K789">
        <v>0</v>
      </c>
      <c r="L789" t="s">
        <v>60</v>
      </c>
      <c r="M789">
        <v>1</v>
      </c>
      <c r="N789" t="s">
        <v>67</v>
      </c>
      <c r="O789" s="2">
        <v>0.49027777777777781</v>
      </c>
      <c r="P789">
        <f>-0.0010860038*3600</f>
        <v>-3.9096136799999996</v>
      </c>
      <c r="Q789">
        <f>-0.0021850748*3600</f>
        <v>-7.8662692799999991</v>
      </c>
    </row>
    <row r="790" spans="1:17" x14ac:dyDescent="0.3">
      <c r="A790" s="4" t="s">
        <v>47</v>
      </c>
      <c r="B790" s="5" t="s">
        <v>401</v>
      </c>
      <c r="C790">
        <v>98.827696000000003</v>
      </c>
      <c r="D790">
        <v>104.98783299999999</v>
      </c>
      <c r="E790">
        <v>1</v>
      </c>
      <c r="F790">
        <v>1</v>
      </c>
      <c r="G790">
        <v>0.26100000000000001</v>
      </c>
      <c r="H790">
        <v>0</v>
      </c>
      <c r="I790" t="s">
        <v>0</v>
      </c>
      <c r="J790" t="s">
        <v>59</v>
      </c>
      <c r="K790">
        <v>0</v>
      </c>
      <c r="L790" t="s">
        <v>60</v>
      </c>
      <c r="M790">
        <v>1</v>
      </c>
      <c r="N790" t="s">
        <v>67</v>
      </c>
      <c r="O790" s="2">
        <v>0.49027777777777781</v>
      </c>
      <c r="P790">
        <f>-0.0011067839*3600</f>
        <v>-3.9844220399999997</v>
      </c>
      <c r="Q790">
        <f>-0.0021856634*3600</f>
        <v>-7.8683882400000007</v>
      </c>
    </row>
    <row r="791" spans="1:17" x14ac:dyDescent="0.3">
      <c r="A791" s="4" t="s">
        <v>47</v>
      </c>
      <c r="B791" s="5" t="s">
        <v>402</v>
      </c>
      <c r="C791">
        <v>98.827162000000001</v>
      </c>
      <c r="D791">
        <v>104.987785</v>
      </c>
      <c r="E791">
        <v>1</v>
      </c>
      <c r="F791">
        <v>1</v>
      </c>
      <c r="G791">
        <v>0.26100000000000001</v>
      </c>
      <c r="H791">
        <v>0</v>
      </c>
      <c r="I791" t="s">
        <v>0</v>
      </c>
      <c r="J791" t="s">
        <v>59</v>
      </c>
      <c r="K791">
        <v>0</v>
      </c>
      <c r="L791" t="s">
        <v>60</v>
      </c>
      <c r="M791">
        <v>1</v>
      </c>
      <c r="N791" t="s">
        <v>67</v>
      </c>
      <c r="O791" s="2">
        <v>0.49027777777777781</v>
      </c>
      <c r="P791">
        <f>-0.0011884811*3600</f>
        <v>-4.2785319599999996</v>
      </c>
      <c r="Q791">
        <f>-0.002223292*3600</f>
        <v>-8.0038511999999997</v>
      </c>
    </row>
    <row r="792" spans="1:17" x14ac:dyDescent="0.3">
      <c r="A792" s="4" t="s">
        <v>47</v>
      </c>
      <c r="B792" s="5" t="s">
        <v>403</v>
      </c>
      <c r="C792">
        <v>98.827703999999997</v>
      </c>
      <c r="D792">
        <v>104.987785</v>
      </c>
      <c r="E792">
        <v>1</v>
      </c>
      <c r="F792">
        <v>1</v>
      </c>
      <c r="G792">
        <v>0.26100000000000001</v>
      </c>
      <c r="H792">
        <v>0</v>
      </c>
      <c r="I792" t="s">
        <v>0</v>
      </c>
      <c r="J792" t="s">
        <v>59</v>
      </c>
      <c r="K792">
        <v>0</v>
      </c>
      <c r="L792" t="s">
        <v>60</v>
      </c>
      <c r="M792">
        <v>1</v>
      </c>
      <c r="N792" t="s">
        <v>67</v>
      </c>
      <c r="O792" s="2">
        <v>0.49027777777777781</v>
      </c>
      <c r="P792">
        <f>-0.0011942641*3600</f>
        <v>-4.2993507600000003</v>
      </c>
      <c r="Q792">
        <f>-0.0022281794*3600</f>
        <v>-8.0214458400000002</v>
      </c>
    </row>
    <row r="793" spans="1:17" x14ac:dyDescent="0.3">
      <c r="A793" s="4" t="s">
        <v>47</v>
      </c>
      <c r="B793" s="5" t="s">
        <v>404</v>
      </c>
      <c r="C793">
        <v>98.827230999999998</v>
      </c>
      <c r="D793">
        <v>104.987791</v>
      </c>
      <c r="E793">
        <v>1</v>
      </c>
      <c r="F793">
        <v>1</v>
      </c>
      <c r="G793">
        <v>0.26100000000000001</v>
      </c>
      <c r="H793">
        <v>0</v>
      </c>
      <c r="I793" t="s">
        <v>0</v>
      </c>
      <c r="J793" t="s">
        <v>59</v>
      </c>
      <c r="K793">
        <v>0</v>
      </c>
      <c r="L793" t="s">
        <v>60</v>
      </c>
      <c r="M793">
        <v>1</v>
      </c>
      <c r="N793" t="s">
        <v>67</v>
      </c>
      <c r="O793" s="2">
        <v>0.49027777777777781</v>
      </c>
      <c r="P793">
        <f>-0.0012002544*3600</f>
        <v>-4.3209158399999996</v>
      </c>
      <c r="Q793">
        <f>-0.0022104669*3600</f>
        <v>-7.957680840000001</v>
      </c>
    </row>
    <row r="794" spans="1:17" x14ac:dyDescent="0.3">
      <c r="A794" s="4" t="s">
        <v>47</v>
      </c>
      <c r="B794" s="5" t="s">
        <v>405</v>
      </c>
      <c r="C794">
        <v>98.827499000000003</v>
      </c>
      <c r="D794">
        <v>104.98784999999999</v>
      </c>
      <c r="E794">
        <v>1</v>
      </c>
      <c r="F794">
        <v>1</v>
      </c>
      <c r="G794">
        <v>0.26100000000000001</v>
      </c>
      <c r="H794">
        <v>0</v>
      </c>
      <c r="I794" t="s">
        <v>0</v>
      </c>
      <c r="J794" t="s">
        <v>59</v>
      </c>
      <c r="K794">
        <v>0</v>
      </c>
      <c r="L794" t="s">
        <v>60</v>
      </c>
      <c r="M794">
        <v>1</v>
      </c>
      <c r="N794" t="s">
        <v>67</v>
      </c>
      <c r="O794" s="2">
        <v>0.49027777777777781</v>
      </c>
      <c r="P794">
        <f>-0.0012077105*3600</f>
        <v>-4.3477578000000001</v>
      </c>
      <c r="Q794">
        <f>-0.0021635547*3600</f>
        <v>-7.7887969200000002</v>
      </c>
    </row>
    <row r="795" spans="1:17" x14ac:dyDescent="0.3">
      <c r="A795" s="4" t="s">
        <v>47</v>
      </c>
      <c r="B795" s="5" t="s">
        <v>406</v>
      </c>
      <c r="C795">
        <v>98.828445000000002</v>
      </c>
      <c r="D795">
        <v>104.987165</v>
      </c>
      <c r="E795">
        <v>1</v>
      </c>
      <c r="F795">
        <v>1</v>
      </c>
      <c r="G795">
        <v>0.26100000000000001</v>
      </c>
      <c r="H795">
        <v>0</v>
      </c>
      <c r="I795" t="s">
        <v>0</v>
      </c>
      <c r="J795" t="s">
        <v>59</v>
      </c>
      <c r="K795">
        <v>0</v>
      </c>
      <c r="L795" t="s">
        <v>60</v>
      </c>
      <c r="M795">
        <v>1</v>
      </c>
      <c r="N795" t="s">
        <v>67</v>
      </c>
      <c r="O795" s="2">
        <v>0.4909722222222222</v>
      </c>
      <c r="P795">
        <f>-0.0010028894*3600</f>
        <v>-3.6104018400000002</v>
      </c>
      <c r="Q795">
        <f>-0.0028511088*3600</f>
        <v>-10.26399168</v>
      </c>
    </row>
    <row r="796" spans="1:17" x14ac:dyDescent="0.3">
      <c r="A796" s="4" t="s">
        <v>47</v>
      </c>
      <c r="B796" s="5" t="s">
        <v>407</v>
      </c>
      <c r="C796">
        <v>98.828445000000002</v>
      </c>
      <c r="D796">
        <v>104.987236</v>
      </c>
      <c r="E796">
        <v>1</v>
      </c>
      <c r="F796">
        <v>1</v>
      </c>
      <c r="G796">
        <v>0.26100000000000001</v>
      </c>
      <c r="H796">
        <v>0</v>
      </c>
      <c r="I796" t="s">
        <v>0</v>
      </c>
      <c r="J796" t="s">
        <v>59</v>
      </c>
      <c r="K796">
        <v>0</v>
      </c>
      <c r="L796" t="s">
        <v>60</v>
      </c>
      <c r="M796">
        <v>1</v>
      </c>
      <c r="N796" t="s">
        <v>67</v>
      </c>
      <c r="O796" s="2">
        <v>0.4909722222222222</v>
      </c>
      <c r="P796">
        <f>-0.0012081177*3600</f>
        <v>-4.3492237199999995</v>
      </c>
      <c r="Q796">
        <f>-0.0027985519*3600</f>
        <v>-10.07478684</v>
      </c>
    </row>
    <row r="797" spans="1:17" x14ac:dyDescent="0.3">
      <c r="A797" s="4" t="s">
        <v>47</v>
      </c>
      <c r="B797" s="5" t="s">
        <v>408</v>
      </c>
      <c r="C797">
        <v>98.828712999999993</v>
      </c>
      <c r="D797">
        <v>104.98725399999999</v>
      </c>
      <c r="E797">
        <v>1</v>
      </c>
      <c r="F797">
        <v>1</v>
      </c>
      <c r="G797">
        <v>0.26100000000000001</v>
      </c>
      <c r="H797">
        <v>0</v>
      </c>
      <c r="I797" t="s">
        <v>0</v>
      </c>
      <c r="J797" t="s">
        <v>59</v>
      </c>
      <c r="K797">
        <v>0</v>
      </c>
      <c r="L797" t="s">
        <v>60</v>
      </c>
      <c r="M797">
        <v>1</v>
      </c>
      <c r="N797" t="s">
        <v>67</v>
      </c>
      <c r="O797" s="2">
        <v>0.4909722222222222</v>
      </c>
      <c r="P797">
        <f>-0.0012058945*3600</f>
        <v>-4.3412202000000004</v>
      </c>
      <c r="Q797">
        <f>-0.0027677855*3600</f>
        <v>-9.9640278000000002</v>
      </c>
    </row>
    <row r="798" spans="1:17" x14ac:dyDescent="0.3">
      <c r="A798" s="4" t="s">
        <v>47</v>
      </c>
      <c r="B798" s="5" t="s">
        <v>409</v>
      </c>
      <c r="C798">
        <v>98.827466000000001</v>
      </c>
      <c r="D798">
        <v>104.987247</v>
      </c>
      <c r="E798">
        <v>1</v>
      </c>
      <c r="F798">
        <v>1</v>
      </c>
      <c r="G798">
        <v>0.26100000000000001</v>
      </c>
      <c r="H798">
        <v>0</v>
      </c>
      <c r="I798" t="s">
        <v>0</v>
      </c>
      <c r="J798" t="s">
        <v>59</v>
      </c>
      <c r="K798">
        <v>0</v>
      </c>
      <c r="L798" t="s">
        <v>60</v>
      </c>
      <c r="M798">
        <v>1</v>
      </c>
      <c r="N798" t="s">
        <v>67</v>
      </c>
      <c r="O798" s="2">
        <v>0.4909722222222222</v>
      </c>
      <c r="P798">
        <f>-0.0012738407*3600</f>
        <v>-4.5858265200000004</v>
      </c>
      <c r="Q798">
        <f>-0.0028022129*3600</f>
        <v>-10.087966440000001</v>
      </c>
    </row>
    <row r="799" spans="1:17" x14ac:dyDescent="0.3">
      <c r="A799" s="4" t="s">
        <v>47</v>
      </c>
      <c r="B799" s="5" t="s">
        <v>410</v>
      </c>
      <c r="C799">
        <v>98.827355999999995</v>
      </c>
      <c r="D799">
        <v>104.987092</v>
      </c>
      <c r="E799">
        <v>1</v>
      </c>
      <c r="F799">
        <v>1</v>
      </c>
      <c r="G799">
        <v>0.26100000000000001</v>
      </c>
      <c r="H799">
        <v>0</v>
      </c>
      <c r="I799" t="s">
        <v>0</v>
      </c>
      <c r="J799" t="s">
        <v>59</v>
      </c>
      <c r="K799">
        <v>0</v>
      </c>
      <c r="L799" t="s">
        <v>60</v>
      </c>
      <c r="M799">
        <v>1</v>
      </c>
      <c r="N799" t="s">
        <v>67</v>
      </c>
      <c r="O799" s="2">
        <v>0.4909722222222222</v>
      </c>
      <c r="P799">
        <f>-0.0012569815*3600</f>
        <v>-4.5251334000000005</v>
      </c>
      <c r="Q799">
        <f>-0.0029682982*3600</f>
        <v>-10.685873519999999</v>
      </c>
    </row>
    <row r="800" spans="1:17" x14ac:dyDescent="0.3">
      <c r="A800" s="4" t="s">
        <v>47</v>
      </c>
      <c r="B800" s="5" t="s">
        <v>411</v>
      </c>
      <c r="C800">
        <v>98.827706000000006</v>
      </c>
      <c r="D800">
        <v>104.98714699999999</v>
      </c>
      <c r="E800">
        <v>1</v>
      </c>
      <c r="F800">
        <v>1</v>
      </c>
      <c r="G800">
        <v>0.26100000000000001</v>
      </c>
      <c r="H800">
        <v>0</v>
      </c>
      <c r="I800" t="s">
        <v>0</v>
      </c>
      <c r="J800" t="s">
        <v>59</v>
      </c>
      <c r="K800">
        <v>0</v>
      </c>
      <c r="L800" t="s">
        <v>60</v>
      </c>
      <c r="M800">
        <v>1</v>
      </c>
      <c r="N800" t="s">
        <v>67</v>
      </c>
      <c r="O800" s="2">
        <v>0.4909722222222222</v>
      </c>
      <c r="P800">
        <f>-0.0012617338*3600</f>
        <v>-4.5422416800000001</v>
      </c>
      <c r="Q800">
        <f>-0.002899041*3600</f>
        <v>-10.436547600000001</v>
      </c>
    </row>
    <row r="801" spans="1:17" x14ac:dyDescent="0.3">
      <c r="A801" s="4" t="s">
        <v>47</v>
      </c>
      <c r="B801" s="5" t="s">
        <v>412</v>
      </c>
      <c r="C801">
        <v>98.827432000000002</v>
      </c>
      <c r="D801">
        <v>104.98708999999999</v>
      </c>
      <c r="E801">
        <v>1</v>
      </c>
      <c r="F801">
        <v>1</v>
      </c>
      <c r="G801">
        <v>0.26100000000000001</v>
      </c>
      <c r="H801">
        <v>0</v>
      </c>
      <c r="I801" t="s">
        <v>0</v>
      </c>
      <c r="J801" t="s">
        <v>59</v>
      </c>
      <c r="K801">
        <v>0</v>
      </c>
      <c r="L801" t="s">
        <v>60</v>
      </c>
      <c r="M801">
        <v>1</v>
      </c>
      <c r="N801" t="s">
        <v>67</v>
      </c>
      <c r="O801" s="2">
        <v>0.4909722222222222</v>
      </c>
      <c r="P801">
        <f>-0.0013212925*3600</f>
        <v>-4.756653</v>
      </c>
      <c r="Q801">
        <f>-0.0029504382*3600</f>
        <v>-10.621577520000001</v>
      </c>
    </row>
    <row r="802" spans="1:17" x14ac:dyDescent="0.3">
      <c r="A802" s="4" t="s">
        <v>47</v>
      </c>
      <c r="B802" s="5" t="s">
        <v>413</v>
      </c>
      <c r="C802">
        <v>98.827368000000007</v>
      </c>
      <c r="D802">
        <v>104.98722100000001</v>
      </c>
      <c r="E802">
        <v>1</v>
      </c>
      <c r="F802">
        <v>1</v>
      </c>
      <c r="G802">
        <v>0.26100000000000001</v>
      </c>
      <c r="H802">
        <v>0</v>
      </c>
      <c r="I802" t="s">
        <v>0</v>
      </c>
      <c r="J802" t="s">
        <v>59</v>
      </c>
      <c r="K802">
        <v>0</v>
      </c>
      <c r="L802" t="s">
        <v>60</v>
      </c>
      <c r="M802">
        <v>1</v>
      </c>
      <c r="N802" t="s">
        <v>67</v>
      </c>
      <c r="O802" s="2">
        <v>0.4909722222222222</v>
      </c>
      <c r="P802">
        <f>-0.0012336276*3600</f>
        <v>-4.4410593599999997</v>
      </c>
      <c r="Q802">
        <f>-0.0028050892*3600</f>
        <v>-10.09832112</v>
      </c>
    </row>
    <row r="803" spans="1:17" x14ac:dyDescent="0.3">
      <c r="A803" s="4" t="s">
        <v>47</v>
      </c>
      <c r="B803" s="5" t="s">
        <v>414</v>
      </c>
      <c r="C803">
        <v>98.827095</v>
      </c>
      <c r="D803">
        <v>104.98719199999999</v>
      </c>
      <c r="E803">
        <v>1</v>
      </c>
      <c r="F803">
        <v>1</v>
      </c>
      <c r="G803">
        <v>0.26100000000000001</v>
      </c>
      <c r="H803">
        <v>0</v>
      </c>
      <c r="I803" t="s">
        <v>0</v>
      </c>
      <c r="J803" t="s">
        <v>59</v>
      </c>
      <c r="K803">
        <v>0</v>
      </c>
      <c r="L803" t="s">
        <v>60</v>
      </c>
      <c r="M803">
        <v>1</v>
      </c>
      <c r="N803" t="s">
        <v>67</v>
      </c>
      <c r="O803" s="2">
        <v>0.4909722222222222</v>
      </c>
      <c r="P803">
        <f>-0.001326561*3600</f>
        <v>-4.7756195999999997</v>
      </c>
      <c r="Q803">
        <f>-0.002821251*3600</f>
        <v>-10.156503599999999</v>
      </c>
    </row>
    <row r="804" spans="1:17" x14ac:dyDescent="0.3">
      <c r="A804" s="4" t="s">
        <v>47</v>
      </c>
      <c r="B804" s="5" t="s">
        <v>415</v>
      </c>
      <c r="C804">
        <v>98.827029999999993</v>
      </c>
      <c r="D804">
        <v>104.987207</v>
      </c>
      <c r="E804">
        <v>1</v>
      </c>
      <c r="F804">
        <v>1</v>
      </c>
      <c r="G804">
        <v>0.26100000000000001</v>
      </c>
      <c r="H804">
        <v>0</v>
      </c>
      <c r="I804" t="s">
        <v>0</v>
      </c>
      <c r="J804" t="s">
        <v>59</v>
      </c>
      <c r="K804">
        <v>0</v>
      </c>
      <c r="L804" t="s">
        <v>60</v>
      </c>
      <c r="M804">
        <v>1</v>
      </c>
      <c r="N804" t="s">
        <v>67</v>
      </c>
      <c r="O804" s="2">
        <v>0.4909722222222222</v>
      </c>
      <c r="P804">
        <f>-0.0013211677*3600</f>
        <v>-4.7562037200000002</v>
      </c>
      <c r="Q804">
        <f>-0.0028351566*3600</f>
        <v>-10.20656376</v>
      </c>
    </row>
    <row r="805" spans="1:17" x14ac:dyDescent="0.3">
      <c r="A805" s="4" t="s">
        <v>47</v>
      </c>
      <c r="B805" s="5" t="s">
        <v>416</v>
      </c>
      <c r="C805">
        <v>98.827066000000002</v>
      </c>
      <c r="D805">
        <v>104.98723099999999</v>
      </c>
      <c r="E805">
        <v>1</v>
      </c>
      <c r="F805">
        <v>1</v>
      </c>
      <c r="G805">
        <v>0.26100000000000001</v>
      </c>
      <c r="H805">
        <v>0</v>
      </c>
      <c r="I805" t="s">
        <v>0</v>
      </c>
      <c r="J805" t="s">
        <v>59</v>
      </c>
      <c r="K805">
        <v>0</v>
      </c>
      <c r="L805" t="s">
        <v>60</v>
      </c>
      <c r="M805">
        <v>1</v>
      </c>
      <c r="N805" t="s">
        <v>67</v>
      </c>
      <c r="O805" s="2">
        <v>0.4909722222222222</v>
      </c>
      <c r="P805">
        <f>-0.0012766296*3600</f>
        <v>-4.5958665600000002</v>
      </c>
      <c r="Q805">
        <f>-0.0028274844*3600</f>
        <v>-10.178943840000001</v>
      </c>
    </row>
    <row r="806" spans="1:17" x14ac:dyDescent="0.3">
      <c r="A806" s="4" t="s">
        <v>47</v>
      </c>
      <c r="B806" s="5" t="s">
        <v>417</v>
      </c>
      <c r="C806">
        <v>98.827011999999996</v>
      </c>
      <c r="D806">
        <v>104.98719699999999</v>
      </c>
      <c r="E806">
        <v>1</v>
      </c>
      <c r="F806">
        <v>1</v>
      </c>
      <c r="G806">
        <v>0.26100000000000001</v>
      </c>
      <c r="H806">
        <v>0</v>
      </c>
      <c r="I806" t="s">
        <v>0</v>
      </c>
      <c r="J806" t="s">
        <v>59</v>
      </c>
      <c r="K806">
        <v>0</v>
      </c>
      <c r="L806" t="s">
        <v>60</v>
      </c>
      <c r="M806">
        <v>1</v>
      </c>
      <c r="N806" t="s">
        <v>67</v>
      </c>
      <c r="O806" s="2">
        <v>0.4909722222222222</v>
      </c>
      <c r="P806">
        <f>-0.0013402631*3600</f>
        <v>-4.8249471599999998</v>
      </c>
      <c r="Q806">
        <f>-0.0028658385*3600</f>
        <v>-10.317018600000001</v>
      </c>
    </row>
    <row r="807" spans="1:17" x14ac:dyDescent="0.3">
      <c r="A807" s="4" t="s">
        <v>47</v>
      </c>
      <c r="B807" s="5" t="s">
        <v>418</v>
      </c>
      <c r="C807">
        <v>98.826986000000005</v>
      </c>
      <c r="D807">
        <v>104.987162</v>
      </c>
      <c r="E807">
        <v>1</v>
      </c>
      <c r="F807">
        <v>1</v>
      </c>
      <c r="G807">
        <v>0.26100000000000001</v>
      </c>
      <c r="H807">
        <v>0</v>
      </c>
      <c r="I807" t="s">
        <v>0</v>
      </c>
      <c r="J807" t="s">
        <v>59</v>
      </c>
      <c r="K807">
        <v>0</v>
      </c>
      <c r="L807" t="s">
        <v>60</v>
      </c>
      <c r="M807">
        <v>1</v>
      </c>
      <c r="N807" t="s">
        <v>67</v>
      </c>
      <c r="O807" s="2">
        <v>0.4909722222222222</v>
      </c>
      <c r="P807">
        <f>-0.0013888774*3600</f>
        <v>-4.99995864</v>
      </c>
      <c r="Q807">
        <f>-0.0028962318*3600</f>
        <v>-10.426434479999999</v>
      </c>
    </row>
    <row r="808" spans="1:17" x14ac:dyDescent="0.3">
      <c r="A808" s="4" t="s">
        <v>47</v>
      </c>
      <c r="B808" s="5" t="s">
        <v>419</v>
      </c>
      <c r="C808">
        <v>98.826937999999998</v>
      </c>
      <c r="D808">
        <v>104.987225</v>
      </c>
      <c r="E808">
        <v>1</v>
      </c>
      <c r="F808">
        <v>1</v>
      </c>
      <c r="G808">
        <v>0.26100000000000001</v>
      </c>
      <c r="H808">
        <v>0</v>
      </c>
      <c r="I808" t="s">
        <v>0</v>
      </c>
      <c r="J808" t="s">
        <v>59</v>
      </c>
      <c r="K808">
        <v>0</v>
      </c>
      <c r="L808" t="s">
        <v>60</v>
      </c>
      <c r="M808">
        <v>1</v>
      </c>
      <c r="N808" t="s">
        <v>67</v>
      </c>
      <c r="O808" s="2">
        <v>0.4909722222222222</v>
      </c>
      <c r="P808">
        <f>-0.0013939262*3600</f>
        <v>-5.0181343200000006</v>
      </c>
      <c r="Q808">
        <f>-0.0028453151*3600</f>
        <v>-10.243134360000001</v>
      </c>
    </row>
    <row r="809" spans="1:17" x14ac:dyDescent="0.3">
      <c r="A809" s="4" t="s">
        <v>47</v>
      </c>
      <c r="B809" s="6" t="s">
        <v>420</v>
      </c>
      <c r="C809">
        <v>298.82656200000002</v>
      </c>
      <c r="D809">
        <v>295.03250500000001</v>
      </c>
      <c r="E809">
        <v>19.663599999999999</v>
      </c>
      <c r="F809">
        <v>19.600300000000001</v>
      </c>
      <c r="G809">
        <v>0.26100000000000001</v>
      </c>
      <c r="H809">
        <v>0</v>
      </c>
      <c r="I809" t="s">
        <v>0</v>
      </c>
      <c r="J809" t="s">
        <v>59</v>
      </c>
      <c r="K809">
        <v>3.4000000000000002E-2</v>
      </c>
      <c r="L809" t="s">
        <v>60</v>
      </c>
      <c r="M809">
        <v>1</v>
      </c>
      <c r="N809" t="s">
        <v>53</v>
      </c>
      <c r="O809" s="2">
        <v>0.4916666666666667</v>
      </c>
      <c r="P809">
        <f>0.0009080772*3600</f>
        <v>3.26907792</v>
      </c>
      <c r="Q809">
        <f>0.0018147255*3600</f>
        <v>6.5330118000000006</v>
      </c>
    </row>
    <row r="810" spans="1:17" x14ac:dyDescent="0.3">
      <c r="A810" s="4" t="s">
        <v>47</v>
      </c>
      <c r="B810" s="6" t="s">
        <v>421</v>
      </c>
      <c r="C810">
        <v>298.82673799999998</v>
      </c>
      <c r="D810">
        <v>295.01140099999998</v>
      </c>
      <c r="E810">
        <v>1</v>
      </c>
      <c r="F810">
        <v>1</v>
      </c>
      <c r="G810">
        <v>0.26100000000000001</v>
      </c>
      <c r="H810">
        <v>0</v>
      </c>
      <c r="I810" t="s">
        <v>0</v>
      </c>
      <c r="J810" t="s">
        <v>59</v>
      </c>
      <c r="K810">
        <v>0</v>
      </c>
      <c r="L810" t="s">
        <v>60</v>
      </c>
      <c r="M810">
        <v>1</v>
      </c>
      <c r="N810" t="s">
        <v>67</v>
      </c>
      <c r="O810" s="2">
        <v>0.4916666666666667</v>
      </c>
      <c r="P810">
        <f>0.0009586959*3600</f>
        <v>3.4513052399999999</v>
      </c>
      <c r="Q810">
        <f>0.0022465635*3600</f>
        <v>8.0876286000000004</v>
      </c>
    </row>
    <row r="811" spans="1:17" x14ac:dyDescent="0.3">
      <c r="A811" s="4" t="s">
        <v>47</v>
      </c>
      <c r="B811" s="6" t="s">
        <v>422</v>
      </c>
      <c r="C811">
        <v>298.82726400000001</v>
      </c>
      <c r="D811">
        <v>295.01118300000002</v>
      </c>
      <c r="E811">
        <v>1</v>
      </c>
      <c r="F811">
        <v>1</v>
      </c>
      <c r="G811">
        <v>0.26100000000000001</v>
      </c>
      <c r="H811">
        <v>0</v>
      </c>
      <c r="I811" t="s">
        <v>0</v>
      </c>
      <c r="J811" t="s">
        <v>59</v>
      </c>
      <c r="K811">
        <v>0</v>
      </c>
      <c r="L811" t="s">
        <v>60</v>
      </c>
      <c r="M811">
        <v>1</v>
      </c>
      <c r="N811" t="s">
        <v>67</v>
      </c>
      <c r="O811" s="2">
        <v>0.4916666666666667</v>
      </c>
      <c r="P811">
        <f>0.0009732365*3600</f>
        <v>3.5036513999999999</v>
      </c>
      <c r="Q811">
        <f>0.002032376*3600</f>
        <v>7.3165535999999989</v>
      </c>
    </row>
    <row r="812" spans="1:17" x14ac:dyDescent="0.3">
      <c r="A812" s="4" t="s">
        <v>47</v>
      </c>
      <c r="B812" s="6" t="s">
        <v>423</v>
      </c>
      <c r="C812">
        <v>298.826953</v>
      </c>
      <c r="D812">
        <v>295.011211</v>
      </c>
      <c r="E812">
        <v>1</v>
      </c>
      <c r="F812">
        <v>1</v>
      </c>
      <c r="G812">
        <v>0.26100000000000001</v>
      </c>
      <c r="H812">
        <v>0</v>
      </c>
      <c r="I812" t="s">
        <v>0</v>
      </c>
      <c r="J812" t="s">
        <v>59</v>
      </c>
      <c r="K812">
        <v>0</v>
      </c>
      <c r="L812" t="s">
        <v>60</v>
      </c>
      <c r="M812">
        <v>1</v>
      </c>
      <c r="N812" t="s">
        <v>67</v>
      </c>
      <c r="O812" s="2">
        <v>0.4916666666666667</v>
      </c>
      <c r="P812">
        <f>0.000897627*3600</f>
        <v>3.2314571999999999</v>
      </c>
      <c r="Q812">
        <f>0.0020501409*3600</f>
        <v>7.38050724</v>
      </c>
    </row>
    <row r="813" spans="1:17" x14ac:dyDescent="0.3">
      <c r="A813" s="4" t="s">
        <v>47</v>
      </c>
      <c r="B813" s="6" t="s">
        <v>424</v>
      </c>
      <c r="C813">
        <v>298.82615700000002</v>
      </c>
      <c r="D813">
        <v>295.01121699999999</v>
      </c>
      <c r="E813">
        <v>1</v>
      </c>
      <c r="F813">
        <v>1</v>
      </c>
      <c r="G813">
        <v>0.26100000000000001</v>
      </c>
      <c r="H813">
        <v>0</v>
      </c>
      <c r="I813" t="s">
        <v>0</v>
      </c>
      <c r="J813" t="s">
        <v>59</v>
      </c>
      <c r="K813">
        <v>0</v>
      </c>
      <c r="L813" t="s">
        <v>60</v>
      </c>
      <c r="M813">
        <v>1</v>
      </c>
      <c r="N813" t="s">
        <v>67</v>
      </c>
      <c r="O813" s="2">
        <v>0.4916666666666667</v>
      </c>
      <c r="P813">
        <f>0.0009278755*3600</f>
        <v>3.3403518000000001</v>
      </c>
      <c r="Q813">
        <f>0.0020630316*3600</f>
        <v>7.4269137600000006</v>
      </c>
    </row>
    <row r="814" spans="1:17" x14ac:dyDescent="0.3">
      <c r="A814" s="4" t="s">
        <v>47</v>
      </c>
      <c r="B814" s="6" t="s">
        <v>425</v>
      </c>
      <c r="C814">
        <v>298.82699000000002</v>
      </c>
      <c r="D814">
        <v>295.01124700000003</v>
      </c>
      <c r="E814">
        <v>1</v>
      </c>
      <c r="F814">
        <v>1</v>
      </c>
      <c r="G814">
        <v>0.26100000000000001</v>
      </c>
      <c r="H814">
        <v>0</v>
      </c>
      <c r="I814" t="s">
        <v>0</v>
      </c>
      <c r="J814" t="s">
        <v>59</v>
      </c>
      <c r="K814">
        <v>0</v>
      </c>
      <c r="L814" t="s">
        <v>60</v>
      </c>
      <c r="M814">
        <v>1</v>
      </c>
      <c r="N814" t="s">
        <v>67</v>
      </c>
      <c r="O814" s="2">
        <v>0.4916666666666667</v>
      </c>
      <c r="P814">
        <f>0.0009199507*3600</f>
        <v>3.3118225200000002</v>
      </c>
      <c r="Q814">
        <f>0.0020754034*3600</f>
        <v>7.4714522400000005</v>
      </c>
    </row>
    <row r="815" spans="1:17" x14ac:dyDescent="0.3">
      <c r="A815" s="4" t="s">
        <v>47</v>
      </c>
      <c r="B815" s="6" t="s">
        <v>426</v>
      </c>
      <c r="C815">
        <v>298.82662299999998</v>
      </c>
      <c r="D815">
        <v>295.01126799999997</v>
      </c>
      <c r="E815">
        <v>1</v>
      </c>
      <c r="F815">
        <v>1</v>
      </c>
      <c r="G815">
        <v>0.26100000000000001</v>
      </c>
      <c r="H815">
        <v>0</v>
      </c>
      <c r="I815" t="s">
        <v>0</v>
      </c>
      <c r="J815" t="s">
        <v>59</v>
      </c>
      <c r="K815">
        <v>0</v>
      </c>
      <c r="L815" t="s">
        <v>60</v>
      </c>
      <c r="M815">
        <v>1</v>
      </c>
      <c r="N815" t="s">
        <v>67</v>
      </c>
      <c r="O815" s="2">
        <v>0.4916666666666667</v>
      </c>
      <c r="P815">
        <f>0.0008703852*3600</f>
        <v>3.1333867199999998</v>
      </c>
      <c r="Q815">
        <f>0.0021043654*3600</f>
        <v>7.5757154400000006</v>
      </c>
    </row>
    <row r="816" spans="1:17" x14ac:dyDescent="0.3">
      <c r="A816" s="4" t="s">
        <v>47</v>
      </c>
      <c r="B816" s="6" t="s">
        <v>427</v>
      </c>
      <c r="C816">
        <v>298.827202</v>
      </c>
      <c r="D816">
        <v>295.01111600000002</v>
      </c>
      <c r="E816">
        <v>1</v>
      </c>
      <c r="F816">
        <v>1</v>
      </c>
      <c r="G816">
        <v>0.26100000000000001</v>
      </c>
      <c r="H816">
        <v>0</v>
      </c>
      <c r="I816" t="s">
        <v>0</v>
      </c>
      <c r="J816" t="s">
        <v>59</v>
      </c>
      <c r="K816">
        <v>0</v>
      </c>
      <c r="L816" t="s">
        <v>60</v>
      </c>
      <c r="M816">
        <v>1</v>
      </c>
      <c r="N816" t="s">
        <v>67</v>
      </c>
      <c r="O816" s="2">
        <v>0.4916666666666667</v>
      </c>
      <c r="P816">
        <f>0.0008784521*3600</f>
        <v>3.1624275599999998</v>
      </c>
      <c r="Q816">
        <f>0.0019598495*3600</f>
        <v>7.0554581999999995</v>
      </c>
    </row>
    <row r="817" spans="1:17" x14ac:dyDescent="0.3">
      <c r="A817" s="4" t="s">
        <v>47</v>
      </c>
      <c r="B817" s="6" t="s">
        <v>428</v>
      </c>
      <c r="C817">
        <v>298.82687499999997</v>
      </c>
      <c r="D817">
        <v>295.01116400000001</v>
      </c>
      <c r="E817">
        <v>1</v>
      </c>
      <c r="F817">
        <v>1</v>
      </c>
      <c r="G817">
        <v>0.26100000000000001</v>
      </c>
      <c r="H817">
        <v>0</v>
      </c>
      <c r="I817" t="s">
        <v>0</v>
      </c>
      <c r="J817" t="s">
        <v>59</v>
      </c>
      <c r="K817">
        <v>0</v>
      </c>
      <c r="L817" t="s">
        <v>60</v>
      </c>
      <c r="M817">
        <v>1</v>
      </c>
      <c r="N817" t="s">
        <v>67</v>
      </c>
      <c r="O817" s="2">
        <v>0.4916666666666667</v>
      </c>
      <c r="P817">
        <f>0.0009298399*3600</f>
        <v>3.3474236400000001</v>
      </c>
      <c r="Q817">
        <f>0.0019996562*3600</f>
        <v>7.1987623199999993</v>
      </c>
    </row>
    <row r="818" spans="1:17" x14ac:dyDescent="0.3">
      <c r="A818" s="4" t="s">
        <v>47</v>
      </c>
      <c r="B818" s="6" t="s">
        <v>429</v>
      </c>
      <c r="C818">
        <v>298.827112</v>
      </c>
      <c r="D818">
        <v>295.01112999999998</v>
      </c>
      <c r="E818">
        <v>1</v>
      </c>
      <c r="F818">
        <v>1</v>
      </c>
      <c r="G818">
        <v>0.26100000000000001</v>
      </c>
      <c r="H818">
        <v>0</v>
      </c>
      <c r="I818" t="s">
        <v>0</v>
      </c>
      <c r="J818" t="s">
        <v>59</v>
      </c>
      <c r="K818">
        <v>0</v>
      </c>
      <c r="L818" t="s">
        <v>60</v>
      </c>
      <c r="M818">
        <v>1</v>
      </c>
      <c r="N818" t="s">
        <v>67</v>
      </c>
      <c r="O818" s="2">
        <v>0.4916666666666667</v>
      </c>
      <c r="P818">
        <f>0.0009140751*3600</f>
        <v>3.29067036</v>
      </c>
      <c r="Q818">
        <f>0.0019707556*3600</f>
        <v>7.0947201600000005</v>
      </c>
    </row>
    <row r="819" spans="1:17" x14ac:dyDescent="0.3">
      <c r="A819" s="4" t="s">
        <v>47</v>
      </c>
      <c r="B819" s="6" t="s">
        <v>430</v>
      </c>
      <c r="C819">
        <v>298.82726000000002</v>
      </c>
      <c r="D819">
        <v>295.011121</v>
      </c>
      <c r="E819">
        <v>1</v>
      </c>
      <c r="F819">
        <v>1</v>
      </c>
      <c r="G819">
        <v>0.26100000000000001</v>
      </c>
      <c r="H819">
        <v>0</v>
      </c>
      <c r="I819" t="s">
        <v>0</v>
      </c>
      <c r="J819" t="s">
        <v>59</v>
      </c>
      <c r="K819">
        <v>0</v>
      </c>
      <c r="L819" t="s">
        <v>60</v>
      </c>
      <c r="M819">
        <v>1</v>
      </c>
      <c r="N819" t="s">
        <v>67</v>
      </c>
      <c r="O819" s="2">
        <v>0.4916666666666667</v>
      </c>
      <c r="P819">
        <f>0.0008839235*3600</f>
        <v>3.1821245999999999</v>
      </c>
      <c r="Q819">
        <f>0.0019697891*3600</f>
        <v>7.0912407599999998</v>
      </c>
    </row>
    <row r="820" spans="1:17" x14ac:dyDescent="0.3">
      <c r="A820" s="4" t="s">
        <v>47</v>
      </c>
      <c r="B820" s="6" t="s">
        <v>431</v>
      </c>
      <c r="C820">
        <v>298.827022</v>
      </c>
      <c r="D820">
        <v>295.011124</v>
      </c>
      <c r="E820">
        <v>1</v>
      </c>
      <c r="F820">
        <v>1</v>
      </c>
      <c r="G820">
        <v>0.26100000000000001</v>
      </c>
      <c r="H820">
        <v>0</v>
      </c>
      <c r="I820" t="s">
        <v>0</v>
      </c>
      <c r="J820" t="s">
        <v>59</v>
      </c>
      <c r="K820">
        <v>0</v>
      </c>
      <c r="L820" t="s">
        <v>60</v>
      </c>
      <c r="M820">
        <v>1</v>
      </c>
      <c r="N820" t="s">
        <v>67</v>
      </c>
      <c r="O820" s="2">
        <v>0.4916666666666667</v>
      </c>
      <c r="P820">
        <f>0.0008766078*3600</f>
        <v>3.1557880800000002</v>
      </c>
      <c r="Q820">
        <f>0.0019527119*3600</f>
        <v>7.0297628400000001</v>
      </c>
    </row>
    <row r="821" spans="1:17" x14ac:dyDescent="0.3">
      <c r="A821" s="4" t="s">
        <v>47</v>
      </c>
      <c r="B821" s="6" t="s">
        <v>432</v>
      </c>
      <c r="C821">
        <v>298.82703500000002</v>
      </c>
      <c r="D821">
        <v>295.01114200000001</v>
      </c>
      <c r="E821">
        <v>1</v>
      </c>
      <c r="F821">
        <v>1</v>
      </c>
      <c r="G821">
        <v>0.26100000000000001</v>
      </c>
      <c r="H821">
        <v>0</v>
      </c>
      <c r="I821" t="s">
        <v>0</v>
      </c>
      <c r="J821" t="s">
        <v>59</v>
      </c>
      <c r="K821">
        <v>0</v>
      </c>
      <c r="L821" t="s">
        <v>60</v>
      </c>
      <c r="M821">
        <v>1</v>
      </c>
      <c r="N821" t="s">
        <v>67</v>
      </c>
      <c r="O821" s="2">
        <v>0.4916666666666667</v>
      </c>
      <c r="P821">
        <f>0.0009090527*3600</f>
        <v>3.27258972</v>
      </c>
      <c r="Q821">
        <f>0.0019980552*3600</f>
        <v>7.1929987199999994</v>
      </c>
    </row>
    <row r="822" spans="1:17" x14ac:dyDescent="0.3">
      <c r="A822" s="4" t="s">
        <v>47</v>
      </c>
      <c r="B822" s="6" t="s">
        <v>433</v>
      </c>
      <c r="C822">
        <v>298.826527</v>
      </c>
      <c r="D822">
        <v>295.01115800000002</v>
      </c>
      <c r="E822">
        <v>1</v>
      </c>
      <c r="F822">
        <v>1</v>
      </c>
      <c r="G822">
        <v>0.26100000000000001</v>
      </c>
      <c r="H822">
        <v>0</v>
      </c>
      <c r="I822" t="s">
        <v>0</v>
      </c>
      <c r="J822" t="s">
        <v>59</v>
      </c>
      <c r="K822">
        <v>0</v>
      </c>
      <c r="L822" t="s">
        <v>60</v>
      </c>
      <c r="M822">
        <v>1</v>
      </c>
      <c r="N822" t="s">
        <v>67</v>
      </c>
      <c r="O822" s="2">
        <v>0.49236111111111108</v>
      </c>
      <c r="P822">
        <f>0.0008769127*3600</f>
        <v>3.15688572</v>
      </c>
      <c r="Q822">
        <f>0.0020424688*3600</f>
        <v>7.3528876799999994</v>
      </c>
    </row>
    <row r="823" spans="1:17" x14ac:dyDescent="0.3">
      <c r="A823" s="4" t="s">
        <v>47</v>
      </c>
      <c r="B823" s="6" t="s">
        <v>434</v>
      </c>
      <c r="C823">
        <v>298.82704799999999</v>
      </c>
      <c r="D823">
        <v>295.011053</v>
      </c>
      <c r="E823">
        <v>1</v>
      </c>
      <c r="F823">
        <v>1</v>
      </c>
      <c r="G823">
        <v>0.26100000000000001</v>
      </c>
      <c r="H823">
        <v>0</v>
      </c>
      <c r="I823" t="s">
        <v>0</v>
      </c>
      <c r="J823" t="s">
        <v>59</v>
      </c>
      <c r="K823">
        <v>0</v>
      </c>
      <c r="L823" t="s">
        <v>60</v>
      </c>
      <c r="M823">
        <v>1</v>
      </c>
      <c r="N823" t="s">
        <v>67</v>
      </c>
      <c r="O823" s="2">
        <v>0.49236111111111108</v>
      </c>
      <c r="P823">
        <f>0.0009068898*3600</f>
        <v>3.2648032799999998</v>
      </c>
      <c r="Q823">
        <f>0.0019083581*3600</f>
        <v>6.87008916</v>
      </c>
    </row>
    <row r="824" spans="1:17" x14ac:dyDescent="0.3">
      <c r="A824" s="4" t="s">
        <v>47</v>
      </c>
      <c r="B824" s="6" t="s">
        <v>435</v>
      </c>
      <c r="C824">
        <v>298.82697300000001</v>
      </c>
      <c r="D824">
        <v>295.01110899999998</v>
      </c>
      <c r="E824">
        <v>1</v>
      </c>
      <c r="F824">
        <v>1</v>
      </c>
      <c r="G824">
        <v>0.26100000000000001</v>
      </c>
      <c r="H824">
        <v>0</v>
      </c>
      <c r="I824" t="s">
        <v>0</v>
      </c>
      <c r="J824" t="s">
        <v>59</v>
      </c>
      <c r="K824">
        <v>0</v>
      </c>
      <c r="L824" t="s">
        <v>60</v>
      </c>
      <c r="M824">
        <v>1</v>
      </c>
      <c r="N824" t="s">
        <v>67</v>
      </c>
      <c r="O824" s="2">
        <v>0.49236111111111108</v>
      </c>
      <c r="P824">
        <f>0.0008984812*3600</f>
        <v>3.23453232</v>
      </c>
      <c r="Q824">
        <f>0.0019615415*3600</f>
        <v>7.0615493999999996</v>
      </c>
    </row>
    <row r="825" spans="1:17" x14ac:dyDescent="0.3">
      <c r="A825" s="4" t="s">
        <v>47</v>
      </c>
      <c r="B825" s="6" t="s">
        <v>436</v>
      </c>
      <c r="C825">
        <v>298.82656600000001</v>
      </c>
      <c r="D825">
        <v>295.01113800000002</v>
      </c>
      <c r="E825">
        <v>1</v>
      </c>
      <c r="F825">
        <v>1</v>
      </c>
      <c r="G825">
        <v>0.26100000000000001</v>
      </c>
      <c r="H825">
        <v>0</v>
      </c>
      <c r="I825" t="s">
        <v>0</v>
      </c>
      <c r="J825" t="s">
        <v>59</v>
      </c>
      <c r="K825">
        <v>0</v>
      </c>
      <c r="L825" t="s">
        <v>60</v>
      </c>
      <c r="M825">
        <v>1</v>
      </c>
      <c r="N825" t="s">
        <v>67</v>
      </c>
      <c r="O825" s="2">
        <v>0.49236111111111108</v>
      </c>
      <c r="P825">
        <f>0.0008964928*3600</f>
        <v>3.2273740800000001</v>
      </c>
      <c r="Q825">
        <f>0.0020069217*3600</f>
        <v>7.2249181199999999</v>
      </c>
    </row>
    <row r="826" spans="1:17" x14ac:dyDescent="0.3">
      <c r="A826" s="4" t="s">
        <v>47</v>
      </c>
      <c r="B826" s="6" t="s">
        <v>437</v>
      </c>
      <c r="C826">
        <v>298.82656200000002</v>
      </c>
      <c r="D826">
        <v>295.01117399999998</v>
      </c>
      <c r="E826">
        <v>1</v>
      </c>
      <c r="F826">
        <v>1</v>
      </c>
      <c r="G826">
        <v>0.26100000000000001</v>
      </c>
      <c r="H826">
        <v>0</v>
      </c>
      <c r="I826" t="s">
        <v>0</v>
      </c>
      <c r="J826" t="s">
        <v>59</v>
      </c>
      <c r="K826">
        <v>0</v>
      </c>
      <c r="L826" t="s">
        <v>60</v>
      </c>
      <c r="M826">
        <v>1</v>
      </c>
      <c r="N826" t="s">
        <v>67</v>
      </c>
      <c r="O826" s="2">
        <v>0.49236111111111108</v>
      </c>
      <c r="P826">
        <f>0.0009593355*3600</f>
        <v>3.4536077999999999</v>
      </c>
      <c r="Q826">
        <f>0.0020425541*3600</f>
        <v>7.3531947599999992</v>
      </c>
    </row>
    <row r="827" spans="1:17" x14ac:dyDescent="0.3">
      <c r="A827" s="4" t="s">
        <v>47</v>
      </c>
      <c r="B827" s="6" t="s">
        <v>438</v>
      </c>
      <c r="C827">
        <v>298.82695999999999</v>
      </c>
      <c r="D827">
        <v>295.01114999999999</v>
      </c>
      <c r="E827">
        <v>1</v>
      </c>
      <c r="F827">
        <v>1</v>
      </c>
      <c r="G827">
        <v>0.26100000000000001</v>
      </c>
      <c r="H827">
        <v>0</v>
      </c>
      <c r="I827" t="s">
        <v>0</v>
      </c>
      <c r="J827" t="s">
        <v>59</v>
      </c>
      <c r="K827">
        <v>0</v>
      </c>
      <c r="L827" t="s">
        <v>60</v>
      </c>
      <c r="M827">
        <v>1</v>
      </c>
      <c r="N827" t="s">
        <v>67</v>
      </c>
      <c r="O827" s="2">
        <v>0.49236111111111108</v>
      </c>
      <c r="P827">
        <f>0.0009489609*3600</f>
        <v>3.41625924</v>
      </c>
      <c r="Q827">
        <f>0.0020148184*3600</f>
        <v>7.2533462399999999</v>
      </c>
    </row>
    <row r="828" spans="1:17" x14ac:dyDescent="0.3">
      <c r="A828" s="4" t="s">
        <v>47</v>
      </c>
      <c r="B828" s="6" t="s">
        <v>439</v>
      </c>
      <c r="C828">
        <v>298.82719700000001</v>
      </c>
      <c r="D828">
        <v>295.01112000000001</v>
      </c>
      <c r="E828">
        <v>1</v>
      </c>
      <c r="F828">
        <v>1</v>
      </c>
      <c r="G828">
        <v>0.26100000000000001</v>
      </c>
      <c r="H828">
        <v>0</v>
      </c>
      <c r="I828" t="s">
        <v>0</v>
      </c>
      <c r="J828" t="s">
        <v>59</v>
      </c>
      <c r="K828">
        <v>0</v>
      </c>
      <c r="L828" t="s">
        <v>60</v>
      </c>
      <c r="M828">
        <v>1</v>
      </c>
      <c r="N828" t="s">
        <v>67</v>
      </c>
      <c r="O828" s="2">
        <v>0.49236111111111108</v>
      </c>
      <c r="P828">
        <f>0.0009675941*3600</f>
        <v>3.4833387600000001</v>
      </c>
      <c r="Q828">
        <f>0.00200275*3600</f>
        <v>7.2099000000000011</v>
      </c>
    </row>
    <row r="829" spans="1:17" x14ac:dyDescent="0.3">
      <c r="A829" s="4" t="s">
        <v>47</v>
      </c>
      <c r="B829" s="6" t="s">
        <v>440</v>
      </c>
      <c r="C829">
        <v>298.82715300000001</v>
      </c>
      <c r="D829">
        <v>295.011166</v>
      </c>
      <c r="E829">
        <v>1</v>
      </c>
      <c r="F829">
        <v>1</v>
      </c>
      <c r="G829">
        <v>0.26100000000000001</v>
      </c>
      <c r="H829">
        <v>0</v>
      </c>
      <c r="I829" t="s">
        <v>0</v>
      </c>
      <c r="J829" t="s">
        <v>59</v>
      </c>
      <c r="K829">
        <v>0</v>
      </c>
      <c r="L829" t="s">
        <v>60</v>
      </c>
      <c r="M829">
        <v>1</v>
      </c>
      <c r="N829" t="s">
        <v>67</v>
      </c>
      <c r="O829" s="2">
        <v>0.49236111111111108</v>
      </c>
      <c r="P829">
        <f>0.0009660025*3600</f>
        <v>3.4776090000000002</v>
      </c>
      <c r="Q829">
        <f>0.0020506156*3600</f>
        <v>7.3822161600000005</v>
      </c>
    </row>
    <row r="830" spans="1:17" x14ac:dyDescent="0.3">
      <c r="A830" s="4" t="s">
        <v>47</v>
      </c>
      <c r="B830" s="6" t="s">
        <v>441</v>
      </c>
      <c r="C830">
        <v>298.82668699999999</v>
      </c>
      <c r="D830">
        <v>295.01108099999999</v>
      </c>
      <c r="E830">
        <v>1</v>
      </c>
      <c r="F830">
        <v>1</v>
      </c>
      <c r="G830">
        <v>0.26100000000000001</v>
      </c>
      <c r="H830">
        <v>0</v>
      </c>
      <c r="I830" t="s">
        <v>0</v>
      </c>
      <c r="J830" t="s">
        <v>59</v>
      </c>
      <c r="K830">
        <v>0</v>
      </c>
      <c r="L830" t="s">
        <v>60</v>
      </c>
      <c r="M830">
        <v>1</v>
      </c>
      <c r="N830" t="s">
        <v>67</v>
      </c>
      <c r="O830" s="2">
        <v>0.49236111111111108</v>
      </c>
      <c r="P830">
        <f>0.0009849448*3600</f>
        <v>3.5458012800000001</v>
      </c>
      <c r="Q830">
        <f>0.0019838972*3600</f>
        <v>7.1420299200000006</v>
      </c>
    </row>
    <row r="831" spans="1:17" x14ac:dyDescent="0.3">
      <c r="A831" s="4" t="s">
        <v>47</v>
      </c>
      <c r="B831" s="6" t="s">
        <v>442</v>
      </c>
      <c r="C831">
        <v>298.82665200000002</v>
      </c>
      <c r="D831">
        <v>295.011166</v>
      </c>
      <c r="E831">
        <v>1</v>
      </c>
      <c r="F831">
        <v>1</v>
      </c>
      <c r="G831">
        <v>0.26100000000000001</v>
      </c>
      <c r="H831">
        <v>0</v>
      </c>
      <c r="I831" t="s">
        <v>0</v>
      </c>
      <c r="J831" t="s">
        <v>59</v>
      </c>
      <c r="K831">
        <v>0</v>
      </c>
      <c r="L831" t="s">
        <v>60</v>
      </c>
      <c r="M831">
        <v>1</v>
      </c>
      <c r="N831" t="s">
        <v>67</v>
      </c>
      <c r="O831" s="2">
        <v>0.49236111111111108</v>
      </c>
      <c r="P831">
        <f>0.0009666742*3600</f>
        <v>3.4800271199999999</v>
      </c>
      <c r="Q831">
        <f>0.0020464734*3600</f>
        <v>7.3673042400000011</v>
      </c>
    </row>
    <row r="832" spans="1:17" x14ac:dyDescent="0.3">
      <c r="A832" s="4" t="s">
        <v>47</v>
      </c>
      <c r="B832" s="6" t="s">
        <v>443</v>
      </c>
      <c r="C832">
        <v>298.826842</v>
      </c>
      <c r="D832">
        <v>295.01115199999998</v>
      </c>
      <c r="E832">
        <v>1</v>
      </c>
      <c r="F832">
        <v>1</v>
      </c>
      <c r="G832">
        <v>0.26100000000000001</v>
      </c>
      <c r="H832">
        <v>0</v>
      </c>
      <c r="I832" t="s">
        <v>0</v>
      </c>
      <c r="J832" t="s">
        <v>59</v>
      </c>
      <c r="K832">
        <v>0</v>
      </c>
      <c r="L832" t="s">
        <v>60</v>
      </c>
      <c r="M832">
        <v>1</v>
      </c>
      <c r="N832" t="s">
        <v>67</v>
      </c>
      <c r="O832" s="2">
        <v>0.49236111111111108</v>
      </c>
      <c r="P832">
        <f>0.0009019713*3600</f>
        <v>3.2470966799999998</v>
      </c>
      <c r="Q832">
        <f>0.0020178736*3600</f>
        <v>7.2643449600000007</v>
      </c>
    </row>
    <row r="833" spans="1:17" x14ac:dyDescent="0.3">
      <c r="A833" s="4" t="s">
        <v>47</v>
      </c>
      <c r="B833" s="6" t="s">
        <v>444</v>
      </c>
      <c r="C833">
        <v>298.82716799999997</v>
      </c>
      <c r="D833">
        <v>295.01114799999999</v>
      </c>
      <c r="E833">
        <v>1</v>
      </c>
      <c r="F833">
        <v>1</v>
      </c>
      <c r="G833">
        <v>0.26100000000000001</v>
      </c>
      <c r="H833">
        <v>0</v>
      </c>
      <c r="I833" t="s">
        <v>0</v>
      </c>
      <c r="J833" t="s">
        <v>59</v>
      </c>
      <c r="K833">
        <v>0</v>
      </c>
      <c r="L833" t="s">
        <v>60</v>
      </c>
      <c r="M833">
        <v>1</v>
      </c>
      <c r="N833" t="s">
        <v>67</v>
      </c>
      <c r="O833" s="2">
        <v>0.49236111111111108</v>
      </c>
      <c r="P833">
        <f>0.0009365224*3600</f>
        <v>3.3714806400000001</v>
      </c>
      <c r="Q833">
        <f>0.0020235759*3600</f>
        <v>7.2848732399999996</v>
      </c>
    </row>
    <row r="834" spans="1:17" x14ac:dyDescent="0.3">
      <c r="A834" s="4" t="s">
        <v>47</v>
      </c>
      <c r="B834" s="6" t="s">
        <v>445</v>
      </c>
      <c r="C834">
        <v>298.82638500000002</v>
      </c>
      <c r="D834">
        <v>295.01109200000002</v>
      </c>
      <c r="E834">
        <v>1</v>
      </c>
      <c r="F834">
        <v>1</v>
      </c>
      <c r="G834">
        <v>0.26100000000000001</v>
      </c>
      <c r="H834">
        <v>0</v>
      </c>
      <c r="I834" t="s">
        <v>0</v>
      </c>
      <c r="J834" t="s">
        <v>59</v>
      </c>
      <c r="K834">
        <v>0</v>
      </c>
      <c r="L834" t="s">
        <v>60</v>
      </c>
      <c r="M834">
        <v>1</v>
      </c>
      <c r="N834" t="s">
        <v>67</v>
      </c>
      <c r="O834" s="2">
        <v>0.49236111111111108</v>
      </c>
      <c r="P834">
        <f>0.0009038222*3600</f>
        <v>3.2537599200000002</v>
      </c>
      <c r="Q834">
        <f>0.0019821617*3600</f>
        <v>7.13578212</v>
      </c>
    </row>
    <row r="835" spans="1:17" x14ac:dyDescent="0.3">
      <c r="A835" s="4" t="s">
        <v>47</v>
      </c>
      <c r="B835" s="6" t="s">
        <v>446</v>
      </c>
      <c r="C835">
        <v>298.82720999999998</v>
      </c>
      <c r="D835">
        <v>295.01109200000002</v>
      </c>
      <c r="E835">
        <v>1</v>
      </c>
      <c r="F835">
        <v>1</v>
      </c>
      <c r="G835">
        <v>0.26100000000000001</v>
      </c>
      <c r="H835">
        <v>0</v>
      </c>
      <c r="I835" t="s">
        <v>0</v>
      </c>
      <c r="J835" t="s">
        <v>59</v>
      </c>
      <c r="K835">
        <v>0</v>
      </c>
      <c r="L835" t="s">
        <v>60</v>
      </c>
      <c r="M835">
        <v>1</v>
      </c>
      <c r="N835" t="s">
        <v>67</v>
      </c>
      <c r="O835" s="2">
        <v>0.49236111111111108</v>
      </c>
      <c r="P835">
        <f>0.000963304*3600</f>
        <v>3.4678944</v>
      </c>
      <c r="Q835">
        <f>0.0019715877*3600</f>
        <v>7.0977157200000009</v>
      </c>
    </row>
    <row r="836" spans="1:17" x14ac:dyDescent="0.3">
      <c r="A836" s="4" t="s">
        <v>47</v>
      </c>
      <c r="B836" s="6" t="s">
        <v>447</v>
      </c>
      <c r="C836">
        <v>298.82712800000002</v>
      </c>
      <c r="D836">
        <v>295.01102400000002</v>
      </c>
      <c r="E836">
        <v>1</v>
      </c>
      <c r="F836">
        <v>1</v>
      </c>
      <c r="G836">
        <v>0.26100000000000001</v>
      </c>
      <c r="H836">
        <v>0</v>
      </c>
      <c r="I836" t="s">
        <v>0</v>
      </c>
      <c r="J836" t="s">
        <v>59</v>
      </c>
      <c r="K836">
        <v>0</v>
      </c>
      <c r="L836" t="s">
        <v>60</v>
      </c>
      <c r="M836">
        <v>1</v>
      </c>
      <c r="N836" t="s">
        <v>67</v>
      </c>
      <c r="O836" s="2">
        <v>0.49236111111111108</v>
      </c>
      <c r="P836">
        <f>0.0009994767*3600</f>
        <v>3.5981161200000003</v>
      </c>
      <c r="Q836">
        <f>0.0019172788*3600</f>
        <v>6.9022036799999995</v>
      </c>
    </row>
    <row r="837" spans="1:17" x14ac:dyDescent="0.3">
      <c r="A837" s="4" t="s">
        <v>47</v>
      </c>
      <c r="B837" s="6" t="s">
        <v>448</v>
      </c>
      <c r="C837">
        <v>298.82712199999997</v>
      </c>
      <c r="D837">
        <v>295.01115800000002</v>
      </c>
      <c r="E837">
        <v>1</v>
      </c>
      <c r="F837">
        <v>1</v>
      </c>
      <c r="G837">
        <v>0.26100000000000001</v>
      </c>
      <c r="H837">
        <v>0</v>
      </c>
      <c r="I837" t="s">
        <v>0</v>
      </c>
      <c r="J837" t="s">
        <v>59</v>
      </c>
      <c r="K837">
        <v>0</v>
      </c>
      <c r="L837" t="s">
        <v>60</v>
      </c>
      <c r="M837">
        <v>1</v>
      </c>
      <c r="N837" t="s">
        <v>67</v>
      </c>
      <c r="O837" s="2">
        <v>0.49236111111111108</v>
      </c>
      <c r="P837">
        <f>0.0009138994*3600</f>
        <v>3.2900378399999997</v>
      </c>
      <c r="Q837">
        <f>0.0020342942*3600</f>
        <v>7.3234591199999999</v>
      </c>
    </row>
    <row r="838" spans="1:17" x14ac:dyDescent="0.3">
      <c r="A838" s="4" t="s">
        <v>47</v>
      </c>
      <c r="B838" s="6" t="s">
        <v>449</v>
      </c>
      <c r="C838">
        <v>298.82696499999997</v>
      </c>
      <c r="D838">
        <v>295.01102800000001</v>
      </c>
      <c r="E838">
        <v>1</v>
      </c>
      <c r="F838">
        <v>1</v>
      </c>
      <c r="G838">
        <v>0.26100000000000001</v>
      </c>
      <c r="H838">
        <v>0</v>
      </c>
      <c r="I838" t="s">
        <v>0</v>
      </c>
      <c r="J838" t="s">
        <v>59</v>
      </c>
      <c r="K838">
        <v>0</v>
      </c>
      <c r="L838" t="s">
        <v>60</v>
      </c>
      <c r="M838">
        <v>1</v>
      </c>
      <c r="N838" t="s">
        <v>67</v>
      </c>
      <c r="O838" s="2">
        <v>0.49236111111111108</v>
      </c>
      <c r="P838">
        <f>0.0008866081*3600</f>
        <v>3.1917891599999999</v>
      </c>
      <c r="Q838">
        <f>0.0019255534*3600</f>
        <v>6.9319922399999996</v>
      </c>
    </row>
    <row r="839" spans="1:17" x14ac:dyDescent="0.3">
      <c r="A839" s="4" t="s">
        <v>47</v>
      </c>
      <c r="B839" s="6" t="s">
        <v>450</v>
      </c>
      <c r="C839">
        <v>298.82654600000001</v>
      </c>
      <c r="D839">
        <v>295.01099399999998</v>
      </c>
      <c r="E839">
        <v>1</v>
      </c>
      <c r="F839">
        <v>1</v>
      </c>
      <c r="G839">
        <v>0.26100000000000001</v>
      </c>
      <c r="H839">
        <v>0</v>
      </c>
      <c r="I839" t="s">
        <v>0</v>
      </c>
      <c r="J839" t="s">
        <v>59</v>
      </c>
      <c r="K839">
        <v>0</v>
      </c>
      <c r="L839" t="s">
        <v>60</v>
      </c>
      <c r="M839">
        <v>1</v>
      </c>
      <c r="N839" t="s">
        <v>67</v>
      </c>
      <c r="O839" s="2">
        <v>0.49236111111111108</v>
      </c>
      <c r="P839">
        <f>0.0008805183*3600</f>
        <v>3.1698658800000001</v>
      </c>
      <c r="Q839">
        <f>0.0019337034*3600</f>
        <v>6.9613322399999999</v>
      </c>
    </row>
    <row r="840" spans="1:17" x14ac:dyDescent="0.3">
      <c r="A840" s="4" t="s">
        <v>47</v>
      </c>
      <c r="B840" s="6" t="s">
        <v>451</v>
      </c>
      <c r="C840">
        <v>298.826392</v>
      </c>
      <c r="D840">
        <v>295.01103699999999</v>
      </c>
      <c r="E840">
        <v>1</v>
      </c>
      <c r="F840">
        <v>1</v>
      </c>
      <c r="G840">
        <v>0.26100000000000001</v>
      </c>
      <c r="H840">
        <v>0</v>
      </c>
      <c r="I840" t="s">
        <v>0</v>
      </c>
      <c r="J840" t="s">
        <v>59</v>
      </c>
      <c r="K840">
        <v>0</v>
      </c>
      <c r="L840" t="s">
        <v>60</v>
      </c>
      <c r="M840">
        <v>1</v>
      </c>
      <c r="N840" t="s">
        <v>67</v>
      </c>
      <c r="O840" s="2">
        <v>0.49236111111111108</v>
      </c>
      <c r="P840">
        <f>0.000801836*3600</f>
        <v>2.8866095999999999</v>
      </c>
      <c r="Q840">
        <f>0.0019780358*3600</f>
        <v>7.1209288799999992</v>
      </c>
    </row>
    <row r="841" spans="1:17" x14ac:dyDescent="0.3">
      <c r="A841" s="4" t="s">
        <v>47</v>
      </c>
      <c r="B841" s="6" t="s">
        <v>452</v>
      </c>
      <c r="C841">
        <v>298.82647600000001</v>
      </c>
      <c r="D841">
        <v>295.01102200000003</v>
      </c>
      <c r="E841">
        <v>1</v>
      </c>
      <c r="F841">
        <v>1</v>
      </c>
      <c r="G841">
        <v>0.26100000000000001</v>
      </c>
      <c r="H841">
        <v>0</v>
      </c>
      <c r="I841" t="s">
        <v>0</v>
      </c>
      <c r="J841" t="s">
        <v>59</v>
      </c>
      <c r="K841">
        <v>0</v>
      </c>
      <c r="L841" t="s">
        <v>60</v>
      </c>
      <c r="M841">
        <v>1</v>
      </c>
      <c r="N841" t="s">
        <v>67</v>
      </c>
      <c r="O841" s="2">
        <v>0.49236111111111108</v>
      </c>
      <c r="P841">
        <f>0.0008948755*3600</f>
        <v>3.2215517999999999</v>
      </c>
      <c r="Q841">
        <f>0.0019617768*3600</f>
        <v>7.0623964800000003</v>
      </c>
    </row>
    <row r="842" spans="1:17" x14ac:dyDescent="0.3">
      <c r="A842" s="4" t="s">
        <v>47</v>
      </c>
      <c r="B842" s="6" t="s">
        <v>453</v>
      </c>
      <c r="C842">
        <v>298.82683600000001</v>
      </c>
      <c r="D842">
        <v>295.01098500000001</v>
      </c>
      <c r="E842">
        <v>1</v>
      </c>
      <c r="F842">
        <v>1</v>
      </c>
      <c r="G842">
        <v>0.26100000000000001</v>
      </c>
      <c r="H842">
        <v>0</v>
      </c>
      <c r="I842" t="s">
        <v>0</v>
      </c>
      <c r="J842" t="s">
        <v>59</v>
      </c>
      <c r="K842">
        <v>0</v>
      </c>
      <c r="L842" t="s">
        <v>60</v>
      </c>
      <c r="M842">
        <v>1</v>
      </c>
      <c r="N842" t="s">
        <v>67</v>
      </c>
      <c r="O842" s="2">
        <v>0.49236111111111108</v>
      </c>
      <c r="P842">
        <f>0.0010067286*3600</f>
        <v>3.6242229599999995</v>
      </c>
      <c r="Q842">
        <f>0.0019471754*3600</f>
        <v>7.0098314399999992</v>
      </c>
    </row>
    <row r="843" spans="1:17" x14ac:dyDescent="0.3">
      <c r="A843" s="4" t="s">
        <v>47</v>
      </c>
      <c r="B843" s="6" t="s">
        <v>454</v>
      </c>
      <c r="C843">
        <v>298.82710700000001</v>
      </c>
      <c r="D843">
        <v>295.01108699999997</v>
      </c>
      <c r="E843">
        <v>1</v>
      </c>
      <c r="F843">
        <v>1</v>
      </c>
      <c r="G843">
        <v>0.26100000000000001</v>
      </c>
      <c r="H843">
        <v>0</v>
      </c>
      <c r="I843" t="s">
        <v>0</v>
      </c>
      <c r="J843" t="s">
        <v>59</v>
      </c>
      <c r="K843">
        <v>0</v>
      </c>
      <c r="L843" t="s">
        <v>60</v>
      </c>
      <c r="M843">
        <v>1</v>
      </c>
      <c r="N843" t="s">
        <v>67</v>
      </c>
      <c r="O843" s="2">
        <v>0.49236111111111108</v>
      </c>
      <c r="P843">
        <f>0.0009477604*3600</f>
        <v>3.41193744</v>
      </c>
      <c r="Q843">
        <f>0.0020260311*3600</f>
        <v>7.2937119599999996</v>
      </c>
    </row>
    <row r="844" spans="1:17" x14ac:dyDescent="0.3">
      <c r="A844" s="4" t="s">
        <v>47</v>
      </c>
      <c r="B844" s="6" t="s">
        <v>455</v>
      </c>
      <c r="C844">
        <v>298.82640400000003</v>
      </c>
      <c r="D844">
        <v>295.010853</v>
      </c>
      <c r="E844">
        <v>1</v>
      </c>
      <c r="F844">
        <v>1</v>
      </c>
      <c r="G844">
        <v>0.26100000000000001</v>
      </c>
      <c r="H844">
        <v>0</v>
      </c>
      <c r="I844" t="s">
        <v>0</v>
      </c>
      <c r="J844" t="s">
        <v>59</v>
      </c>
      <c r="K844">
        <v>0</v>
      </c>
      <c r="L844" t="s">
        <v>60</v>
      </c>
      <c r="M844">
        <v>1</v>
      </c>
      <c r="N844" t="s">
        <v>67</v>
      </c>
      <c r="O844" s="2">
        <v>0.49236111111111108</v>
      </c>
      <c r="P844">
        <f>0.0008562254*3600</f>
        <v>3.08241144</v>
      </c>
      <c r="Q844">
        <f>0.0018033414*3600</f>
        <v>6.4920290400000003</v>
      </c>
    </row>
    <row r="845" spans="1:17" x14ac:dyDescent="0.3">
      <c r="A845" s="4" t="s">
        <v>47</v>
      </c>
      <c r="B845" s="6" t="s">
        <v>456</v>
      </c>
      <c r="C845">
        <v>298.826502</v>
      </c>
      <c r="D845">
        <v>295.01101299999999</v>
      </c>
      <c r="E845">
        <v>1</v>
      </c>
      <c r="F845">
        <v>1</v>
      </c>
      <c r="G845">
        <v>0.26100000000000001</v>
      </c>
      <c r="H845">
        <v>0</v>
      </c>
      <c r="I845" t="s">
        <v>0</v>
      </c>
      <c r="J845" t="s">
        <v>59</v>
      </c>
      <c r="K845">
        <v>0</v>
      </c>
      <c r="L845" t="s">
        <v>60</v>
      </c>
      <c r="M845">
        <v>1</v>
      </c>
      <c r="N845" t="s">
        <v>67</v>
      </c>
      <c r="O845" s="2">
        <v>0.49236111111111108</v>
      </c>
      <c r="P845">
        <f>0.0008970333*3600</f>
        <v>3.2293198799999998</v>
      </c>
      <c r="Q845">
        <f>0.0019869179*3600</f>
        <v>7.1529044399999995</v>
      </c>
    </row>
    <row r="846" spans="1:17" x14ac:dyDescent="0.3">
      <c r="A846" s="4" t="s">
        <v>47</v>
      </c>
      <c r="B846" s="6" t="s">
        <v>457</v>
      </c>
      <c r="C846">
        <v>298.82706200000001</v>
      </c>
      <c r="D846">
        <v>295.01100400000001</v>
      </c>
      <c r="E846">
        <v>1</v>
      </c>
      <c r="F846">
        <v>1</v>
      </c>
      <c r="G846">
        <v>0.26100000000000001</v>
      </c>
      <c r="H846">
        <v>0</v>
      </c>
      <c r="I846" t="s">
        <v>0</v>
      </c>
      <c r="J846" t="s">
        <v>59</v>
      </c>
      <c r="K846">
        <v>0</v>
      </c>
      <c r="L846" t="s">
        <v>60</v>
      </c>
      <c r="M846">
        <v>1</v>
      </c>
      <c r="N846" t="s">
        <v>67</v>
      </c>
      <c r="O846" s="2">
        <v>0.49236111111111108</v>
      </c>
      <c r="P846">
        <f>0.0009044804*3600</f>
        <v>3.25612944</v>
      </c>
      <c r="Q846">
        <f>0.0019678971*3600</f>
        <v>7.0844295600000002</v>
      </c>
    </row>
    <row r="847" spans="1:17" x14ac:dyDescent="0.3">
      <c r="A847" s="4" t="s">
        <v>47</v>
      </c>
      <c r="B847" s="6" t="s">
        <v>458</v>
      </c>
      <c r="C847">
        <v>298.82674200000002</v>
      </c>
      <c r="D847">
        <v>295.01104900000001</v>
      </c>
      <c r="E847">
        <v>1</v>
      </c>
      <c r="F847">
        <v>1</v>
      </c>
      <c r="G847">
        <v>0.26100000000000001</v>
      </c>
      <c r="H847">
        <v>0</v>
      </c>
      <c r="I847" t="s">
        <v>0</v>
      </c>
      <c r="J847" t="s">
        <v>59</v>
      </c>
      <c r="K847">
        <v>0</v>
      </c>
      <c r="L847" t="s">
        <v>60</v>
      </c>
      <c r="M847">
        <v>1</v>
      </c>
      <c r="N847" t="s">
        <v>67</v>
      </c>
      <c r="O847" s="2">
        <v>0.49236111111111108</v>
      </c>
      <c r="P847">
        <f>0.0009304823*3600</f>
        <v>3.3497362800000001</v>
      </c>
      <c r="Q847">
        <f>0.0019995619*3600</f>
        <v>7.1984228399999992</v>
      </c>
    </row>
    <row r="848" spans="1:17" x14ac:dyDescent="0.3">
      <c r="A848" s="4" t="s">
        <v>47</v>
      </c>
      <c r="B848" s="6" t="s">
        <v>459</v>
      </c>
      <c r="C848">
        <v>298.82614599999999</v>
      </c>
      <c r="D848">
        <v>295.01094699999999</v>
      </c>
      <c r="E848">
        <v>1</v>
      </c>
      <c r="F848">
        <v>1</v>
      </c>
      <c r="G848">
        <v>0.26100000000000001</v>
      </c>
      <c r="H848">
        <v>0</v>
      </c>
      <c r="I848" t="s">
        <v>0</v>
      </c>
      <c r="J848" t="s">
        <v>59</v>
      </c>
      <c r="K848">
        <v>0</v>
      </c>
      <c r="L848" t="s">
        <v>60</v>
      </c>
      <c r="M848">
        <v>1</v>
      </c>
      <c r="N848" t="s">
        <v>67</v>
      </c>
      <c r="O848" s="2">
        <v>0.49236111111111108</v>
      </c>
      <c r="P848">
        <f>0.0009094698*3600</f>
        <v>3.2740912800000004</v>
      </c>
      <c r="Q848">
        <f>0.001915854*3600</f>
        <v>6.8970744000000002</v>
      </c>
    </row>
    <row r="849" spans="1:18" x14ac:dyDescent="0.3">
      <c r="A849" s="4" t="s">
        <v>47</v>
      </c>
      <c r="B849" s="6" t="s">
        <v>460</v>
      </c>
      <c r="C849">
        <v>298.82668699999999</v>
      </c>
      <c r="D849">
        <v>295.01094000000001</v>
      </c>
      <c r="E849">
        <v>1</v>
      </c>
      <c r="F849">
        <v>1</v>
      </c>
      <c r="G849">
        <v>0.26100000000000001</v>
      </c>
      <c r="H849">
        <v>0</v>
      </c>
      <c r="I849" t="s">
        <v>0</v>
      </c>
      <c r="J849" t="s">
        <v>59</v>
      </c>
      <c r="K849">
        <v>0</v>
      </c>
      <c r="L849" t="s">
        <v>60</v>
      </c>
      <c r="M849">
        <v>1</v>
      </c>
      <c r="N849" t="s">
        <v>67</v>
      </c>
      <c r="O849" s="2">
        <v>0.49236111111111108</v>
      </c>
      <c r="P849">
        <f>0.0009461316*3600</f>
        <v>3.40607376</v>
      </c>
      <c r="Q849">
        <f>0.0019245402*3600</f>
        <v>6.9283447200000001</v>
      </c>
    </row>
    <row r="850" spans="1:18" x14ac:dyDescent="0.3">
      <c r="A850" s="4" t="s">
        <v>47</v>
      </c>
      <c r="B850" s="6" t="s">
        <v>461</v>
      </c>
      <c r="C850">
        <v>298.826615</v>
      </c>
      <c r="D850">
        <v>295.01095800000002</v>
      </c>
      <c r="E850">
        <v>1</v>
      </c>
      <c r="F850">
        <v>1</v>
      </c>
      <c r="G850">
        <v>0.26100000000000001</v>
      </c>
      <c r="H850">
        <v>0</v>
      </c>
      <c r="I850" t="s">
        <v>0</v>
      </c>
      <c r="J850" t="s">
        <v>59</v>
      </c>
      <c r="K850">
        <v>0</v>
      </c>
      <c r="L850" t="s">
        <v>60</v>
      </c>
      <c r="M850">
        <v>1</v>
      </c>
      <c r="N850" t="s">
        <v>67</v>
      </c>
      <c r="O850" s="2">
        <v>0.49236111111111108</v>
      </c>
      <c r="P850">
        <f>0.0009308245*3600</f>
        <v>3.3509682000000001</v>
      </c>
      <c r="Q850">
        <f>0.0019350158*3600</f>
        <v>6.96605688</v>
      </c>
    </row>
    <row r="851" spans="1:18" x14ac:dyDescent="0.3">
      <c r="A851" s="4" t="s">
        <v>47</v>
      </c>
      <c r="B851" s="6" t="s">
        <v>462</v>
      </c>
      <c r="C851">
        <v>298.82666999999998</v>
      </c>
      <c r="D851">
        <v>295.01095199999997</v>
      </c>
      <c r="E851">
        <v>1</v>
      </c>
      <c r="F851">
        <v>1</v>
      </c>
      <c r="G851">
        <v>0.26100000000000001</v>
      </c>
      <c r="H851">
        <v>0</v>
      </c>
      <c r="I851" t="s">
        <v>0</v>
      </c>
      <c r="J851" t="s">
        <v>59</v>
      </c>
      <c r="K851">
        <v>0</v>
      </c>
      <c r="L851" t="s">
        <v>60</v>
      </c>
      <c r="M851">
        <v>1</v>
      </c>
      <c r="N851" t="s">
        <v>67</v>
      </c>
      <c r="O851" s="2">
        <v>0.49236111111111108</v>
      </c>
      <c r="P851">
        <f>0.0009149047*3600</f>
        <v>3.2936569200000001</v>
      </c>
      <c r="Q851">
        <f>0.0019288291*3600</f>
        <v>6.9437847599999998</v>
      </c>
    </row>
    <row r="852" spans="1:18" x14ac:dyDescent="0.3">
      <c r="A852" s="4" t="s">
        <v>47</v>
      </c>
      <c r="B852" s="6" t="s">
        <v>463</v>
      </c>
      <c r="C852">
        <v>298.826617</v>
      </c>
      <c r="D852">
        <v>295.011009</v>
      </c>
      <c r="E852">
        <v>1</v>
      </c>
      <c r="F852">
        <v>1</v>
      </c>
      <c r="G852">
        <v>0.26100000000000001</v>
      </c>
      <c r="H852">
        <v>0</v>
      </c>
      <c r="I852" t="s">
        <v>0</v>
      </c>
      <c r="J852" t="s">
        <v>59</v>
      </c>
      <c r="K852">
        <v>0</v>
      </c>
      <c r="L852" t="s">
        <v>60</v>
      </c>
      <c r="M852">
        <v>1</v>
      </c>
      <c r="N852" t="s">
        <v>67</v>
      </c>
      <c r="O852" s="2">
        <v>0.49236111111111108</v>
      </c>
      <c r="P852">
        <f>0.0009203607*3600</f>
        <v>3.31329852</v>
      </c>
      <c r="Q852">
        <f>0.0019575501*3600</f>
        <v>7.0471803600000005</v>
      </c>
    </row>
    <row r="853" spans="1:18" x14ac:dyDescent="0.3">
      <c r="A853" s="4" t="s">
        <v>47</v>
      </c>
      <c r="B853" s="6" t="s">
        <v>464</v>
      </c>
      <c r="C853">
        <v>298.82679100000001</v>
      </c>
      <c r="D853">
        <v>295.01095800000002</v>
      </c>
      <c r="E853">
        <v>1</v>
      </c>
      <c r="F853">
        <v>1</v>
      </c>
      <c r="G853">
        <v>0.26100000000000001</v>
      </c>
      <c r="H853">
        <v>0</v>
      </c>
      <c r="I853" t="s">
        <v>0</v>
      </c>
      <c r="J853" t="s">
        <v>59</v>
      </c>
      <c r="K853">
        <v>0</v>
      </c>
      <c r="L853" t="s">
        <v>60</v>
      </c>
      <c r="M853">
        <v>1</v>
      </c>
      <c r="N853" t="s">
        <v>67</v>
      </c>
      <c r="O853" s="2">
        <v>0.49236111111111108</v>
      </c>
      <c r="P853">
        <f>0.0009232598*3600</f>
        <v>3.3237352800000002</v>
      </c>
      <c r="Q853">
        <f>0.0019309777*3600</f>
        <v>6.9515197200000003</v>
      </c>
    </row>
    <row r="854" spans="1:18" x14ac:dyDescent="0.3">
      <c r="A854" s="4" t="s">
        <v>47</v>
      </c>
      <c r="B854" s="6" t="s">
        <v>465</v>
      </c>
      <c r="C854">
        <v>298.82631099999998</v>
      </c>
      <c r="D854">
        <v>295.01093900000001</v>
      </c>
      <c r="E854">
        <v>1</v>
      </c>
      <c r="F854">
        <v>1</v>
      </c>
      <c r="G854">
        <v>0.26100000000000001</v>
      </c>
      <c r="H854">
        <v>0</v>
      </c>
      <c r="I854" t="s">
        <v>0</v>
      </c>
      <c r="J854" t="s">
        <v>59</v>
      </c>
      <c r="K854">
        <v>0</v>
      </c>
      <c r="L854" t="s">
        <v>60</v>
      </c>
      <c r="M854">
        <v>1</v>
      </c>
      <c r="N854" t="s">
        <v>67</v>
      </c>
      <c r="O854" s="2">
        <v>0.49236111111111108</v>
      </c>
      <c r="P854">
        <f>0.0009009748*3600</f>
        <v>3.2435092800000001</v>
      </c>
      <c r="Q854">
        <f>0.0019130267*3600</f>
        <v>6.8868961200000003</v>
      </c>
    </row>
    <row r="855" spans="1:18" x14ac:dyDescent="0.3">
      <c r="A855" s="4" t="s">
        <v>47</v>
      </c>
      <c r="B855" s="6" t="s">
        <v>466</v>
      </c>
      <c r="C855">
        <v>298.82644499999998</v>
      </c>
      <c r="D855">
        <v>295.01093800000001</v>
      </c>
      <c r="E855">
        <v>1</v>
      </c>
      <c r="F855">
        <v>1</v>
      </c>
      <c r="G855">
        <v>0.26100000000000001</v>
      </c>
      <c r="H855">
        <v>0</v>
      </c>
      <c r="I855" t="s">
        <v>0</v>
      </c>
      <c r="J855" t="s">
        <v>59</v>
      </c>
      <c r="K855">
        <v>0</v>
      </c>
      <c r="L855" t="s">
        <v>60</v>
      </c>
      <c r="M855">
        <v>1</v>
      </c>
      <c r="N855" t="s">
        <v>67</v>
      </c>
      <c r="O855" s="2">
        <v>0.49236111111111108</v>
      </c>
      <c r="P855">
        <f>0.0009197159*3600</f>
        <v>3.3109772399999997</v>
      </c>
      <c r="Q855">
        <f>0.0019080466*3600</f>
        <v>6.8689677600000003</v>
      </c>
    </row>
    <row r="856" spans="1:18" x14ac:dyDescent="0.3">
      <c r="A856" s="4" t="s">
        <v>47</v>
      </c>
      <c r="B856" s="6" t="s">
        <v>467</v>
      </c>
      <c r="C856">
        <v>298.82668999999999</v>
      </c>
      <c r="D856">
        <v>295.01092699999998</v>
      </c>
      <c r="E856">
        <v>1</v>
      </c>
      <c r="F856">
        <v>1</v>
      </c>
      <c r="G856">
        <v>0.26100000000000001</v>
      </c>
      <c r="H856">
        <v>0</v>
      </c>
      <c r="I856" t="s">
        <v>0</v>
      </c>
      <c r="J856" t="s">
        <v>59</v>
      </c>
      <c r="K856">
        <v>0</v>
      </c>
      <c r="L856" t="s">
        <v>60</v>
      </c>
      <c r="M856">
        <v>1</v>
      </c>
      <c r="N856" t="s">
        <v>67</v>
      </c>
      <c r="O856" s="2">
        <v>0.49236111111111108</v>
      </c>
      <c r="P856">
        <f>0.0009217302*3600</f>
        <v>3.31822872</v>
      </c>
      <c r="Q856">
        <f>0.0018863977*3600</f>
        <v>6.7910317199999994</v>
      </c>
    </row>
    <row r="857" spans="1:18" x14ac:dyDescent="0.3">
      <c r="A857" s="4" t="s">
        <v>47</v>
      </c>
      <c r="B857" s="6" t="s">
        <v>468</v>
      </c>
      <c r="C857">
        <v>298.827044</v>
      </c>
      <c r="D857">
        <v>295.010895</v>
      </c>
      <c r="E857">
        <v>1</v>
      </c>
      <c r="F857">
        <v>1</v>
      </c>
      <c r="G857">
        <v>0.26100000000000001</v>
      </c>
      <c r="H857">
        <v>0</v>
      </c>
      <c r="I857" t="s">
        <v>0</v>
      </c>
      <c r="J857" t="s">
        <v>59</v>
      </c>
      <c r="K857">
        <v>0</v>
      </c>
      <c r="L857" t="s">
        <v>60</v>
      </c>
      <c r="M857">
        <v>1</v>
      </c>
      <c r="N857" t="s">
        <v>67</v>
      </c>
      <c r="O857" s="2">
        <v>0.49236111111111108</v>
      </c>
      <c r="P857">
        <f>0.0009580475*3600</f>
        <v>3.4489710000000002</v>
      </c>
      <c r="Q857">
        <f>0.0018580726*3600</f>
        <v>6.6890613600000002</v>
      </c>
    </row>
    <row r="858" spans="1:18" x14ac:dyDescent="0.3">
      <c r="A858" s="4" t="s">
        <v>47</v>
      </c>
      <c r="B858" s="6" t="s">
        <v>469</v>
      </c>
      <c r="C858">
        <v>298.82657499999999</v>
      </c>
      <c r="D858">
        <v>295.01101399999999</v>
      </c>
      <c r="E858">
        <v>1</v>
      </c>
      <c r="F858">
        <v>1</v>
      </c>
      <c r="G858">
        <v>0.26100000000000001</v>
      </c>
      <c r="H858">
        <v>0</v>
      </c>
      <c r="I858" t="s">
        <v>0</v>
      </c>
      <c r="J858" t="s">
        <v>59</v>
      </c>
      <c r="K858">
        <v>0</v>
      </c>
      <c r="L858" t="s">
        <v>60</v>
      </c>
      <c r="M858">
        <v>1</v>
      </c>
      <c r="N858" t="s">
        <v>67</v>
      </c>
      <c r="O858" s="2">
        <v>0.49236111111111108</v>
      </c>
      <c r="P858">
        <f>0.0009336888*3600</f>
        <v>3.36127968</v>
      </c>
      <c r="Q858">
        <f>0.0019864942*3600</f>
        <v>7.1513791200000005</v>
      </c>
    </row>
    <row r="859" spans="1:18" s="8" customFormat="1" x14ac:dyDescent="0.3">
      <c r="A859" s="8" t="s">
        <v>1778</v>
      </c>
      <c r="O859" s="9"/>
    </row>
    <row r="860" spans="1:18" x14ac:dyDescent="0.3">
      <c r="A860" s="4" t="s">
        <v>47</v>
      </c>
      <c r="B860" s="5" t="s">
        <v>49</v>
      </c>
      <c r="C860">
        <v>202.34884600000001</v>
      </c>
      <c r="D860">
        <v>99.289931999999993</v>
      </c>
      <c r="E860">
        <v>502.99900000000002</v>
      </c>
      <c r="F860">
        <v>502.87740000000002</v>
      </c>
      <c r="G860">
        <v>0.26100000000000001</v>
      </c>
      <c r="H860">
        <v>1.746</v>
      </c>
      <c r="I860" t="s">
        <v>0</v>
      </c>
      <c r="J860" t="s">
        <v>50</v>
      </c>
      <c r="K860" t="s">
        <v>51</v>
      </c>
      <c r="L860">
        <v>0</v>
      </c>
      <c r="M860" t="s">
        <v>52</v>
      </c>
      <c r="N860">
        <v>1</v>
      </c>
      <c r="O860" t="s">
        <v>53</v>
      </c>
      <c r="P860" s="2">
        <v>0.49374999999999997</v>
      </c>
      <c r="Q860">
        <f>0.0024788415*3600</f>
        <v>8.9238294000000007</v>
      </c>
      <c r="R860">
        <f>-0.0021700503*3600</f>
        <v>-7.8121810799999993</v>
      </c>
    </row>
    <row r="861" spans="1:18" x14ac:dyDescent="0.3">
      <c r="A861" s="4" t="s">
        <v>47</v>
      </c>
      <c r="B861" s="6" t="s">
        <v>49</v>
      </c>
      <c r="C861">
        <v>2.3483589999999999</v>
      </c>
      <c r="D861">
        <v>300.70958899999999</v>
      </c>
      <c r="E861">
        <v>502.99979999999999</v>
      </c>
      <c r="F861">
        <v>502.87819999999999</v>
      </c>
      <c r="G861">
        <v>0.26100000000000001</v>
      </c>
      <c r="H861">
        <v>1.746</v>
      </c>
      <c r="I861" t="s">
        <v>0</v>
      </c>
      <c r="J861" t="s">
        <v>50</v>
      </c>
      <c r="K861" t="s">
        <v>51</v>
      </c>
      <c r="L861">
        <v>0</v>
      </c>
      <c r="M861" t="s">
        <v>52</v>
      </c>
      <c r="N861">
        <v>1</v>
      </c>
      <c r="O861" t="s">
        <v>53</v>
      </c>
      <c r="P861" s="2">
        <v>0.49444444444444446</v>
      </c>
      <c r="Q861">
        <f>-0.0034936713*3600</f>
        <v>-12.577216679999999</v>
      </c>
      <c r="R861">
        <f>0.0010742342*3600</f>
        <v>3.8672431199999999</v>
      </c>
    </row>
    <row r="862" spans="1:18" x14ac:dyDescent="0.3">
      <c r="A862" s="4" t="s">
        <v>47</v>
      </c>
      <c r="B862" s="5" t="s">
        <v>57</v>
      </c>
      <c r="C862">
        <v>1.2854950000000001</v>
      </c>
      <c r="D862">
        <v>99.158192999999997</v>
      </c>
      <c r="E862">
        <v>37.3855</v>
      </c>
      <c r="F862">
        <v>37.375599999999999</v>
      </c>
      <c r="G862">
        <v>0.26100000000000001</v>
      </c>
      <c r="H862">
        <v>0</v>
      </c>
      <c r="I862" t="s">
        <v>0</v>
      </c>
      <c r="J862" t="s">
        <v>50</v>
      </c>
      <c r="K862" t="s">
        <v>51</v>
      </c>
      <c r="L862">
        <v>0</v>
      </c>
      <c r="M862" t="s">
        <v>52</v>
      </c>
      <c r="N862">
        <v>1</v>
      </c>
      <c r="O862" t="s">
        <v>53</v>
      </c>
      <c r="P862" s="2">
        <v>0.49444444444444446</v>
      </c>
      <c r="Q862">
        <f>-0.0045073801*3600</f>
        <v>-16.226568359999998</v>
      </c>
      <c r="R862">
        <f>0.0013022955*3600</f>
        <v>4.6882637999999996</v>
      </c>
    </row>
    <row r="863" spans="1:18" x14ac:dyDescent="0.3">
      <c r="A863" s="4" t="s">
        <v>47</v>
      </c>
      <c r="B863" s="6" t="s">
        <v>57</v>
      </c>
      <c r="C863">
        <v>201.285943</v>
      </c>
      <c r="D863">
        <v>300.84057100000001</v>
      </c>
      <c r="E863">
        <v>37.385599999999997</v>
      </c>
      <c r="F863">
        <v>37.375700000000002</v>
      </c>
      <c r="G863">
        <v>0.26100000000000001</v>
      </c>
      <c r="H863">
        <v>0</v>
      </c>
      <c r="I863" t="s">
        <v>0</v>
      </c>
      <c r="J863" t="s">
        <v>50</v>
      </c>
      <c r="K863" t="s">
        <v>51</v>
      </c>
      <c r="L863">
        <v>0</v>
      </c>
      <c r="M863" t="s">
        <v>52</v>
      </c>
      <c r="N863">
        <v>1</v>
      </c>
      <c r="O863" t="s">
        <v>53</v>
      </c>
      <c r="P863" s="2">
        <v>0.49513888888888885</v>
      </c>
      <c r="Q863">
        <f>0.0034072686*3600</f>
        <v>12.26616696</v>
      </c>
      <c r="R863">
        <f>-0.0018970444*3600</f>
        <v>-6.8293598400000004</v>
      </c>
    </row>
    <row r="864" spans="1:18" x14ac:dyDescent="0.3">
      <c r="A864" s="4" t="s">
        <v>47</v>
      </c>
      <c r="B864" s="5" t="s">
        <v>470</v>
      </c>
      <c r="C864">
        <v>99.123506000000006</v>
      </c>
      <c r="D864">
        <v>108.85849</v>
      </c>
      <c r="E864">
        <v>8.0370000000000008</v>
      </c>
      <c r="F864">
        <v>7.9577999999999998</v>
      </c>
      <c r="G864">
        <v>0.26100000000000001</v>
      </c>
      <c r="H864">
        <v>0</v>
      </c>
      <c r="I864" t="s">
        <v>0</v>
      </c>
      <c r="J864" t="s">
        <v>59</v>
      </c>
      <c r="K864">
        <v>3.4000000000000002E-2</v>
      </c>
      <c r="L864" t="s">
        <v>60</v>
      </c>
      <c r="M864">
        <v>1</v>
      </c>
      <c r="N864" t="s">
        <v>53</v>
      </c>
      <c r="O864" s="2">
        <v>0.49583333333333335</v>
      </c>
      <c r="P864">
        <f>-0.0021189132*3600</f>
        <v>-7.6280875200000002</v>
      </c>
      <c r="Q864">
        <f>-0.002913743*3600</f>
        <v>-10.4894748</v>
      </c>
    </row>
    <row r="865" spans="1:17" x14ac:dyDescent="0.3">
      <c r="A865" s="4" t="s">
        <v>47</v>
      </c>
      <c r="B865" s="5" t="s">
        <v>471</v>
      </c>
      <c r="C865">
        <v>99.123406000000003</v>
      </c>
      <c r="D865">
        <v>108.775778</v>
      </c>
      <c r="E865">
        <v>1</v>
      </c>
      <c r="F865">
        <v>1</v>
      </c>
      <c r="G865">
        <v>0.26100000000000001</v>
      </c>
      <c r="H865">
        <v>0</v>
      </c>
      <c r="I865" t="s">
        <v>0</v>
      </c>
      <c r="J865" t="s">
        <v>59</v>
      </c>
      <c r="K865">
        <v>0</v>
      </c>
      <c r="L865" t="s">
        <v>60</v>
      </c>
      <c r="M865">
        <v>1</v>
      </c>
      <c r="N865" t="s">
        <v>67</v>
      </c>
      <c r="O865" s="2">
        <v>0.49583333333333335</v>
      </c>
      <c r="P865">
        <f>-0.0020878476*3600</f>
        <v>-7.51625136</v>
      </c>
      <c r="Q865">
        <f>-0.0026432728*3600</f>
        <v>-9.515782080000001</v>
      </c>
    </row>
    <row r="866" spans="1:17" x14ac:dyDescent="0.3">
      <c r="A866" s="4" t="s">
        <v>47</v>
      </c>
      <c r="B866" s="5" t="s">
        <v>472</v>
      </c>
      <c r="C866">
        <v>99.123857999999998</v>
      </c>
      <c r="D866">
        <v>108.775668</v>
      </c>
      <c r="E866">
        <v>1</v>
      </c>
      <c r="F866">
        <v>1</v>
      </c>
      <c r="G866">
        <v>0.26100000000000001</v>
      </c>
      <c r="H866">
        <v>0</v>
      </c>
      <c r="I866" t="s">
        <v>0</v>
      </c>
      <c r="J866" t="s">
        <v>59</v>
      </c>
      <c r="K866">
        <v>0</v>
      </c>
      <c r="L866" t="s">
        <v>60</v>
      </c>
      <c r="M866">
        <v>1</v>
      </c>
      <c r="N866" t="s">
        <v>67</v>
      </c>
      <c r="O866" s="2">
        <v>0.49583333333333335</v>
      </c>
      <c r="P866">
        <f>-0.0020990228*3600</f>
        <v>-7.5564820800000003</v>
      </c>
      <c r="Q866">
        <f>-0.0027613725*3600</f>
        <v>-9.9409410000000005</v>
      </c>
    </row>
    <row r="867" spans="1:17" x14ac:dyDescent="0.3">
      <c r="A867" s="4" t="s">
        <v>47</v>
      </c>
      <c r="B867" s="5" t="s">
        <v>473</v>
      </c>
      <c r="C867">
        <v>99.124035000000006</v>
      </c>
      <c r="D867">
        <v>108.775651</v>
      </c>
      <c r="E867">
        <v>1</v>
      </c>
      <c r="F867">
        <v>1</v>
      </c>
      <c r="G867">
        <v>0.26100000000000001</v>
      </c>
      <c r="H867">
        <v>0</v>
      </c>
      <c r="I867" t="s">
        <v>0</v>
      </c>
      <c r="J867" t="s">
        <v>59</v>
      </c>
      <c r="K867">
        <v>0</v>
      </c>
      <c r="L867" t="s">
        <v>60</v>
      </c>
      <c r="M867">
        <v>1</v>
      </c>
      <c r="N867" t="s">
        <v>67</v>
      </c>
      <c r="O867" s="2">
        <v>0.49583333333333335</v>
      </c>
      <c r="P867">
        <f>-0.0021186168*3600</f>
        <v>-7.6270204800000005</v>
      </c>
      <c r="Q867">
        <f>-0.0028018635*3600</f>
        <v>-10.0867086</v>
      </c>
    </row>
    <row r="868" spans="1:17" x14ac:dyDescent="0.3">
      <c r="A868" s="4" t="s">
        <v>47</v>
      </c>
      <c r="B868" s="5" t="s">
        <v>474</v>
      </c>
      <c r="C868">
        <v>99.123560999999995</v>
      </c>
      <c r="D868">
        <v>108.775869</v>
      </c>
      <c r="E868">
        <v>1</v>
      </c>
      <c r="F868">
        <v>1</v>
      </c>
      <c r="G868">
        <v>0.26100000000000001</v>
      </c>
      <c r="H868">
        <v>0</v>
      </c>
      <c r="I868" t="s">
        <v>0</v>
      </c>
      <c r="J868" t="s">
        <v>59</v>
      </c>
      <c r="K868">
        <v>0</v>
      </c>
      <c r="L868" t="s">
        <v>60</v>
      </c>
      <c r="M868">
        <v>1</v>
      </c>
      <c r="N868" t="s">
        <v>67</v>
      </c>
      <c r="O868" s="2">
        <v>0.49583333333333335</v>
      </c>
      <c r="P868">
        <f>-0.0019996126*3600</f>
        <v>-7.1986053600000011</v>
      </c>
      <c r="Q868">
        <f>-0.0025598875*3600</f>
        <v>-9.2155950000000004</v>
      </c>
    </row>
    <row r="869" spans="1:17" x14ac:dyDescent="0.3">
      <c r="A869" s="4" t="s">
        <v>47</v>
      </c>
      <c r="B869" s="5" t="s">
        <v>475</v>
      </c>
      <c r="C869">
        <v>99.123937999999995</v>
      </c>
      <c r="D869">
        <v>108.77577700000001</v>
      </c>
      <c r="E869">
        <v>1</v>
      </c>
      <c r="F869">
        <v>1</v>
      </c>
      <c r="G869">
        <v>0.26100000000000001</v>
      </c>
      <c r="H869">
        <v>0</v>
      </c>
      <c r="I869" t="s">
        <v>0</v>
      </c>
      <c r="J869" t="s">
        <v>59</v>
      </c>
      <c r="K869">
        <v>0</v>
      </c>
      <c r="L869" t="s">
        <v>60</v>
      </c>
      <c r="M869">
        <v>1</v>
      </c>
      <c r="N869" t="s">
        <v>67</v>
      </c>
      <c r="O869" s="2">
        <v>0.49583333333333335</v>
      </c>
      <c r="P869">
        <f>-0.0021124073*3600</f>
        <v>-7.6046662799999991</v>
      </c>
      <c r="Q869">
        <f>-0.002656454*3600</f>
        <v>-9.5632343999999989</v>
      </c>
    </row>
    <row r="870" spans="1:17" x14ac:dyDescent="0.3">
      <c r="A870" s="4" t="s">
        <v>47</v>
      </c>
      <c r="B870" s="5" t="s">
        <v>476</v>
      </c>
      <c r="C870">
        <v>99.123694</v>
      </c>
      <c r="D870">
        <v>108.775768</v>
      </c>
      <c r="E870">
        <v>1</v>
      </c>
      <c r="F870">
        <v>1</v>
      </c>
      <c r="G870">
        <v>0.26100000000000001</v>
      </c>
      <c r="H870">
        <v>0</v>
      </c>
      <c r="I870" t="s">
        <v>0</v>
      </c>
      <c r="J870" t="s">
        <v>59</v>
      </c>
      <c r="K870">
        <v>0</v>
      </c>
      <c r="L870" t="s">
        <v>60</v>
      </c>
      <c r="M870">
        <v>1</v>
      </c>
      <c r="N870" t="s">
        <v>67</v>
      </c>
      <c r="O870" s="2">
        <v>0.49583333333333335</v>
      </c>
      <c r="P870">
        <f>-0.0020472337*3600</f>
        <v>-7.3700413200000003</v>
      </c>
      <c r="Q870">
        <f>-0.0026565203*3600</f>
        <v>-9.5634730799999996</v>
      </c>
    </row>
    <row r="871" spans="1:17" x14ac:dyDescent="0.3">
      <c r="A871" s="4" t="s">
        <v>47</v>
      </c>
      <c r="B871" s="5" t="s">
        <v>477</v>
      </c>
      <c r="C871">
        <v>99.123903999999996</v>
      </c>
      <c r="D871">
        <v>108.775666</v>
      </c>
      <c r="E871">
        <v>1</v>
      </c>
      <c r="F871">
        <v>1</v>
      </c>
      <c r="G871">
        <v>0.26100000000000001</v>
      </c>
      <c r="H871">
        <v>0</v>
      </c>
      <c r="I871" t="s">
        <v>0</v>
      </c>
      <c r="J871" t="s">
        <v>59</v>
      </c>
      <c r="K871">
        <v>0</v>
      </c>
      <c r="L871" t="s">
        <v>60</v>
      </c>
      <c r="M871">
        <v>1</v>
      </c>
      <c r="N871" t="s">
        <v>67</v>
      </c>
      <c r="O871" s="2">
        <v>0.49583333333333335</v>
      </c>
      <c r="P871">
        <f>-0.0020619846*3600</f>
        <v>-7.4231445599999999</v>
      </c>
      <c r="Q871">
        <f>-0.0027599833*3600</f>
        <v>-9.9359398799999994</v>
      </c>
    </row>
    <row r="872" spans="1:17" x14ac:dyDescent="0.3">
      <c r="A872" s="4" t="s">
        <v>47</v>
      </c>
      <c r="B872" s="5" t="s">
        <v>478</v>
      </c>
      <c r="C872">
        <v>99.123270000000005</v>
      </c>
      <c r="D872">
        <v>108.77574300000001</v>
      </c>
      <c r="E872">
        <v>1</v>
      </c>
      <c r="F872">
        <v>1</v>
      </c>
      <c r="G872">
        <v>0.26100000000000001</v>
      </c>
      <c r="H872">
        <v>0</v>
      </c>
      <c r="I872" t="s">
        <v>0</v>
      </c>
      <c r="J872" t="s">
        <v>59</v>
      </c>
      <c r="K872">
        <v>0</v>
      </c>
      <c r="L872" t="s">
        <v>60</v>
      </c>
      <c r="M872">
        <v>1</v>
      </c>
      <c r="N872" t="s">
        <v>67</v>
      </c>
      <c r="O872" s="2">
        <v>0.49583333333333335</v>
      </c>
      <c r="P872">
        <f>-0.0019993927*3600</f>
        <v>-7.1978137199999992</v>
      </c>
      <c r="Q872">
        <f>-0.002672826*3600</f>
        <v>-9.6221736</v>
      </c>
    </row>
    <row r="873" spans="1:17" x14ac:dyDescent="0.3">
      <c r="A873" s="4" t="s">
        <v>47</v>
      </c>
      <c r="B873" s="5" t="s">
        <v>479</v>
      </c>
      <c r="C873">
        <v>99.123645999999994</v>
      </c>
      <c r="D873">
        <v>108.77578</v>
      </c>
      <c r="E873">
        <v>1</v>
      </c>
      <c r="F873">
        <v>1</v>
      </c>
      <c r="G873">
        <v>0.26100000000000001</v>
      </c>
      <c r="H873">
        <v>0</v>
      </c>
      <c r="I873" t="s">
        <v>0</v>
      </c>
      <c r="J873" t="s">
        <v>59</v>
      </c>
      <c r="K873">
        <v>0</v>
      </c>
      <c r="L873" t="s">
        <v>60</v>
      </c>
      <c r="M873">
        <v>1</v>
      </c>
      <c r="N873" t="s">
        <v>67</v>
      </c>
      <c r="O873" s="2">
        <v>0.49583333333333335</v>
      </c>
      <c r="P873">
        <f>-0.0020972488*3600</f>
        <v>-7.550095680000001</v>
      </c>
      <c r="Q873">
        <f>-0.0026511862*3600</f>
        <v>-9.544270319999999</v>
      </c>
    </row>
    <row r="874" spans="1:17" x14ac:dyDescent="0.3">
      <c r="A874" s="4" t="s">
        <v>47</v>
      </c>
      <c r="B874" s="5" t="s">
        <v>480</v>
      </c>
      <c r="C874">
        <v>99.123666</v>
      </c>
      <c r="D874">
        <v>108.77578</v>
      </c>
      <c r="E874">
        <v>1</v>
      </c>
      <c r="F874">
        <v>1</v>
      </c>
      <c r="G874">
        <v>0.26100000000000001</v>
      </c>
      <c r="H874">
        <v>0</v>
      </c>
      <c r="I874" t="s">
        <v>0</v>
      </c>
      <c r="J874" t="s">
        <v>59</v>
      </c>
      <c r="K874">
        <v>0</v>
      </c>
      <c r="L874" t="s">
        <v>60</v>
      </c>
      <c r="M874">
        <v>1</v>
      </c>
      <c r="N874" t="s">
        <v>67</v>
      </c>
      <c r="O874" s="2">
        <v>0.49583333333333335</v>
      </c>
      <c r="P874">
        <f>-0.0021700243*3600</f>
        <v>-7.8120874800000006</v>
      </c>
      <c r="Q874">
        <f>-0.00265561*3600</f>
        <v>-9.5601959999999995</v>
      </c>
    </row>
    <row r="875" spans="1:17" x14ac:dyDescent="0.3">
      <c r="A875" s="4" t="s">
        <v>47</v>
      </c>
      <c r="B875" s="5" t="s">
        <v>481</v>
      </c>
      <c r="C875">
        <v>99.123885000000001</v>
      </c>
      <c r="D875">
        <v>108.77566299999999</v>
      </c>
      <c r="E875">
        <v>1</v>
      </c>
      <c r="F875">
        <v>1</v>
      </c>
      <c r="G875">
        <v>0.26100000000000001</v>
      </c>
      <c r="H875">
        <v>0</v>
      </c>
      <c r="I875" t="s">
        <v>0</v>
      </c>
      <c r="J875" t="s">
        <v>59</v>
      </c>
      <c r="K875">
        <v>0</v>
      </c>
      <c r="L875" t="s">
        <v>60</v>
      </c>
      <c r="M875">
        <v>1</v>
      </c>
      <c r="N875" t="s">
        <v>67</v>
      </c>
      <c r="O875" s="2">
        <v>0.49583333333333335</v>
      </c>
      <c r="P875">
        <f>-0.0020279528*3600</f>
        <v>-7.3006300799999995</v>
      </c>
      <c r="Q875">
        <f>-0.0027553062*3600</f>
        <v>-9.9191023200000004</v>
      </c>
    </row>
    <row r="876" spans="1:17" x14ac:dyDescent="0.3">
      <c r="A876" s="4" t="s">
        <v>47</v>
      </c>
      <c r="B876" s="5" t="s">
        <v>482</v>
      </c>
      <c r="C876">
        <v>99.123728</v>
      </c>
      <c r="D876">
        <v>108.775747</v>
      </c>
      <c r="E876">
        <v>1</v>
      </c>
      <c r="F876">
        <v>1</v>
      </c>
      <c r="G876">
        <v>0.26100000000000001</v>
      </c>
      <c r="H876">
        <v>0</v>
      </c>
      <c r="I876" t="s">
        <v>0</v>
      </c>
      <c r="J876" t="s">
        <v>59</v>
      </c>
      <c r="K876">
        <v>0</v>
      </c>
      <c r="L876" t="s">
        <v>60</v>
      </c>
      <c r="M876">
        <v>1</v>
      </c>
      <c r="N876" t="s">
        <v>67</v>
      </c>
      <c r="O876" s="2">
        <v>0.49583333333333335</v>
      </c>
      <c r="P876">
        <f>-0.0020783723*3600</f>
        <v>-7.4821402799999994</v>
      </c>
      <c r="Q876">
        <f>-0.0026841746*3600</f>
        <v>-9.663028559999999</v>
      </c>
    </row>
    <row r="877" spans="1:17" x14ac:dyDescent="0.3">
      <c r="A877" s="4" t="s">
        <v>47</v>
      </c>
      <c r="B877" s="5" t="s">
        <v>483</v>
      </c>
      <c r="C877">
        <v>99.123234999999994</v>
      </c>
      <c r="D877">
        <v>108.77575</v>
      </c>
      <c r="E877">
        <v>1</v>
      </c>
      <c r="F877">
        <v>1</v>
      </c>
      <c r="G877">
        <v>0.26100000000000001</v>
      </c>
      <c r="H877">
        <v>0</v>
      </c>
      <c r="I877" t="s">
        <v>0</v>
      </c>
      <c r="J877" t="s">
        <v>59</v>
      </c>
      <c r="K877">
        <v>0</v>
      </c>
      <c r="L877" t="s">
        <v>60</v>
      </c>
      <c r="M877">
        <v>1</v>
      </c>
      <c r="N877" t="s">
        <v>67</v>
      </c>
      <c r="O877" s="2">
        <v>0.49583333333333335</v>
      </c>
      <c r="P877">
        <f>-0.0021215851*3600</f>
        <v>-7.6377063600000001</v>
      </c>
      <c r="Q877">
        <f>-0.0026792113*3600</f>
        <v>-9.64516068</v>
      </c>
    </row>
    <row r="878" spans="1:17" x14ac:dyDescent="0.3">
      <c r="A878" s="4" t="s">
        <v>47</v>
      </c>
      <c r="B878" s="5" t="s">
        <v>484</v>
      </c>
      <c r="C878">
        <v>99.123420999999993</v>
      </c>
      <c r="D878">
        <v>108.775621</v>
      </c>
      <c r="E878">
        <v>1</v>
      </c>
      <c r="F878">
        <v>1</v>
      </c>
      <c r="G878">
        <v>0.26100000000000001</v>
      </c>
      <c r="H878">
        <v>0</v>
      </c>
      <c r="I878" t="s">
        <v>0</v>
      </c>
      <c r="J878" t="s">
        <v>59</v>
      </c>
      <c r="K878">
        <v>0</v>
      </c>
      <c r="L878" t="s">
        <v>60</v>
      </c>
      <c r="M878">
        <v>1</v>
      </c>
      <c r="N878" t="s">
        <v>67</v>
      </c>
      <c r="O878" s="2">
        <v>0.49583333333333335</v>
      </c>
      <c r="P878">
        <f>-0.0021003992*3600</f>
        <v>-7.561437119999999</v>
      </c>
      <c r="Q878">
        <f>-0.0028124812*3600</f>
        <v>-10.124932319999999</v>
      </c>
    </row>
    <row r="879" spans="1:17" x14ac:dyDescent="0.3">
      <c r="A879" s="4" t="s">
        <v>47</v>
      </c>
      <c r="B879" s="5" t="s">
        <v>485</v>
      </c>
      <c r="C879">
        <v>99.123666</v>
      </c>
      <c r="D879">
        <v>108.775738</v>
      </c>
      <c r="E879">
        <v>1</v>
      </c>
      <c r="F879">
        <v>1</v>
      </c>
      <c r="G879">
        <v>0.26100000000000001</v>
      </c>
      <c r="H879">
        <v>0</v>
      </c>
      <c r="I879" t="s">
        <v>0</v>
      </c>
      <c r="J879" t="s">
        <v>59</v>
      </c>
      <c r="K879">
        <v>0</v>
      </c>
      <c r="L879" t="s">
        <v>60</v>
      </c>
      <c r="M879">
        <v>1</v>
      </c>
      <c r="N879" t="s">
        <v>67</v>
      </c>
      <c r="O879" s="2">
        <v>0.49583333333333335</v>
      </c>
      <c r="P879">
        <f>-0.0020847362*3600</f>
        <v>-7.5050503199999996</v>
      </c>
      <c r="Q879">
        <f>-0.0026936915*3600</f>
        <v>-9.6972894000000007</v>
      </c>
    </row>
    <row r="880" spans="1:17" x14ac:dyDescent="0.3">
      <c r="A880" s="4" t="s">
        <v>47</v>
      </c>
      <c r="B880" s="5" t="s">
        <v>486</v>
      </c>
      <c r="C880">
        <v>99.123757999999995</v>
      </c>
      <c r="D880">
        <v>108.77576999999999</v>
      </c>
      <c r="E880">
        <v>1</v>
      </c>
      <c r="F880">
        <v>1</v>
      </c>
      <c r="G880">
        <v>0.26100000000000001</v>
      </c>
      <c r="H880">
        <v>0</v>
      </c>
      <c r="I880" t="s">
        <v>0</v>
      </c>
      <c r="J880" t="s">
        <v>59</v>
      </c>
      <c r="K880">
        <v>0</v>
      </c>
      <c r="L880" t="s">
        <v>60</v>
      </c>
      <c r="M880">
        <v>1</v>
      </c>
      <c r="N880" t="s">
        <v>67</v>
      </c>
      <c r="O880" s="2">
        <v>0.49583333333333335</v>
      </c>
      <c r="P880">
        <f>-0.0020770181*3600</f>
        <v>-7.47726516</v>
      </c>
      <c r="Q880">
        <f>-0.0026672614*3600</f>
        <v>-9.6021410399999994</v>
      </c>
    </row>
    <row r="881" spans="1:17" x14ac:dyDescent="0.3">
      <c r="A881" s="4" t="s">
        <v>47</v>
      </c>
      <c r="B881" s="5" t="s">
        <v>487</v>
      </c>
      <c r="C881">
        <v>99.123003999999995</v>
      </c>
      <c r="D881">
        <v>108.775716</v>
      </c>
      <c r="E881">
        <v>1</v>
      </c>
      <c r="F881">
        <v>1</v>
      </c>
      <c r="G881">
        <v>0.26100000000000001</v>
      </c>
      <c r="H881">
        <v>0</v>
      </c>
      <c r="I881" t="s">
        <v>0</v>
      </c>
      <c r="J881" t="s">
        <v>59</v>
      </c>
      <c r="K881">
        <v>0</v>
      </c>
      <c r="L881" t="s">
        <v>60</v>
      </c>
      <c r="M881">
        <v>1</v>
      </c>
      <c r="N881" t="s">
        <v>67</v>
      </c>
      <c r="O881" s="2">
        <v>0.49583333333333335</v>
      </c>
      <c r="P881">
        <f>-0.0021391512*3600</f>
        <v>-7.7009443199999996</v>
      </c>
      <c r="Q881">
        <f>-0.0026838708*3600</f>
        <v>-9.6619348800000004</v>
      </c>
    </row>
    <row r="882" spans="1:17" x14ac:dyDescent="0.3">
      <c r="A882" s="4" t="s">
        <v>47</v>
      </c>
      <c r="B882" s="5" t="s">
        <v>488</v>
      </c>
      <c r="C882">
        <v>99.124019000000004</v>
      </c>
      <c r="D882">
        <v>108.775744</v>
      </c>
      <c r="E882">
        <v>1</v>
      </c>
      <c r="F882">
        <v>1</v>
      </c>
      <c r="G882">
        <v>0.26100000000000001</v>
      </c>
      <c r="H882">
        <v>0</v>
      </c>
      <c r="I882" t="s">
        <v>0</v>
      </c>
      <c r="J882" t="s">
        <v>59</v>
      </c>
      <c r="K882">
        <v>0</v>
      </c>
      <c r="L882" t="s">
        <v>60</v>
      </c>
      <c r="M882">
        <v>1</v>
      </c>
      <c r="N882" t="s">
        <v>67</v>
      </c>
      <c r="O882" s="2">
        <v>0.49652777777777773</v>
      </c>
      <c r="P882">
        <f>-0.0020861314*3600</f>
        <v>-7.51007304</v>
      </c>
      <c r="Q882">
        <f>-0.0026936186*3600</f>
        <v>-9.6970269599999988</v>
      </c>
    </row>
    <row r="883" spans="1:17" x14ac:dyDescent="0.3">
      <c r="A883" s="4" t="s">
        <v>47</v>
      </c>
      <c r="B883" s="5" t="s">
        <v>489</v>
      </c>
      <c r="C883">
        <v>99.123585000000006</v>
      </c>
      <c r="D883">
        <v>108.77561300000001</v>
      </c>
      <c r="E883">
        <v>1</v>
      </c>
      <c r="F883">
        <v>1</v>
      </c>
      <c r="G883">
        <v>0.26100000000000001</v>
      </c>
      <c r="H883">
        <v>0</v>
      </c>
      <c r="I883" t="s">
        <v>0</v>
      </c>
      <c r="J883" t="s">
        <v>59</v>
      </c>
      <c r="K883">
        <v>0</v>
      </c>
      <c r="L883" t="s">
        <v>60</v>
      </c>
      <c r="M883">
        <v>1</v>
      </c>
      <c r="N883" t="s">
        <v>67</v>
      </c>
      <c r="O883" s="2">
        <v>0.49652777777777773</v>
      </c>
      <c r="P883">
        <f>-0.0020717893*3600</f>
        <v>-7.4584414800000003</v>
      </c>
      <c r="Q883">
        <f>-0.0027958216*3600</f>
        <v>-10.06495776</v>
      </c>
    </row>
    <row r="884" spans="1:17" x14ac:dyDescent="0.3">
      <c r="A884" s="4" t="s">
        <v>47</v>
      </c>
      <c r="B884" s="5" t="s">
        <v>490</v>
      </c>
      <c r="C884">
        <v>99.123649</v>
      </c>
      <c r="D884">
        <v>108.77566899999999</v>
      </c>
      <c r="E884">
        <v>1</v>
      </c>
      <c r="F884">
        <v>1</v>
      </c>
      <c r="G884">
        <v>0.26100000000000001</v>
      </c>
      <c r="H884">
        <v>0</v>
      </c>
      <c r="I884" t="s">
        <v>0</v>
      </c>
      <c r="J884" t="s">
        <v>59</v>
      </c>
      <c r="K884">
        <v>0</v>
      </c>
      <c r="L884" t="s">
        <v>60</v>
      </c>
      <c r="M884">
        <v>1</v>
      </c>
      <c r="N884" t="s">
        <v>67</v>
      </c>
      <c r="O884" s="2">
        <v>0.49652777777777773</v>
      </c>
      <c r="P884">
        <f>-0.002136854*3600</f>
        <v>-7.6926744000000005</v>
      </c>
      <c r="Q884">
        <f>-0.0027344402*3600</f>
        <v>-9.8439847199999999</v>
      </c>
    </row>
    <row r="885" spans="1:17" x14ac:dyDescent="0.3">
      <c r="A885" s="4" t="s">
        <v>47</v>
      </c>
      <c r="B885" s="5" t="s">
        <v>491</v>
      </c>
      <c r="C885">
        <v>99.123917000000006</v>
      </c>
      <c r="D885">
        <v>108.77577700000001</v>
      </c>
      <c r="E885">
        <v>1</v>
      </c>
      <c r="F885">
        <v>1</v>
      </c>
      <c r="G885">
        <v>0.26100000000000001</v>
      </c>
      <c r="H885">
        <v>0</v>
      </c>
      <c r="I885" t="s">
        <v>0</v>
      </c>
      <c r="J885" t="s">
        <v>59</v>
      </c>
      <c r="K885">
        <v>0</v>
      </c>
      <c r="L885" t="s">
        <v>60</v>
      </c>
      <c r="M885">
        <v>1</v>
      </c>
      <c r="N885" t="s">
        <v>67</v>
      </c>
      <c r="O885" s="2">
        <v>0.49652777777777773</v>
      </c>
      <c r="P885">
        <f>-0.0020955084*3600</f>
        <v>-7.5438302400000001</v>
      </c>
      <c r="Q885">
        <f>-0.0026513697*3600</f>
        <v>-9.5449309200000005</v>
      </c>
    </row>
    <row r="886" spans="1:17" x14ac:dyDescent="0.3">
      <c r="A886" s="4" t="s">
        <v>47</v>
      </c>
      <c r="B886" s="5" t="s">
        <v>492</v>
      </c>
      <c r="C886">
        <v>99.122906999999998</v>
      </c>
      <c r="D886">
        <v>108.77567000000001</v>
      </c>
      <c r="E886">
        <v>1</v>
      </c>
      <c r="F886">
        <v>1</v>
      </c>
      <c r="G886">
        <v>0.26100000000000001</v>
      </c>
      <c r="H886">
        <v>0</v>
      </c>
      <c r="I886" t="s">
        <v>0</v>
      </c>
      <c r="J886" t="s">
        <v>59</v>
      </c>
      <c r="K886">
        <v>0</v>
      </c>
      <c r="L886" t="s">
        <v>60</v>
      </c>
      <c r="M886">
        <v>1</v>
      </c>
      <c r="N886" t="s">
        <v>67</v>
      </c>
      <c r="O886" s="2">
        <v>0.49652777777777773</v>
      </c>
      <c r="P886">
        <f>-0.0021525856*3600</f>
        <v>-7.74930816</v>
      </c>
      <c r="Q886">
        <f>-0.0027345933*3600</f>
        <v>-9.8445358800000005</v>
      </c>
    </row>
    <row r="887" spans="1:17" x14ac:dyDescent="0.3">
      <c r="A887" s="4" t="s">
        <v>47</v>
      </c>
      <c r="B887" s="5" t="s">
        <v>493</v>
      </c>
      <c r="C887">
        <v>99.123700999999997</v>
      </c>
      <c r="D887">
        <v>108.77566</v>
      </c>
      <c r="E887">
        <v>1</v>
      </c>
      <c r="F887">
        <v>1</v>
      </c>
      <c r="G887">
        <v>0.26100000000000001</v>
      </c>
      <c r="H887">
        <v>0</v>
      </c>
      <c r="I887" t="s">
        <v>0</v>
      </c>
      <c r="J887" t="s">
        <v>59</v>
      </c>
      <c r="K887">
        <v>0</v>
      </c>
      <c r="L887" t="s">
        <v>60</v>
      </c>
      <c r="M887">
        <v>1</v>
      </c>
      <c r="N887" t="s">
        <v>67</v>
      </c>
      <c r="O887" s="2">
        <v>0.49652777777777773</v>
      </c>
      <c r="P887">
        <f>-0.002098906*3600</f>
        <v>-7.5560616000000005</v>
      </c>
      <c r="Q887">
        <f>-0.0027377979*3600</f>
        <v>-9.8560724400000002</v>
      </c>
    </row>
    <row r="888" spans="1:17" x14ac:dyDescent="0.3">
      <c r="A888" s="4" t="s">
        <v>47</v>
      </c>
      <c r="B888" s="5" t="s">
        <v>494</v>
      </c>
      <c r="C888">
        <v>99.123835999999997</v>
      </c>
      <c r="D888">
        <v>108.775704</v>
      </c>
      <c r="E888">
        <v>1</v>
      </c>
      <c r="F888">
        <v>1</v>
      </c>
      <c r="G888">
        <v>0.26100000000000001</v>
      </c>
      <c r="H888">
        <v>0</v>
      </c>
      <c r="I888" t="s">
        <v>0</v>
      </c>
      <c r="J888" t="s">
        <v>59</v>
      </c>
      <c r="K888">
        <v>0</v>
      </c>
      <c r="L888" t="s">
        <v>60</v>
      </c>
      <c r="M888">
        <v>1</v>
      </c>
      <c r="N888" t="s">
        <v>67</v>
      </c>
      <c r="O888" s="2">
        <v>0.49652777777777773</v>
      </c>
      <c r="P888">
        <f>-0.0021003521*3600</f>
        <v>-7.5612675599999992</v>
      </c>
      <c r="Q888">
        <f>-0.0027193886*3600</f>
        <v>-9.7897989599999988</v>
      </c>
    </row>
    <row r="889" spans="1:17" x14ac:dyDescent="0.3">
      <c r="A889" s="4" t="s">
        <v>47</v>
      </c>
      <c r="B889" s="5" t="s">
        <v>495</v>
      </c>
      <c r="C889">
        <v>99.123621999999997</v>
      </c>
      <c r="D889">
        <v>108.77566400000001</v>
      </c>
      <c r="E889">
        <v>1</v>
      </c>
      <c r="F889">
        <v>1</v>
      </c>
      <c r="G889">
        <v>0.26100000000000001</v>
      </c>
      <c r="H889">
        <v>0</v>
      </c>
      <c r="I889" t="s">
        <v>0</v>
      </c>
      <c r="J889" t="s">
        <v>59</v>
      </c>
      <c r="K889">
        <v>0</v>
      </c>
      <c r="L889" t="s">
        <v>60</v>
      </c>
      <c r="M889">
        <v>1</v>
      </c>
      <c r="N889" t="s">
        <v>67</v>
      </c>
      <c r="O889" s="2">
        <v>0.49652777777777773</v>
      </c>
      <c r="P889">
        <f>-0.0020631069*3600</f>
        <v>-7.4271848400000007</v>
      </c>
      <c r="Q889">
        <f>-0.0027463464*3600</f>
        <v>-9.8868470399999993</v>
      </c>
    </row>
    <row r="890" spans="1:17" x14ac:dyDescent="0.3">
      <c r="A890" s="4" t="s">
        <v>47</v>
      </c>
      <c r="B890" s="5" t="s">
        <v>496</v>
      </c>
      <c r="C890">
        <v>99.123513000000003</v>
      </c>
      <c r="D890">
        <v>108.775588</v>
      </c>
      <c r="E890">
        <v>1</v>
      </c>
      <c r="F890">
        <v>1</v>
      </c>
      <c r="G890">
        <v>0.26100000000000001</v>
      </c>
      <c r="H890">
        <v>0</v>
      </c>
      <c r="I890" t="s">
        <v>0</v>
      </c>
      <c r="J890" t="s">
        <v>59</v>
      </c>
      <c r="K890">
        <v>0</v>
      </c>
      <c r="L890" t="s">
        <v>60</v>
      </c>
      <c r="M890">
        <v>1</v>
      </c>
      <c r="N890" t="s">
        <v>67</v>
      </c>
      <c r="O890" s="2">
        <v>0.49652777777777773</v>
      </c>
      <c r="P890">
        <f>-0.002119353*3600</f>
        <v>-7.6296708000000004</v>
      </c>
      <c r="Q890">
        <f>-0.002816709*3600</f>
        <v>-10.1401524</v>
      </c>
    </row>
    <row r="891" spans="1:17" x14ac:dyDescent="0.3">
      <c r="A891" s="4" t="s">
        <v>47</v>
      </c>
      <c r="B891" s="5" t="s">
        <v>497</v>
      </c>
      <c r="C891">
        <v>99.123614000000003</v>
      </c>
      <c r="D891">
        <v>108.775722</v>
      </c>
      <c r="E891">
        <v>1</v>
      </c>
      <c r="F891">
        <v>1</v>
      </c>
      <c r="G891">
        <v>0.26100000000000001</v>
      </c>
      <c r="H891">
        <v>0</v>
      </c>
      <c r="I891" t="s">
        <v>0</v>
      </c>
      <c r="J891" t="s">
        <v>59</v>
      </c>
      <c r="K891">
        <v>0</v>
      </c>
      <c r="L891" t="s">
        <v>60</v>
      </c>
      <c r="M891">
        <v>1</v>
      </c>
      <c r="N891" t="s">
        <v>67</v>
      </c>
      <c r="O891" s="2">
        <v>0.49652777777777773</v>
      </c>
      <c r="P891">
        <f>-0.0020315081*3600</f>
        <v>-7.3134291600000001</v>
      </c>
      <c r="Q891">
        <f>-0.0026633126*3600</f>
        <v>-9.5879253599999998</v>
      </c>
    </row>
    <row r="892" spans="1:17" x14ac:dyDescent="0.3">
      <c r="A892" s="4" t="s">
        <v>47</v>
      </c>
      <c r="B892" s="5" t="s">
        <v>498</v>
      </c>
      <c r="C892">
        <v>99.124039999999994</v>
      </c>
      <c r="D892">
        <v>108.775783</v>
      </c>
      <c r="E892">
        <v>1</v>
      </c>
      <c r="F892">
        <v>1</v>
      </c>
      <c r="G892">
        <v>0.26100000000000001</v>
      </c>
      <c r="H892">
        <v>0</v>
      </c>
      <c r="I892" t="s">
        <v>0</v>
      </c>
      <c r="J892" t="s">
        <v>59</v>
      </c>
      <c r="K892">
        <v>0</v>
      </c>
      <c r="L892" t="s">
        <v>60</v>
      </c>
      <c r="M892">
        <v>1</v>
      </c>
      <c r="N892" t="s">
        <v>67</v>
      </c>
      <c r="O892" s="2">
        <v>0.49652777777777773</v>
      </c>
      <c r="P892">
        <f>-0.0020400908*3600</f>
        <v>-7.3443268799999997</v>
      </c>
      <c r="Q892">
        <f>-0.002631872*3600</f>
        <v>-9.4747392000000001</v>
      </c>
    </row>
    <row r="893" spans="1:17" x14ac:dyDescent="0.3">
      <c r="A893" s="4" t="s">
        <v>47</v>
      </c>
      <c r="B893" s="5" t="s">
        <v>499</v>
      </c>
      <c r="C893">
        <v>99.123659000000004</v>
      </c>
      <c r="D893">
        <v>108.775694</v>
      </c>
      <c r="E893">
        <v>1</v>
      </c>
      <c r="F893">
        <v>1</v>
      </c>
      <c r="G893">
        <v>0.26100000000000001</v>
      </c>
      <c r="H893">
        <v>0</v>
      </c>
      <c r="I893" t="s">
        <v>0</v>
      </c>
      <c r="J893" t="s">
        <v>59</v>
      </c>
      <c r="K893">
        <v>0</v>
      </c>
      <c r="L893" t="s">
        <v>60</v>
      </c>
      <c r="M893">
        <v>1</v>
      </c>
      <c r="N893" t="s">
        <v>67</v>
      </c>
      <c r="O893" s="2">
        <v>0.49652777777777773</v>
      </c>
      <c r="P893">
        <f>-0.0021197011*3600</f>
        <v>-7.6309239599999996</v>
      </c>
      <c r="Q893">
        <f>-0.0027000536*3600</f>
        <v>-9.7201929600000003</v>
      </c>
    </row>
    <row r="894" spans="1:17" x14ac:dyDescent="0.3">
      <c r="A894" s="4" t="s">
        <v>47</v>
      </c>
      <c r="B894" s="5" t="s">
        <v>500</v>
      </c>
      <c r="C894">
        <v>99.123600999999994</v>
      </c>
      <c r="D894">
        <v>108.77573599999999</v>
      </c>
      <c r="E894">
        <v>1</v>
      </c>
      <c r="F894">
        <v>1</v>
      </c>
      <c r="G894">
        <v>0.26100000000000001</v>
      </c>
      <c r="H894">
        <v>0</v>
      </c>
      <c r="I894" t="s">
        <v>0</v>
      </c>
      <c r="J894" t="s">
        <v>59</v>
      </c>
      <c r="K894">
        <v>0</v>
      </c>
      <c r="L894" t="s">
        <v>60</v>
      </c>
      <c r="M894">
        <v>1</v>
      </c>
      <c r="N894" t="s">
        <v>67</v>
      </c>
      <c r="O894" s="2">
        <v>0.49652777777777773</v>
      </c>
      <c r="P894">
        <f>-0.0020518792*3600</f>
        <v>-7.3867651199999997</v>
      </c>
      <c r="Q894">
        <f>-0.0026719014*3600</f>
        <v>-9.6188450400000001</v>
      </c>
    </row>
    <row r="895" spans="1:17" x14ac:dyDescent="0.3">
      <c r="A895" s="4" t="s">
        <v>47</v>
      </c>
      <c r="B895" s="5" t="s">
        <v>501</v>
      </c>
      <c r="C895">
        <v>99.123198000000002</v>
      </c>
      <c r="D895">
        <v>108.77582099999999</v>
      </c>
      <c r="E895">
        <v>1</v>
      </c>
      <c r="F895">
        <v>1</v>
      </c>
      <c r="G895">
        <v>0.26100000000000001</v>
      </c>
      <c r="H895">
        <v>0</v>
      </c>
      <c r="I895" t="s">
        <v>0</v>
      </c>
      <c r="J895" t="s">
        <v>59</v>
      </c>
      <c r="K895">
        <v>0</v>
      </c>
      <c r="L895" t="s">
        <v>60</v>
      </c>
      <c r="M895">
        <v>1</v>
      </c>
      <c r="N895" t="s">
        <v>67</v>
      </c>
      <c r="O895" s="2">
        <v>0.49652777777777773</v>
      </c>
      <c r="P895">
        <f>-0.0021240923*3600</f>
        <v>-7.6467322799999993</v>
      </c>
      <c r="Q895">
        <f>-0.0025894566*3600</f>
        <v>-9.3220437600000015</v>
      </c>
    </row>
    <row r="896" spans="1:17" x14ac:dyDescent="0.3">
      <c r="A896" s="4" t="s">
        <v>47</v>
      </c>
      <c r="B896" s="5" t="s">
        <v>502</v>
      </c>
      <c r="C896">
        <v>99.123766000000003</v>
      </c>
      <c r="D896">
        <v>108.775819</v>
      </c>
      <c r="E896">
        <v>1</v>
      </c>
      <c r="F896">
        <v>1</v>
      </c>
      <c r="G896">
        <v>0.26100000000000001</v>
      </c>
      <c r="H896">
        <v>0</v>
      </c>
      <c r="I896" t="s">
        <v>0</v>
      </c>
      <c r="J896" t="s">
        <v>59</v>
      </c>
      <c r="K896">
        <v>0</v>
      </c>
      <c r="L896" t="s">
        <v>60</v>
      </c>
      <c r="M896">
        <v>1</v>
      </c>
      <c r="N896" t="s">
        <v>67</v>
      </c>
      <c r="O896" s="2">
        <v>0.49652777777777773</v>
      </c>
      <c r="P896">
        <f>-0.0021656673*3600</f>
        <v>-7.7964022800000006</v>
      </c>
      <c r="Q896">
        <f>-0.0025871466*3600</f>
        <v>-9.3137277600000008</v>
      </c>
    </row>
    <row r="897" spans="1:17" x14ac:dyDescent="0.3">
      <c r="A897" s="4" t="s">
        <v>47</v>
      </c>
      <c r="B897" s="5" t="s">
        <v>503</v>
      </c>
      <c r="C897">
        <v>99.123665000000003</v>
      </c>
      <c r="D897">
        <v>108.77572499999999</v>
      </c>
      <c r="E897">
        <v>1</v>
      </c>
      <c r="F897">
        <v>1</v>
      </c>
      <c r="G897">
        <v>0.26100000000000001</v>
      </c>
      <c r="H897">
        <v>0</v>
      </c>
      <c r="I897" t="s">
        <v>0</v>
      </c>
      <c r="J897" t="s">
        <v>59</v>
      </c>
      <c r="K897">
        <v>0</v>
      </c>
      <c r="L897" t="s">
        <v>60</v>
      </c>
      <c r="M897">
        <v>1</v>
      </c>
      <c r="N897" t="s">
        <v>67</v>
      </c>
      <c r="O897" s="2">
        <v>0.49652777777777773</v>
      </c>
      <c r="P897">
        <f>-0.0021543065*3600</f>
        <v>-7.7555034000000003</v>
      </c>
      <c r="Q897">
        <f>-0.0026863905*3600</f>
        <v>-9.6710057999999997</v>
      </c>
    </row>
    <row r="898" spans="1:17" x14ac:dyDescent="0.3">
      <c r="A898" s="4" t="s">
        <v>47</v>
      </c>
      <c r="B898" s="5" t="s">
        <v>504</v>
      </c>
      <c r="C898">
        <v>99.123565999999997</v>
      </c>
      <c r="D898">
        <v>108.775764</v>
      </c>
      <c r="E898">
        <v>1</v>
      </c>
      <c r="F898">
        <v>1</v>
      </c>
      <c r="G898">
        <v>0.26100000000000001</v>
      </c>
      <c r="H898">
        <v>0</v>
      </c>
      <c r="I898" t="s">
        <v>0</v>
      </c>
      <c r="J898" t="s">
        <v>59</v>
      </c>
      <c r="K898">
        <v>0</v>
      </c>
      <c r="L898" t="s">
        <v>60</v>
      </c>
      <c r="M898">
        <v>1</v>
      </c>
      <c r="N898" t="s">
        <v>67</v>
      </c>
      <c r="O898" s="2">
        <v>0.49652777777777773</v>
      </c>
      <c r="P898">
        <f>-0.0021182724*3600</f>
        <v>-7.6257806400000003</v>
      </c>
      <c r="Q898">
        <f>-0.0026426063*3600</f>
        <v>-9.5133826800000012</v>
      </c>
    </row>
    <row r="899" spans="1:17" x14ac:dyDescent="0.3">
      <c r="A899" s="4" t="s">
        <v>47</v>
      </c>
      <c r="B899" s="5" t="s">
        <v>505</v>
      </c>
      <c r="C899">
        <v>99.123374999999996</v>
      </c>
      <c r="D899">
        <v>108.775741</v>
      </c>
      <c r="E899">
        <v>1</v>
      </c>
      <c r="F899">
        <v>1</v>
      </c>
      <c r="G899">
        <v>0.26100000000000001</v>
      </c>
      <c r="H899">
        <v>0</v>
      </c>
      <c r="I899" t="s">
        <v>0</v>
      </c>
      <c r="J899" t="s">
        <v>59</v>
      </c>
      <c r="K899">
        <v>0</v>
      </c>
      <c r="L899" t="s">
        <v>60</v>
      </c>
      <c r="M899">
        <v>1</v>
      </c>
      <c r="N899" t="s">
        <v>67</v>
      </c>
      <c r="O899" s="2">
        <v>0.49652777777777773</v>
      </c>
      <c r="P899">
        <f>-0.002099342*3600</f>
        <v>-7.5576312000000003</v>
      </c>
      <c r="Q899">
        <f>-0.0026362199*3600</f>
        <v>-9.4903916399999986</v>
      </c>
    </row>
    <row r="900" spans="1:17" x14ac:dyDescent="0.3">
      <c r="A900" s="4" t="s">
        <v>47</v>
      </c>
      <c r="B900" s="5" t="s">
        <v>506</v>
      </c>
      <c r="C900">
        <v>99.123926999999995</v>
      </c>
      <c r="D900">
        <v>108.77574799999999</v>
      </c>
      <c r="E900">
        <v>1</v>
      </c>
      <c r="F900">
        <v>1</v>
      </c>
      <c r="G900">
        <v>0.26100000000000001</v>
      </c>
      <c r="H900">
        <v>0</v>
      </c>
      <c r="I900" t="s">
        <v>0</v>
      </c>
      <c r="J900" t="s">
        <v>59</v>
      </c>
      <c r="K900">
        <v>0</v>
      </c>
      <c r="L900" t="s">
        <v>60</v>
      </c>
      <c r="M900">
        <v>1</v>
      </c>
      <c r="N900" t="s">
        <v>67</v>
      </c>
      <c r="O900" s="2">
        <v>0.49652777777777773</v>
      </c>
      <c r="P900">
        <f>-0.0020962501*3600</f>
        <v>-7.5465003600000005</v>
      </c>
      <c r="Q900">
        <f>-0.0026666209*3600</f>
        <v>-9.5998352400000009</v>
      </c>
    </row>
    <row r="901" spans="1:17" x14ac:dyDescent="0.3">
      <c r="A901" s="4" t="s">
        <v>47</v>
      </c>
      <c r="B901" s="5" t="s">
        <v>507</v>
      </c>
      <c r="C901">
        <v>99.123214000000004</v>
      </c>
      <c r="D901">
        <v>108.775764</v>
      </c>
      <c r="E901">
        <v>1</v>
      </c>
      <c r="F901">
        <v>1</v>
      </c>
      <c r="G901">
        <v>0.26100000000000001</v>
      </c>
      <c r="H901">
        <v>0</v>
      </c>
      <c r="I901" t="s">
        <v>0</v>
      </c>
      <c r="J901" t="s">
        <v>59</v>
      </c>
      <c r="K901">
        <v>0</v>
      </c>
      <c r="L901" t="s">
        <v>60</v>
      </c>
      <c r="M901">
        <v>1</v>
      </c>
      <c r="N901" t="s">
        <v>67</v>
      </c>
      <c r="O901" s="2">
        <v>0.49652777777777773</v>
      </c>
      <c r="P901">
        <f>-0.0021256641*3600</f>
        <v>-7.6523907599999994</v>
      </c>
      <c r="Q901">
        <f>-0.0026235774*3600</f>
        <v>-9.4448786399999989</v>
      </c>
    </row>
    <row r="902" spans="1:17" x14ac:dyDescent="0.3">
      <c r="A902" s="4" t="s">
        <v>47</v>
      </c>
      <c r="B902" s="5" t="s">
        <v>508</v>
      </c>
      <c r="C902">
        <v>99.123541000000003</v>
      </c>
      <c r="D902">
        <v>108.775814</v>
      </c>
      <c r="E902">
        <v>1</v>
      </c>
      <c r="F902">
        <v>1</v>
      </c>
      <c r="G902">
        <v>0.26100000000000001</v>
      </c>
      <c r="H902">
        <v>0</v>
      </c>
      <c r="I902" t="s">
        <v>0</v>
      </c>
      <c r="J902" t="s">
        <v>59</v>
      </c>
      <c r="K902">
        <v>0</v>
      </c>
      <c r="L902" t="s">
        <v>60</v>
      </c>
      <c r="M902">
        <v>1</v>
      </c>
      <c r="N902" t="s">
        <v>67</v>
      </c>
      <c r="O902" s="2">
        <v>0.49652777777777773</v>
      </c>
      <c r="P902">
        <f>-0.0019873531*3600</f>
        <v>-7.1544711599999999</v>
      </c>
      <c r="Q902">
        <f>-0.0025859001*3600</f>
        <v>-9.3092403600000004</v>
      </c>
    </row>
    <row r="903" spans="1:17" x14ac:dyDescent="0.3">
      <c r="A903" s="4" t="s">
        <v>47</v>
      </c>
      <c r="B903" s="5" t="s">
        <v>509</v>
      </c>
      <c r="C903">
        <v>99.123675000000006</v>
      </c>
      <c r="D903">
        <v>108.775738</v>
      </c>
      <c r="E903">
        <v>1</v>
      </c>
      <c r="F903">
        <v>1</v>
      </c>
      <c r="G903">
        <v>0.26100000000000001</v>
      </c>
      <c r="H903">
        <v>0</v>
      </c>
      <c r="I903" t="s">
        <v>0</v>
      </c>
      <c r="J903" t="s">
        <v>59</v>
      </c>
      <c r="K903">
        <v>0</v>
      </c>
      <c r="L903" t="s">
        <v>60</v>
      </c>
      <c r="M903">
        <v>1</v>
      </c>
      <c r="N903" t="s">
        <v>67</v>
      </c>
      <c r="O903" s="2">
        <v>0.49652777777777773</v>
      </c>
      <c r="P903">
        <f>-0.0021326305*3600</f>
        <v>-7.6774698000000008</v>
      </c>
      <c r="Q903">
        <f>-0.0026500927*3600</f>
        <v>-9.5403337199999996</v>
      </c>
    </row>
    <row r="904" spans="1:17" x14ac:dyDescent="0.3">
      <c r="A904" s="4" t="s">
        <v>47</v>
      </c>
      <c r="B904" s="5" t="s">
        <v>510</v>
      </c>
      <c r="C904">
        <v>99.123845000000003</v>
      </c>
      <c r="D904">
        <v>108.77571500000001</v>
      </c>
      <c r="E904">
        <v>1</v>
      </c>
      <c r="F904">
        <v>1</v>
      </c>
      <c r="G904">
        <v>0.26100000000000001</v>
      </c>
      <c r="H904">
        <v>0</v>
      </c>
      <c r="I904" t="s">
        <v>0</v>
      </c>
      <c r="J904" t="s">
        <v>59</v>
      </c>
      <c r="K904">
        <v>0</v>
      </c>
      <c r="L904" t="s">
        <v>60</v>
      </c>
      <c r="M904">
        <v>1</v>
      </c>
      <c r="N904" t="s">
        <v>67</v>
      </c>
      <c r="O904" s="2">
        <v>0.49652777777777773</v>
      </c>
      <c r="P904">
        <f>-0.0021024611*3600</f>
        <v>-7.5688599600000002</v>
      </c>
      <c r="Q904">
        <f>-0.0026781518*3600</f>
        <v>-9.6413464799999993</v>
      </c>
    </row>
    <row r="905" spans="1:17" x14ac:dyDescent="0.3">
      <c r="A905" s="4" t="s">
        <v>47</v>
      </c>
      <c r="B905" s="5" t="s">
        <v>511</v>
      </c>
      <c r="C905">
        <v>99.123560999999995</v>
      </c>
      <c r="D905">
        <v>108.775774</v>
      </c>
      <c r="E905">
        <v>1</v>
      </c>
      <c r="F905">
        <v>1</v>
      </c>
      <c r="G905">
        <v>0.26100000000000001</v>
      </c>
      <c r="H905">
        <v>0</v>
      </c>
      <c r="I905" t="s">
        <v>0</v>
      </c>
      <c r="J905" t="s">
        <v>59</v>
      </c>
      <c r="K905">
        <v>0</v>
      </c>
      <c r="L905" t="s">
        <v>60</v>
      </c>
      <c r="M905">
        <v>1</v>
      </c>
      <c r="N905" t="s">
        <v>67</v>
      </c>
      <c r="O905" s="2">
        <v>0.49652777777777773</v>
      </c>
      <c r="P905">
        <f>-0.0020673928*3600</f>
        <v>-7.4426140800000011</v>
      </c>
      <c r="Q905">
        <f>-0.002615988*3600</f>
        <v>-9.4175567999999998</v>
      </c>
    </row>
    <row r="906" spans="1:17" x14ac:dyDescent="0.3">
      <c r="A906" s="4" t="s">
        <v>47</v>
      </c>
      <c r="B906" s="5" t="s">
        <v>512</v>
      </c>
      <c r="C906">
        <v>99.123362</v>
      </c>
      <c r="D906">
        <v>108.775724</v>
      </c>
      <c r="E906">
        <v>1</v>
      </c>
      <c r="F906">
        <v>1</v>
      </c>
      <c r="G906">
        <v>0.26100000000000001</v>
      </c>
      <c r="H906">
        <v>0</v>
      </c>
      <c r="I906" t="s">
        <v>0</v>
      </c>
      <c r="J906" t="s">
        <v>59</v>
      </c>
      <c r="K906">
        <v>0</v>
      </c>
      <c r="L906" t="s">
        <v>60</v>
      </c>
      <c r="M906">
        <v>1</v>
      </c>
      <c r="N906" t="s">
        <v>67</v>
      </c>
      <c r="O906" s="2">
        <v>0.49652777777777773</v>
      </c>
      <c r="P906">
        <f>-0.002129347*3600</f>
        <v>-7.6656492000000007</v>
      </c>
      <c r="Q906">
        <f>-0.0026813081*3600</f>
        <v>-9.6527091599999988</v>
      </c>
    </row>
    <row r="907" spans="1:17" x14ac:dyDescent="0.3">
      <c r="A907" s="4" t="s">
        <v>47</v>
      </c>
      <c r="B907" s="5" t="s">
        <v>513</v>
      </c>
      <c r="C907">
        <v>99.123158000000004</v>
      </c>
      <c r="D907">
        <v>108.775722</v>
      </c>
      <c r="E907">
        <v>1</v>
      </c>
      <c r="F907">
        <v>1</v>
      </c>
      <c r="G907">
        <v>0.26100000000000001</v>
      </c>
      <c r="H907">
        <v>0</v>
      </c>
      <c r="I907" t="s">
        <v>0</v>
      </c>
      <c r="J907" t="s">
        <v>59</v>
      </c>
      <c r="K907">
        <v>0</v>
      </c>
      <c r="L907" t="s">
        <v>60</v>
      </c>
      <c r="M907">
        <v>1</v>
      </c>
      <c r="N907" t="s">
        <v>67</v>
      </c>
      <c r="O907" s="2">
        <v>0.49652777777777773</v>
      </c>
      <c r="P907">
        <f>-0.0021123986*3600</f>
        <v>-7.6046349599999994</v>
      </c>
      <c r="Q907">
        <f>-0.0026851033*3600</f>
        <v>-9.6663718799999998</v>
      </c>
    </row>
    <row r="908" spans="1:17" x14ac:dyDescent="0.3">
      <c r="A908" s="4" t="s">
        <v>47</v>
      </c>
      <c r="B908" s="5" t="s">
        <v>514</v>
      </c>
      <c r="C908">
        <v>99.123695999999995</v>
      </c>
      <c r="D908">
        <v>108.77575</v>
      </c>
      <c r="E908">
        <v>1</v>
      </c>
      <c r="F908">
        <v>1</v>
      </c>
      <c r="G908">
        <v>0.26100000000000001</v>
      </c>
      <c r="H908">
        <v>0</v>
      </c>
      <c r="I908" t="s">
        <v>0</v>
      </c>
      <c r="J908" t="s">
        <v>59</v>
      </c>
      <c r="K908">
        <v>0</v>
      </c>
      <c r="L908" t="s">
        <v>60</v>
      </c>
      <c r="M908">
        <v>1</v>
      </c>
      <c r="N908" t="s">
        <v>67</v>
      </c>
      <c r="O908" s="2">
        <v>0.49652777777777773</v>
      </c>
      <c r="P908">
        <f>-0.0021545574*3600</f>
        <v>-7.7564066399999989</v>
      </c>
      <c r="Q908">
        <f>-0.0026469207*3600</f>
        <v>-9.5289145199999989</v>
      </c>
    </row>
    <row r="909" spans="1:17" x14ac:dyDescent="0.3">
      <c r="A909" s="4" t="s">
        <v>47</v>
      </c>
      <c r="B909" s="5" t="s">
        <v>515</v>
      </c>
      <c r="C909">
        <v>99.123806999999999</v>
      </c>
      <c r="D909">
        <v>108.77577100000001</v>
      </c>
      <c r="E909">
        <v>1</v>
      </c>
      <c r="F909">
        <v>1</v>
      </c>
      <c r="G909">
        <v>0.26100000000000001</v>
      </c>
      <c r="H909">
        <v>0</v>
      </c>
      <c r="I909" t="s">
        <v>0</v>
      </c>
      <c r="J909" t="s">
        <v>59</v>
      </c>
      <c r="K909">
        <v>0</v>
      </c>
      <c r="L909" t="s">
        <v>60</v>
      </c>
      <c r="M909">
        <v>1</v>
      </c>
      <c r="N909" t="s">
        <v>67</v>
      </c>
      <c r="O909" s="2">
        <v>0.49652777777777773</v>
      </c>
      <c r="P909">
        <f>-0.0021374274*3600</f>
        <v>-7.6947386399999997</v>
      </c>
      <c r="Q909">
        <f>-0.0026238433*3600</f>
        <v>-9.4458358800000006</v>
      </c>
    </row>
    <row r="910" spans="1:17" x14ac:dyDescent="0.3">
      <c r="A910" s="4" t="s">
        <v>47</v>
      </c>
      <c r="B910" s="5" t="s">
        <v>516</v>
      </c>
      <c r="C910">
        <v>99.124301000000003</v>
      </c>
      <c r="D910">
        <v>108.77577100000001</v>
      </c>
      <c r="E910">
        <v>1</v>
      </c>
      <c r="F910">
        <v>1</v>
      </c>
      <c r="G910">
        <v>0.26100000000000001</v>
      </c>
      <c r="H910">
        <v>0</v>
      </c>
      <c r="I910" t="s">
        <v>0</v>
      </c>
      <c r="J910" t="s">
        <v>59</v>
      </c>
      <c r="K910">
        <v>0</v>
      </c>
      <c r="L910" t="s">
        <v>60</v>
      </c>
      <c r="M910">
        <v>1</v>
      </c>
      <c r="N910" t="s">
        <v>67</v>
      </c>
      <c r="O910" s="2">
        <v>0.49652777777777773</v>
      </c>
      <c r="P910">
        <f>-0.002136134*3600</f>
        <v>-7.6900824000000005</v>
      </c>
      <c r="Q910">
        <f>-0.0026438326*3600</f>
        <v>-9.5177973599999994</v>
      </c>
    </row>
    <row r="911" spans="1:17" x14ac:dyDescent="0.3">
      <c r="A911" s="4" t="s">
        <v>47</v>
      </c>
      <c r="B911" s="5" t="s">
        <v>517</v>
      </c>
      <c r="C911">
        <v>99.124050999999994</v>
      </c>
      <c r="D911">
        <v>108.775772</v>
      </c>
      <c r="E911">
        <v>1</v>
      </c>
      <c r="F911">
        <v>1</v>
      </c>
      <c r="G911">
        <v>0.26100000000000001</v>
      </c>
      <c r="H911">
        <v>0</v>
      </c>
      <c r="I911" t="s">
        <v>0</v>
      </c>
      <c r="J911" t="s">
        <v>59</v>
      </c>
      <c r="K911">
        <v>0</v>
      </c>
      <c r="L911" t="s">
        <v>60</v>
      </c>
      <c r="M911">
        <v>1</v>
      </c>
      <c r="N911" t="s">
        <v>67</v>
      </c>
      <c r="O911" s="2">
        <v>0.49652777777777773</v>
      </c>
      <c r="P911">
        <f>-0.0021079573*3600</f>
        <v>-7.588646279999999</v>
      </c>
      <c r="Q911">
        <f>-0.0026379718*3600</f>
        <v>-9.4966984800000009</v>
      </c>
    </row>
    <row r="912" spans="1:17" x14ac:dyDescent="0.3">
      <c r="A912" s="4" t="s">
        <v>47</v>
      </c>
      <c r="B912" s="5" t="s">
        <v>518</v>
      </c>
      <c r="C912">
        <v>99.123390000000001</v>
      </c>
      <c r="D912">
        <v>108.775739</v>
      </c>
      <c r="E912">
        <v>1</v>
      </c>
      <c r="F912">
        <v>1</v>
      </c>
      <c r="G912">
        <v>0.26100000000000001</v>
      </c>
      <c r="H912">
        <v>0</v>
      </c>
      <c r="I912" t="s">
        <v>0</v>
      </c>
      <c r="J912" t="s">
        <v>59</v>
      </c>
      <c r="K912">
        <v>0</v>
      </c>
      <c r="L912" t="s">
        <v>60</v>
      </c>
      <c r="M912">
        <v>1</v>
      </c>
      <c r="N912" t="s">
        <v>67</v>
      </c>
      <c r="O912" s="2">
        <v>0.49652777777777773</v>
      </c>
      <c r="P912">
        <f>-0.0020627733*3600</f>
        <v>-7.4259838800000004</v>
      </c>
      <c r="Q912">
        <f>-0.0026567178*3600</f>
        <v>-9.5641840800000004</v>
      </c>
    </row>
    <row r="913" spans="1:17" x14ac:dyDescent="0.3">
      <c r="A913" s="4" t="s">
        <v>47</v>
      </c>
      <c r="B913" s="5" t="s">
        <v>519</v>
      </c>
      <c r="C913">
        <v>99.123695999999995</v>
      </c>
      <c r="D913">
        <v>108.775719</v>
      </c>
      <c r="E913">
        <v>1</v>
      </c>
      <c r="F913">
        <v>1</v>
      </c>
      <c r="G913">
        <v>0.26100000000000001</v>
      </c>
      <c r="H913">
        <v>0</v>
      </c>
      <c r="I913" t="s">
        <v>0</v>
      </c>
      <c r="J913" t="s">
        <v>59</v>
      </c>
      <c r="K913">
        <v>0</v>
      </c>
      <c r="L913" t="s">
        <v>60</v>
      </c>
      <c r="M913">
        <v>1</v>
      </c>
      <c r="N913" t="s">
        <v>67</v>
      </c>
      <c r="O913" s="2">
        <v>0.49652777777777773</v>
      </c>
      <c r="P913">
        <f>-0.0020785048*3600</f>
        <v>-7.4826172799999995</v>
      </c>
      <c r="Q913">
        <f>-0.0026629905*3600</f>
        <v>-9.5867657999999984</v>
      </c>
    </row>
    <row r="914" spans="1:17" x14ac:dyDescent="0.3">
      <c r="A914" s="4" t="s">
        <v>47</v>
      </c>
      <c r="B914" s="6" t="s">
        <v>520</v>
      </c>
      <c r="C914">
        <v>299.12400400000001</v>
      </c>
      <c r="D914">
        <v>291.07861800000001</v>
      </c>
      <c r="E914">
        <v>8.0370000000000008</v>
      </c>
      <c r="F914">
        <v>7.9566999999999997</v>
      </c>
      <c r="G914">
        <v>0.26100000000000001</v>
      </c>
      <c r="H914">
        <v>0</v>
      </c>
      <c r="I914" t="s">
        <v>0</v>
      </c>
      <c r="J914" t="s">
        <v>59</v>
      </c>
      <c r="K914">
        <v>3.4000000000000002E-2</v>
      </c>
      <c r="L914" t="s">
        <v>60</v>
      </c>
      <c r="M914">
        <v>1</v>
      </c>
      <c r="N914" t="s">
        <v>53</v>
      </c>
      <c r="O914" s="2">
        <v>0.49722222222222223</v>
      </c>
      <c r="P914">
        <f>0.001060494*3600</f>
        <v>3.8177783999999999</v>
      </c>
      <c r="Q914">
        <f>0.0027471038*3600</f>
        <v>9.8895736799999998</v>
      </c>
    </row>
    <row r="915" spans="1:17" x14ac:dyDescent="0.3">
      <c r="A915" s="4" t="s">
        <v>47</v>
      </c>
      <c r="B915" s="6" t="s">
        <v>521</v>
      </c>
      <c r="C915">
        <v>299.12371899999999</v>
      </c>
      <c r="D915">
        <v>291.19381600000003</v>
      </c>
      <c r="E915">
        <v>1</v>
      </c>
      <c r="F915">
        <v>1</v>
      </c>
      <c r="G915">
        <v>0.26100000000000001</v>
      </c>
      <c r="H915">
        <v>0</v>
      </c>
      <c r="I915" t="s">
        <v>0</v>
      </c>
      <c r="J915" t="s">
        <v>59</v>
      </c>
      <c r="K915">
        <v>0</v>
      </c>
      <c r="L915" t="s">
        <v>60</v>
      </c>
      <c r="M915">
        <v>1</v>
      </c>
      <c r="N915" t="s">
        <v>67</v>
      </c>
      <c r="O915" s="2">
        <v>0.49722222222222223</v>
      </c>
      <c r="P915">
        <f>0.0009721226*3600</f>
        <v>3.49964136</v>
      </c>
      <c r="Q915">
        <f>0.0029712909*3600</f>
        <v>10.696647240000001</v>
      </c>
    </row>
    <row r="916" spans="1:17" x14ac:dyDescent="0.3">
      <c r="A916" s="4" t="s">
        <v>47</v>
      </c>
      <c r="B916" s="6" t="s">
        <v>522</v>
      </c>
      <c r="C916">
        <v>299.12348100000003</v>
      </c>
      <c r="D916">
        <v>291.19370700000002</v>
      </c>
      <c r="E916">
        <v>1</v>
      </c>
      <c r="F916">
        <v>1</v>
      </c>
      <c r="G916">
        <v>0.26100000000000001</v>
      </c>
      <c r="H916">
        <v>0</v>
      </c>
      <c r="I916" t="s">
        <v>0</v>
      </c>
      <c r="J916" t="s">
        <v>59</v>
      </c>
      <c r="K916">
        <v>0</v>
      </c>
      <c r="L916" t="s">
        <v>60</v>
      </c>
      <c r="M916">
        <v>1</v>
      </c>
      <c r="N916" t="s">
        <v>67</v>
      </c>
      <c r="O916" s="2">
        <v>0.49722222222222223</v>
      </c>
      <c r="P916">
        <f>0.0009842798*3600</f>
        <v>3.5434072800000003</v>
      </c>
      <c r="Q916">
        <f>0.0028654279*3600</f>
        <v>10.315540440000001</v>
      </c>
    </row>
    <row r="917" spans="1:17" x14ac:dyDescent="0.3">
      <c r="A917" s="4" t="s">
        <v>47</v>
      </c>
      <c r="B917" s="6" t="s">
        <v>523</v>
      </c>
      <c r="C917">
        <v>299.123493</v>
      </c>
      <c r="D917">
        <v>291.19372399999997</v>
      </c>
      <c r="E917">
        <v>1</v>
      </c>
      <c r="F917">
        <v>1</v>
      </c>
      <c r="G917">
        <v>0.26100000000000001</v>
      </c>
      <c r="H917">
        <v>0</v>
      </c>
      <c r="I917" t="s">
        <v>0</v>
      </c>
      <c r="J917" t="s">
        <v>59</v>
      </c>
      <c r="K917">
        <v>0</v>
      </c>
      <c r="L917" t="s">
        <v>60</v>
      </c>
      <c r="M917">
        <v>1</v>
      </c>
      <c r="N917" t="s">
        <v>67</v>
      </c>
      <c r="O917" s="2">
        <v>0.49722222222222223</v>
      </c>
      <c r="P917">
        <f>0.0009917427*3600</f>
        <v>3.5702737199999999</v>
      </c>
      <c r="Q917">
        <f>0.0028692395*3600</f>
        <v>10.329262200000001</v>
      </c>
    </row>
    <row r="918" spans="1:17" x14ac:dyDescent="0.3">
      <c r="A918" s="4" t="s">
        <v>47</v>
      </c>
      <c r="B918" s="6" t="s">
        <v>524</v>
      </c>
      <c r="C918">
        <v>299.12364700000001</v>
      </c>
      <c r="D918">
        <v>291.19354099999998</v>
      </c>
      <c r="E918">
        <v>1</v>
      </c>
      <c r="F918">
        <v>1</v>
      </c>
      <c r="G918">
        <v>0.26100000000000001</v>
      </c>
      <c r="H918">
        <v>0</v>
      </c>
      <c r="I918" t="s">
        <v>0</v>
      </c>
      <c r="J918" t="s">
        <v>59</v>
      </c>
      <c r="K918">
        <v>0</v>
      </c>
      <c r="L918" t="s">
        <v>60</v>
      </c>
      <c r="M918">
        <v>1</v>
      </c>
      <c r="N918" t="s">
        <v>67</v>
      </c>
      <c r="O918" s="2">
        <v>0.49722222222222223</v>
      </c>
      <c r="P918">
        <f>0.0009751822*3600</f>
        <v>3.51065592</v>
      </c>
      <c r="Q918">
        <f>0.0027082219*3600</f>
        <v>9.7495988400000009</v>
      </c>
    </row>
    <row r="919" spans="1:17" x14ac:dyDescent="0.3">
      <c r="A919" s="4" t="s">
        <v>47</v>
      </c>
      <c r="B919" s="6" t="s">
        <v>525</v>
      </c>
      <c r="C919">
        <v>299.124303</v>
      </c>
      <c r="D919">
        <v>291.19358999999997</v>
      </c>
      <c r="E919">
        <v>1</v>
      </c>
      <c r="F919">
        <v>1</v>
      </c>
      <c r="G919">
        <v>0.26100000000000001</v>
      </c>
      <c r="H919">
        <v>0</v>
      </c>
      <c r="I919" t="s">
        <v>0</v>
      </c>
      <c r="J919" t="s">
        <v>59</v>
      </c>
      <c r="K919">
        <v>0</v>
      </c>
      <c r="L919" t="s">
        <v>60</v>
      </c>
      <c r="M919">
        <v>1</v>
      </c>
      <c r="N919" t="s">
        <v>67</v>
      </c>
      <c r="O919" s="2">
        <v>0.49722222222222223</v>
      </c>
      <c r="P919">
        <f>0.0010098631*3600</f>
        <v>3.63550716</v>
      </c>
      <c r="Q919">
        <f>0.0027354309*3600</f>
        <v>9.8475512399999996</v>
      </c>
    </row>
    <row r="920" spans="1:17" x14ac:dyDescent="0.3">
      <c r="A920" s="4" t="s">
        <v>47</v>
      </c>
      <c r="B920" s="6" t="s">
        <v>526</v>
      </c>
      <c r="C920">
        <v>299.12422800000002</v>
      </c>
      <c r="D920">
        <v>291.19372299999998</v>
      </c>
      <c r="E920">
        <v>1</v>
      </c>
      <c r="F920">
        <v>1</v>
      </c>
      <c r="G920">
        <v>0.26100000000000001</v>
      </c>
      <c r="H920">
        <v>0</v>
      </c>
      <c r="I920" t="s">
        <v>0</v>
      </c>
      <c r="J920" t="s">
        <v>59</v>
      </c>
      <c r="K920">
        <v>0</v>
      </c>
      <c r="L920" t="s">
        <v>60</v>
      </c>
      <c r="M920">
        <v>1</v>
      </c>
      <c r="N920" t="s">
        <v>67</v>
      </c>
      <c r="O920" s="2">
        <v>0.49722222222222223</v>
      </c>
      <c r="P920">
        <f>0.0010041045*3600</f>
        <v>3.6147762000000001</v>
      </c>
      <c r="Q920">
        <f>0.0028547537*3600</f>
        <v>10.27711332</v>
      </c>
    </row>
    <row r="921" spans="1:17" x14ac:dyDescent="0.3">
      <c r="A921" s="4" t="s">
        <v>47</v>
      </c>
      <c r="B921" s="6" t="s">
        <v>527</v>
      </c>
      <c r="C921">
        <v>299.12412599999999</v>
      </c>
      <c r="D921">
        <v>291.19375000000002</v>
      </c>
      <c r="E921">
        <v>1</v>
      </c>
      <c r="F921">
        <v>1</v>
      </c>
      <c r="G921">
        <v>0.26100000000000001</v>
      </c>
      <c r="H921">
        <v>0</v>
      </c>
      <c r="I921" t="s">
        <v>0</v>
      </c>
      <c r="J921" t="s">
        <v>59</v>
      </c>
      <c r="K921">
        <v>0</v>
      </c>
      <c r="L921" t="s">
        <v>60</v>
      </c>
      <c r="M921">
        <v>1</v>
      </c>
      <c r="N921" t="s">
        <v>67</v>
      </c>
      <c r="O921" s="2">
        <v>0.49722222222222223</v>
      </c>
      <c r="P921">
        <f>0.0009921386*3600</f>
        <v>3.57169896</v>
      </c>
      <c r="Q921">
        <f>0.0029002064*3600</f>
        <v>10.440743039999999</v>
      </c>
    </row>
    <row r="922" spans="1:17" x14ac:dyDescent="0.3">
      <c r="A922" s="4" t="s">
        <v>47</v>
      </c>
      <c r="B922" s="6" t="s">
        <v>528</v>
      </c>
      <c r="C922">
        <v>299.12386500000002</v>
      </c>
      <c r="D922">
        <v>291.19364999999999</v>
      </c>
      <c r="E922">
        <v>1</v>
      </c>
      <c r="F922">
        <v>1</v>
      </c>
      <c r="G922">
        <v>0.26100000000000001</v>
      </c>
      <c r="H922">
        <v>0</v>
      </c>
      <c r="I922" t="s">
        <v>0</v>
      </c>
      <c r="J922" t="s">
        <v>59</v>
      </c>
      <c r="K922">
        <v>0</v>
      </c>
      <c r="L922" t="s">
        <v>60</v>
      </c>
      <c r="M922">
        <v>1</v>
      </c>
      <c r="N922" t="s">
        <v>67</v>
      </c>
      <c r="O922" s="2">
        <v>0.49722222222222223</v>
      </c>
      <c r="P922">
        <f>0.0009621907*3600</f>
        <v>3.46388652</v>
      </c>
      <c r="Q922">
        <f>0.0028002366*3600</f>
        <v>10.08085176</v>
      </c>
    </row>
    <row r="923" spans="1:17" x14ac:dyDescent="0.3">
      <c r="A923" s="4" t="s">
        <v>47</v>
      </c>
      <c r="B923" s="6" t="s">
        <v>529</v>
      </c>
      <c r="C923">
        <v>299.12424600000003</v>
      </c>
      <c r="D923">
        <v>291.19374199999999</v>
      </c>
      <c r="E923">
        <v>1</v>
      </c>
      <c r="F923">
        <v>1</v>
      </c>
      <c r="G923">
        <v>0.26100000000000001</v>
      </c>
      <c r="H923">
        <v>0</v>
      </c>
      <c r="I923" t="s">
        <v>0</v>
      </c>
      <c r="J923" t="s">
        <v>59</v>
      </c>
      <c r="K923">
        <v>0</v>
      </c>
      <c r="L923" t="s">
        <v>60</v>
      </c>
      <c r="M923">
        <v>1</v>
      </c>
      <c r="N923" t="s">
        <v>67</v>
      </c>
      <c r="O923" s="2">
        <v>0.49722222222222223</v>
      </c>
      <c r="P923">
        <f>0.0008906498*3600</f>
        <v>3.2063392799999999</v>
      </c>
      <c r="Q923">
        <f>0.0028645913*3600</f>
        <v>10.312528680000002</v>
      </c>
    </row>
    <row r="924" spans="1:17" x14ac:dyDescent="0.3">
      <c r="A924" s="4" t="s">
        <v>47</v>
      </c>
      <c r="B924" s="6" t="s">
        <v>530</v>
      </c>
      <c r="C924">
        <v>299.12448999999998</v>
      </c>
      <c r="D924">
        <v>291.19371699999999</v>
      </c>
      <c r="E924">
        <v>1</v>
      </c>
      <c r="F924">
        <v>1</v>
      </c>
      <c r="G924">
        <v>0.26100000000000001</v>
      </c>
      <c r="H924">
        <v>0</v>
      </c>
      <c r="I924" t="s">
        <v>0</v>
      </c>
      <c r="J924" t="s">
        <v>59</v>
      </c>
      <c r="K924">
        <v>0</v>
      </c>
      <c r="L924" t="s">
        <v>60</v>
      </c>
      <c r="M924">
        <v>1</v>
      </c>
      <c r="N924" t="s">
        <v>67</v>
      </c>
      <c r="O924" s="2">
        <v>0.49722222222222223</v>
      </c>
      <c r="P924">
        <f>0.0008728297*3600</f>
        <v>3.1421869199999999</v>
      </c>
      <c r="Q924">
        <f>0.002837134*3600</f>
        <v>10.2136824</v>
      </c>
    </row>
    <row r="925" spans="1:17" x14ac:dyDescent="0.3">
      <c r="A925" s="4" t="s">
        <v>47</v>
      </c>
      <c r="B925" s="6" t="s">
        <v>531</v>
      </c>
      <c r="C925">
        <v>299.12346600000001</v>
      </c>
      <c r="D925">
        <v>291.19374800000003</v>
      </c>
      <c r="E925">
        <v>1</v>
      </c>
      <c r="F925">
        <v>1</v>
      </c>
      <c r="G925">
        <v>0.26100000000000001</v>
      </c>
      <c r="H925">
        <v>0</v>
      </c>
      <c r="I925" t="s">
        <v>0</v>
      </c>
      <c r="J925" t="s">
        <v>59</v>
      </c>
      <c r="K925">
        <v>0</v>
      </c>
      <c r="L925" t="s">
        <v>60</v>
      </c>
      <c r="M925">
        <v>1</v>
      </c>
      <c r="N925" t="s">
        <v>67</v>
      </c>
      <c r="O925" s="2">
        <v>0.49722222222222223</v>
      </c>
      <c r="P925">
        <f>0.0008348007*3600</f>
        <v>3.0052825200000002</v>
      </c>
      <c r="Q925">
        <f>0.0028493263*3600</f>
        <v>10.257574679999999</v>
      </c>
    </row>
    <row r="926" spans="1:17" x14ac:dyDescent="0.3">
      <c r="A926" s="4" t="s">
        <v>47</v>
      </c>
      <c r="B926" s="6" t="s">
        <v>532</v>
      </c>
      <c r="C926">
        <v>299.12338399999999</v>
      </c>
      <c r="D926">
        <v>291.193803</v>
      </c>
      <c r="E926">
        <v>1</v>
      </c>
      <c r="F926">
        <v>1</v>
      </c>
      <c r="G926">
        <v>0.26100000000000001</v>
      </c>
      <c r="H926">
        <v>0</v>
      </c>
      <c r="I926" t="s">
        <v>0</v>
      </c>
      <c r="J926" t="s">
        <v>59</v>
      </c>
      <c r="K926">
        <v>0</v>
      </c>
      <c r="L926" t="s">
        <v>60</v>
      </c>
      <c r="M926">
        <v>1</v>
      </c>
      <c r="N926" t="s">
        <v>67</v>
      </c>
      <c r="O926" s="2">
        <v>0.49722222222222223</v>
      </c>
      <c r="P926">
        <f>0.0008852344*3600</f>
        <v>3.1868438399999999</v>
      </c>
      <c r="Q926">
        <f>0.0029270372*3600</f>
        <v>10.53733392</v>
      </c>
    </row>
    <row r="927" spans="1:17" x14ac:dyDescent="0.3">
      <c r="A927" s="4" t="s">
        <v>47</v>
      </c>
      <c r="B927" s="6" t="s">
        <v>533</v>
      </c>
      <c r="C927">
        <v>299.12343900000002</v>
      </c>
      <c r="D927">
        <v>291.19378899999998</v>
      </c>
      <c r="E927">
        <v>1</v>
      </c>
      <c r="F927">
        <v>1</v>
      </c>
      <c r="G927">
        <v>0.26100000000000001</v>
      </c>
      <c r="H927">
        <v>0</v>
      </c>
      <c r="I927" t="s">
        <v>0</v>
      </c>
      <c r="J927" t="s">
        <v>59</v>
      </c>
      <c r="K927">
        <v>0</v>
      </c>
      <c r="L927" t="s">
        <v>60</v>
      </c>
      <c r="M927">
        <v>1</v>
      </c>
      <c r="N927" t="s">
        <v>67</v>
      </c>
      <c r="O927" s="2">
        <v>0.49722222222222223</v>
      </c>
      <c r="P927">
        <f>0.0009206632*3600</f>
        <v>3.3143875199999999</v>
      </c>
      <c r="Q927">
        <f>0.0028947375*3600</f>
        <v>10.421054999999999</v>
      </c>
    </row>
    <row r="928" spans="1:17" x14ac:dyDescent="0.3">
      <c r="A928" s="4" t="s">
        <v>47</v>
      </c>
      <c r="B928" s="6" t="s">
        <v>534</v>
      </c>
      <c r="C928">
        <v>299.12344200000001</v>
      </c>
      <c r="D928">
        <v>291.19379500000002</v>
      </c>
      <c r="E928">
        <v>1</v>
      </c>
      <c r="F928">
        <v>1</v>
      </c>
      <c r="G928">
        <v>0.26100000000000001</v>
      </c>
      <c r="H928">
        <v>0</v>
      </c>
      <c r="I928" t="s">
        <v>0</v>
      </c>
      <c r="J928" t="s">
        <v>59</v>
      </c>
      <c r="K928">
        <v>0</v>
      </c>
      <c r="L928" t="s">
        <v>60</v>
      </c>
      <c r="M928">
        <v>1</v>
      </c>
      <c r="N928" t="s">
        <v>67</v>
      </c>
      <c r="O928" s="2">
        <v>0.49722222222222223</v>
      </c>
      <c r="P928">
        <f>0.00097533*3600</f>
        <v>3.5111879999999998</v>
      </c>
      <c r="Q928">
        <f>0.0029031491*3600</f>
        <v>10.45133676</v>
      </c>
    </row>
    <row r="929" spans="1:17" x14ac:dyDescent="0.3">
      <c r="A929" s="4" t="s">
        <v>47</v>
      </c>
      <c r="B929" s="6" t="s">
        <v>535</v>
      </c>
      <c r="C929">
        <v>299.12417499999998</v>
      </c>
      <c r="D929">
        <v>291.19385999999997</v>
      </c>
      <c r="E929">
        <v>1</v>
      </c>
      <c r="F929">
        <v>1</v>
      </c>
      <c r="G929">
        <v>0.26100000000000001</v>
      </c>
      <c r="H929">
        <v>0</v>
      </c>
      <c r="I929" t="s">
        <v>0</v>
      </c>
      <c r="J929" t="s">
        <v>59</v>
      </c>
      <c r="K929">
        <v>0</v>
      </c>
      <c r="L929" t="s">
        <v>60</v>
      </c>
      <c r="M929">
        <v>1</v>
      </c>
      <c r="N929" t="s">
        <v>67</v>
      </c>
      <c r="O929" s="2">
        <v>0.49722222222222223</v>
      </c>
      <c r="P929">
        <f>0.0009248985*3600</f>
        <v>3.3296345999999999</v>
      </c>
      <c r="Q929">
        <f>0.0029443623*3600</f>
        <v>10.599704279999999</v>
      </c>
    </row>
    <row r="930" spans="1:17" x14ac:dyDescent="0.3">
      <c r="A930" s="4" t="s">
        <v>47</v>
      </c>
      <c r="B930" s="6" t="s">
        <v>536</v>
      </c>
      <c r="C930">
        <v>299.12444199999999</v>
      </c>
      <c r="D930">
        <v>291.19385599999998</v>
      </c>
      <c r="E930">
        <v>1</v>
      </c>
      <c r="F930">
        <v>1</v>
      </c>
      <c r="G930">
        <v>0.26100000000000001</v>
      </c>
      <c r="H930">
        <v>0</v>
      </c>
      <c r="I930" t="s">
        <v>0</v>
      </c>
      <c r="J930" t="s">
        <v>59</v>
      </c>
      <c r="K930">
        <v>0</v>
      </c>
      <c r="L930" t="s">
        <v>60</v>
      </c>
      <c r="M930">
        <v>1</v>
      </c>
      <c r="N930" t="s">
        <v>67</v>
      </c>
      <c r="O930" s="2">
        <v>0.49722222222222223</v>
      </c>
      <c r="P930">
        <f>0.0010019638*3600</f>
        <v>3.6070696800000004</v>
      </c>
      <c r="Q930">
        <f>0.0029754202*3600</f>
        <v>10.71151272</v>
      </c>
    </row>
    <row r="931" spans="1:17" x14ac:dyDescent="0.3">
      <c r="A931" s="4" t="s">
        <v>47</v>
      </c>
      <c r="B931" s="6" t="s">
        <v>537</v>
      </c>
      <c r="C931">
        <v>299.12316499999997</v>
      </c>
      <c r="D931">
        <v>291.19386800000001</v>
      </c>
      <c r="E931">
        <v>1</v>
      </c>
      <c r="F931">
        <v>1</v>
      </c>
      <c r="G931">
        <v>0.26100000000000001</v>
      </c>
      <c r="H931">
        <v>0</v>
      </c>
      <c r="I931" t="s">
        <v>0</v>
      </c>
      <c r="J931" t="s">
        <v>59</v>
      </c>
      <c r="K931">
        <v>0</v>
      </c>
      <c r="L931" t="s">
        <v>60</v>
      </c>
      <c r="M931">
        <v>1</v>
      </c>
      <c r="N931" t="s">
        <v>67</v>
      </c>
      <c r="O931" s="2">
        <v>0.49722222222222223</v>
      </c>
      <c r="P931">
        <f>0.0009550596*3600</f>
        <v>3.43821456</v>
      </c>
      <c r="Q931">
        <f>0.0029787046*3600</f>
        <v>10.72333656</v>
      </c>
    </row>
    <row r="932" spans="1:17" x14ac:dyDescent="0.3">
      <c r="A932" s="4" t="s">
        <v>47</v>
      </c>
      <c r="B932" s="6" t="s">
        <v>538</v>
      </c>
      <c r="C932">
        <v>299.12314099999998</v>
      </c>
      <c r="D932">
        <v>291.19375200000002</v>
      </c>
      <c r="E932">
        <v>1</v>
      </c>
      <c r="F932">
        <v>1</v>
      </c>
      <c r="G932">
        <v>0.26100000000000001</v>
      </c>
      <c r="H932">
        <v>0</v>
      </c>
      <c r="I932" t="s">
        <v>0</v>
      </c>
      <c r="J932" t="s">
        <v>59</v>
      </c>
      <c r="K932">
        <v>0</v>
      </c>
      <c r="L932" t="s">
        <v>60</v>
      </c>
      <c r="M932">
        <v>1</v>
      </c>
      <c r="N932" t="s">
        <v>67</v>
      </c>
      <c r="O932" s="2">
        <v>0.49722222222222223</v>
      </c>
      <c r="P932">
        <f>0.0009696901*3600</f>
        <v>3.4908843599999999</v>
      </c>
      <c r="Q932">
        <f>0.002851305*3600</f>
        <v>10.264698000000001</v>
      </c>
    </row>
    <row r="933" spans="1:17" x14ac:dyDescent="0.3">
      <c r="A933" s="4" t="s">
        <v>47</v>
      </c>
      <c r="B933" s="6" t="s">
        <v>539</v>
      </c>
      <c r="C933">
        <v>299.12364700000001</v>
      </c>
      <c r="D933">
        <v>291.19379199999997</v>
      </c>
      <c r="E933">
        <v>1</v>
      </c>
      <c r="F933">
        <v>1</v>
      </c>
      <c r="G933">
        <v>0.26100000000000001</v>
      </c>
      <c r="H933">
        <v>0</v>
      </c>
      <c r="I933" t="s">
        <v>0</v>
      </c>
      <c r="J933" t="s">
        <v>59</v>
      </c>
      <c r="K933">
        <v>0</v>
      </c>
      <c r="L933" t="s">
        <v>60</v>
      </c>
      <c r="M933">
        <v>1</v>
      </c>
      <c r="N933" t="s">
        <v>67</v>
      </c>
      <c r="O933" s="2">
        <v>0.49722222222222223</v>
      </c>
      <c r="P933">
        <f>0.0008118537*3600</f>
        <v>2.9226733199999999</v>
      </c>
      <c r="Q933">
        <f>0.002882923*3600</f>
        <v>10.378522799999999</v>
      </c>
    </row>
    <row r="934" spans="1:17" x14ac:dyDescent="0.3">
      <c r="A934" s="4" t="s">
        <v>47</v>
      </c>
      <c r="B934" s="6" t="s">
        <v>540</v>
      </c>
      <c r="C934">
        <v>299.12364300000002</v>
      </c>
      <c r="D934">
        <v>291.19375100000002</v>
      </c>
      <c r="E934">
        <v>1</v>
      </c>
      <c r="F934">
        <v>1</v>
      </c>
      <c r="G934">
        <v>0.26100000000000001</v>
      </c>
      <c r="H934">
        <v>0</v>
      </c>
      <c r="I934" t="s">
        <v>0</v>
      </c>
      <c r="J934" t="s">
        <v>59</v>
      </c>
      <c r="K934">
        <v>0</v>
      </c>
      <c r="L934" t="s">
        <v>60</v>
      </c>
      <c r="M934">
        <v>1</v>
      </c>
      <c r="N934" t="s">
        <v>67</v>
      </c>
      <c r="O934" s="2">
        <v>0.49722222222222223</v>
      </c>
      <c r="P934">
        <f>0.0009279204*3600</f>
        <v>3.3405134400000001</v>
      </c>
      <c r="Q934">
        <f>0.0028580823*3600</f>
        <v>10.289096280000001</v>
      </c>
    </row>
    <row r="935" spans="1:17" x14ac:dyDescent="0.3">
      <c r="A935" s="4" t="s">
        <v>47</v>
      </c>
      <c r="B935" s="6" t="s">
        <v>541</v>
      </c>
      <c r="C935">
        <v>299.123783</v>
      </c>
      <c r="D935">
        <v>291.19379600000002</v>
      </c>
      <c r="E935">
        <v>1</v>
      </c>
      <c r="F935">
        <v>1</v>
      </c>
      <c r="G935">
        <v>0.26100000000000001</v>
      </c>
      <c r="H935">
        <v>0</v>
      </c>
      <c r="I935" t="s">
        <v>0</v>
      </c>
      <c r="J935" t="s">
        <v>59</v>
      </c>
      <c r="K935">
        <v>0</v>
      </c>
      <c r="L935" t="s">
        <v>60</v>
      </c>
      <c r="M935">
        <v>1</v>
      </c>
      <c r="N935" t="s">
        <v>67</v>
      </c>
      <c r="O935" s="2">
        <v>0.49722222222222223</v>
      </c>
      <c r="P935">
        <f>0.0009166513*3600</f>
        <v>3.2999446799999999</v>
      </c>
      <c r="Q935">
        <f>0.0028965802*3600</f>
        <v>10.427688719999999</v>
      </c>
    </row>
    <row r="936" spans="1:17" x14ac:dyDescent="0.3">
      <c r="A936" s="4" t="s">
        <v>47</v>
      </c>
      <c r="B936" s="6" t="s">
        <v>542</v>
      </c>
      <c r="C936">
        <v>299.12337400000001</v>
      </c>
      <c r="D936">
        <v>291.19377900000001</v>
      </c>
      <c r="E936">
        <v>1</v>
      </c>
      <c r="F936">
        <v>1</v>
      </c>
      <c r="G936">
        <v>0.26100000000000001</v>
      </c>
      <c r="H936">
        <v>0</v>
      </c>
      <c r="I936" t="s">
        <v>0</v>
      </c>
      <c r="J936" t="s">
        <v>59</v>
      </c>
      <c r="K936">
        <v>0</v>
      </c>
      <c r="L936" t="s">
        <v>60</v>
      </c>
      <c r="M936">
        <v>1</v>
      </c>
      <c r="N936" t="s">
        <v>67</v>
      </c>
      <c r="O936" s="2">
        <v>0.49722222222222223</v>
      </c>
      <c r="P936">
        <f>0.0009547616*3600</f>
        <v>3.4371417600000003</v>
      </c>
      <c r="Q936">
        <f>0.0028640182*3600</f>
        <v>10.310465519999999</v>
      </c>
    </row>
    <row r="937" spans="1:17" x14ac:dyDescent="0.3">
      <c r="A937" s="4" t="s">
        <v>47</v>
      </c>
      <c r="B937" s="6" t="s">
        <v>543</v>
      </c>
      <c r="C937">
        <v>299.123313</v>
      </c>
      <c r="D937">
        <v>291.193828</v>
      </c>
      <c r="E937">
        <v>1</v>
      </c>
      <c r="F937">
        <v>1</v>
      </c>
      <c r="G937">
        <v>0.26100000000000001</v>
      </c>
      <c r="H937">
        <v>0</v>
      </c>
      <c r="I937" t="s">
        <v>0</v>
      </c>
      <c r="J937" t="s">
        <v>59</v>
      </c>
      <c r="K937">
        <v>0</v>
      </c>
      <c r="L937" t="s">
        <v>60</v>
      </c>
      <c r="M937">
        <v>1</v>
      </c>
      <c r="N937" t="s">
        <v>67</v>
      </c>
      <c r="O937" s="2">
        <v>0.49722222222222223</v>
      </c>
      <c r="P937">
        <f>0.0009620417*3600</f>
        <v>3.4633501199999999</v>
      </c>
      <c r="Q937">
        <f>0.0029057985*3600</f>
        <v>10.4608746</v>
      </c>
    </row>
    <row r="938" spans="1:17" x14ac:dyDescent="0.3">
      <c r="A938" s="4" t="s">
        <v>47</v>
      </c>
      <c r="B938" s="6" t="s">
        <v>544</v>
      </c>
      <c r="C938">
        <v>299.12348100000003</v>
      </c>
      <c r="D938">
        <v>291.19382200000001</v>
      </c>
      <c r="E938">
        <v>1</v>
      </c>
      <c r="F938">
        <v>1</v>
      </c>
      <c r="G938">
        <v>0.26100000000000001</v>
      </c>
      <c r="H938">
        <v>0</v>
      </c>
      <c r="I938" t="s">
        <v>0</v>
      </c>
      <c r="J938" t="s">
        <v>59</v>
      </c>
      <c r="K938">
        <v>0</v>
      </c>
      <c r="L938" t="s">
        <v>60</v>
      </c>
      <c r="M938">
        <v>1</v>
      </c>
      <c r="N938" t="s">
        <v>67</v>
      </c>
      <c r="O938" s="2">
        <v>0.49722222222222223</v>
      </c>
      <c r="P938">
        <f>0.0008995168*3600</f>
        <v>3.2382604800000001</v>
      </c>
      <c r="Q938">
        <f>0.002919892*3600</f>
        <v>10.511611199999999</v>
      </c>
    </row>
    <row r="939" spans="1:17" x14ac:dyDescent="0.3">
      <c r="A939" s="4" t="s">
        <v>47</v>
      </c>
      <c r="B939" s="6" t="s">
        <v>545</v>
      </c>
      <c r="C939">
        <v>299.123313</v>
      </c>
      <c r="D939">
        <v>291.19375500000001</v>
      </c>
      <c r="E939">
        <v>1</v>
      </c>
      <c r="F939">
        <v>1</v>
      </c>
      <c r="G939">
        <v>0.26100000000000001</v>
      </c>
      <c r="H939">
        <v>0</v>
      </c>
      <c r="I939" t="s">
        <v>0</v>
      </c>
      <c r="J939" t="s">
        <v>59</v>
      </c>
      <c r="K939">
        <v>0</v>
      </c>
      <c r="L939" t="s">
        <v>60</v>
      </c>
      <c r="M939">
        <v>1</v>
      </c>
      <c r="N939" t="s">
        <v>67</v>
      </c>
      <c r="O939" s="2">
        <v>0.49722222222222223</v>
      </c>
      <c r="P939">
        <f>0.0009627323*3600</f>
        <v>3.46583628</v>
      </c>
      <c r="Q939">
        <f>0.0028504612*3600</f>
        <v>10.261660319999999</v>
      </c>
    </row>
    <row r="940" spans="1:17" x14ac:dyDescent="0.3">
      <c r="A940" s="4" t="s">
        <v>47</v>
      </c>
      <c r="B940" s="6" t="s">
        <v>546</v>
      </c>
      <c r="C940">
        <v>299.12448499999999</v>
      </c>
      <c r="D940">
        <v>291.19384100000002</v>
      </c>
      <c r="E940">
        <v>1</v>
      </c>
      <c r="F940">
        <v>1</v>
      </c>
      <c r="G940">
        <v>0.26100000000000001</v>
      </c>
      <c r="H940">
        <v>0</v>
      </c>
      <c r="I940" t="s">
        <v>0</v>
      </c>
      <c r="J940" t="s">
        <v>59</v>
      </c>
      <c r="K940">
        <v>0</v>
      </c>
      <c r="L940" t="s">
        <v>60</v>
      </c>
      <c r="M940">
        <v>1</v>
      </c>
      <c r="N940" t="s">
        <v>67</v>
      </c>
      <c r="O940" s="2">
        <v>0.49722222222222223</v>
      </c>
      <c r="P940">
        <f>0.0009459136*3600</f>
        <v>3.40528896</v>
      </c>
      <c r="Q940">
        <f>0.0029394335*3600</f>
        <v>10.5819606</v>
      </c>
    </row>
    <row r="941" spans="1:17" x14ac:dyDescent="0.3">
      <c r="A941" s="4" t="s">
        <v>47</v>
      </c>
      <c r="B941" s="6" t="s">
        <v>547</v>
      </c>
      <c r="C941">
        <v>299.12402300000002</v>
      </c>
      <c r="D941">
        <v>291.19379099999998</v>
      </c>
      <c r="E941">
        <v>1</v>
      </c>
      <c r="F941">
        <v>1</v>
      </c>
      <c r="G941">
        <v>0.26100000000000001</v>
      </c>
      <c r="H941">
        <v>0</v>
      </c>
      <c r="I941" t="s">
        <v>0</v>
      </c>
      <c r="J941" t="s">
        <v>59</v>
      </c>
      <c r="K941">
        <v>0</v>
      </c>
      <c r="L941" t="s">
        <v>60</v>
      </c>
      <c r="M941">
        <v>1</v>
      </c>
      <c r="N941" t="s">
        <v>67</v>
      </c>
      <c r="O941" s="2">
        <v>0.49722222222222223</v>
      </c>
      <c r="P941">
        <f>0.0009555144*3600</f>
        <v>3.4398518400000002</v>
      </c>
      <c r="Q941">
        <f>0.00289605*3600</f>
        <v>10.42578</v>
      </c>
    </row>
    <row r="942" spans="1:17" x14ac:dyDescent="0.3">
      <c r="A942" s="4" t="s">
        <v>47</v>
      </c>
      <c r="B942" s="6" t="s">
        <v>548</v>
      </c>
      <c r="C942">
        <v>299.123717</v>
      </c>
      <c r="D942">
        <v>291.19377100000003</v>
      </c>
      <c r="E942">
        <v>1</v>
      </c>
      <c r="F942">
        <v>1</v>
      </c>
      <c r="G942">
        <v>0.26100000000000001</v>
      </c>
      <c r="H942">
        <v>0</v>
      </c>
      <c r="I942" t="s">
        <v>0</v>
      </c>
      <c r="J942" t="s">
        <v>59</v>
      </c>
      <c r="K942">
        <v>0</v>
      </c>
      <c r="L942" t="s">
        <v>60</v>
      </c>
      <c r="M942">
        <v>1</v>
      </c>
      <c r="N942" t="s">
        <v>67</v>
      </c>
      <c r="O942" s="2">
        <v>0.49722222222222223</v>
      </c>
      <c r="P942">
        <f>0.000961077*3600</f>
        <v>3.4598771999999998</v>
      </c>
      <c r="Q942">
        <f>0.0028593405*3600</f>
        <v>10.293625799999999</v>
      </c>
    </row>
    <row r="943" spans="1:17" x14ac:dyDescent="0.3">
      <c r="A943" s="4" t="s">
        <v>47</v>
      </c>
      <c r="B943" s="6" t="s">
        <v>549</v>
      </c>
      <c r="C943">
        <v>299.12351000000001</v>
      </c>
      <c r="D943">
        <v>291.19368800000001</v>
      </c>
      <c r="E943">
        <v>1</v>
      </c>
      <c r="F943">
        <v>1</v>
      </c>
      <c r="G943">
        <v>0.26100000000000001</v>
      </c>
      <c r="H943">
        <v>0</v>
      </c>
      <c r="I943" t="s">
        <v>0</v>
      </c>
      <c r="J943" t="s">
        <v>59</v>
      </c>
      <c r="K943">
        <v>0</v>
      </c>
      <c r="L943" t="s">
        <v>60</v>
      </c>
      <c r="M943">
        <v>1</v>
      </c>
      <c r="N943" t="s">
        <v>67</v>
      </c>
      <c r="O943" s="2">
        <v>0.49722222222222223</v>
      </c>
      <c r="P943">
        <f>0.0009503872*3600</f>
        <v>3.4213939199999999</v>
      </c>
      <c r="Q943">
        <f>0.0027765646*3600</f>
        <v>9.9956325599999989</v>
      </c>
    </row>
    <row r="944" spans="1:17" x14ac:dyDescent="0.3">
      <c r="A944" s="4" t="s">
        <v>47</v>
      </c>
      <c r="B944" s="6" t="s">
        <v>550</v>
      </c>
      <c r="C944">
        <v>299.12356999999997</v>
      </c>
      <c r="D944">
        <v>291.19378399999999</v>
      </c>
      <c r="E944">
        <v>1</v>
      </c>
      <c r="F944">
        <v>1</v>
      </c>
      <c r="G944">
        <v>0.26100000000000001</v>
      </c>
      <c r="H944">
        <v>0</v>
      </c>
      <c r="I944" t="s">
        <v>0</v>
      </c>
      <c r="J944" t="s">
        <v>59</v>
      </c>
      <c r="K944">
        <v>0</v>
      </c>
      <c r="L944" t="s">
        <v>60</v>
      </c>
      <c r="M944">
        <v>1</v>
      </c>
      <c r="N944" t="s">
        <v>67</v>
      </c>
      <c r="O944" s="2">
        <v>0.49722222222222223</v>
      </c>
      <c r="P944">
        <f>0.0008826087*3600</f>
        <v>3.1773913199999999</v>
      </c>
      <c r="Q944">
        <f>0.0028721948*3600</f>
        <v>10.339901279999999</v>
      </c>
    </row>
    <row r="945" spans="1:17" x14ac:dyDescent="0.3">
      <c r="A945" s="4" t="s">
        <v>47</v>
      </c>
      <c r="B945" s="6" t="s">
        <v>551</v>
      </c>
      <c r="C945">
        <v>299.12333100000001</v>
      </c>
      <c r="D945">
        <v>291.19369799999998</v>
      </c>
      <c r="E945">
        <v>1</v>
      </c>
      <c r="F945">
        <v>1</v>
      </c>
      <c r="G945">
        <v>0.26100000000000001</v>
      </c>
      <c r="H945">
        <v>0</v>
      </c>
      <c r="I945" t="s">
        <v>0</v>
      </c>
      <c r="J945" t="s">
        <v>59</v>
      </c>
      <c r="K945">
        <v>0</v>
      </c>
      <c r="L945" t="s">
        <v>60</v>
      </c>
      <c r="M945">
        <v>1</v>
      </c>
      <c r="N945" t="s">
        <v>67</v>
      </c>
      <c r="O945" s="2">
        <v>0.49722222222222223</v>
      </c>
      <c r="P945">
        <f>0.0009104817*3600</f>
        <v>3.2777341199999999</v>
      </c>
      <c r="Q945">
        <f>0.0028136892*3600</f>
        <v>10.12928112</v>
      </c>
    </row>
    <row r="946" spans="1:17" x14ac:dyDescent="0.3">
      <c r="A946" s="4" t="s">
        <v>47</v>
      </c>
      <c r="B946" s="6" t="s">
        <v>552</v>
      </c>
      <c r="C946">
        <v>299.123606</v>
      </c>
      <c r="D946">
        <v>291.193803</v>
      </c>
      <c r="E946">
        <v>1</v>
      </c>
      <c r="F946">
        <v>1</v>
      </c>
      <c r="G946">
        <v>0.26100000000000001</v>
      </c>
      <c r="H946">
        <v>0</v>
      </c>
      <c r="I946" t="s">
        <v>0</v>
      </c>
      <c r="J946" t="s">
        <v>59</v>
      </c>
      <c r="K946">
        <v>0</v>
      </c>
      <c r="L946" t="s">
        <v>60</v>
      </c>
      <c r="M946">
        <v>1</v>
      </c>
      <c r="N946" t="s">
        <v>67</v>
      </c>
      <c r="O946" s="2">
        <v>0.49722222222222223</v>
      </c>
      <c r="P946">
        <f>0.0009279575*3600</f>
        <v>3.3406470000000001</v>
      </c>
      <c r="Q946">
        <f>0.0028973201*3600</f>
        <v>10.430352360000001</v>
      </c>
    </row>
    <row r="947" spans="1:17" x14ac:dyDescent="0.3">
      <c r="A947" s="4" t="s">
        <v>47</v>
      </c>
      <c r="B947" s="6" t="s">
        <v>553</v>
      </c>
      <c r="C947">
        <v>299.123268</v>
      </c>
      <c r="D947">
        <v>291.19374800000003</v>
      </c>
      <c r="E947">
        <v>1</v>
      </c>
      <c r="F947">
        <v>1</v>
      </c>
      <c r="G947">
        <v>0.26100000000000001</v>
      </c>
      <c r="H947">
        <v>0</v>
      </c>
      <c r="I947" t="s">
        <v>0</v>
      </c>
      <c r="J947" t="s">
        <v>59</v>
      </c>
      <c r="K947">
        <v>0</v>
      </c>
      <c r="L947" t="s">
        <v>60</v>
      </c>
      <c r="M947">
        <v>1</v>
      </c>
      <c r="N947" t="s">
        <v>67</v>
      </c>
      <c r="O947" s="2">
        <v>0.49722222222222223</v>
      </c>
      <c r="P947">
        <f>0.0008893902*3600</f>
        <v>3.2018047199999997</v>
      </c>
      <c r="Q947">
        <f>0.0028523469*3600</f>
        <v>10.26844884</v>
      </c>
    </row>
    <row r="948" spans="1:17" x14ac:dyDescent="0.3">
      <c r="A948" s="4" t="s">
        <v>47</v>
      </c>
      <c r="B948" s="6" t="s">
        <v>554</v>
      </c>
      <c r="C948">
        <v>299.12342599999999</v>
      </c>
      <c r="D948">
        <v>291.19377700000001</v>
      </c>
      <c r="E948">
        <v>1</v>
      </c>
      <c r="F948">
        <v>1</v>
      </c>
      <c r="G948">
        <v>0.26100000000000001</v>
      </c>
      <c r="H948">
        <v>0</v>
      </c>
      <c r="I948" t="s">
        <v>0</v>
      </c>
      <c r="J948" t="s">
        <v>59</v>
      </c>
      <c r="K948">
        <v>0</v>
      </c>
      <c r="L948" t="s">
        <v>60</v>
      </c>
      <c r="M948">
        <v>1</v>
      </c>
      <c r="N948" t="s">
        <v>67</v>
      </c>
      <c r="O948" s="2">
        <v>0.49722222222222223</v>
      </c>
      <c r="P948">
        <f>0.0008101474*3600</f>
        <v>2.91653064</v>
      </c>
      <c r="Q948">
        <f>0.0028621414*3600</f>
        <v>10.303709039999999</v>
      </c>
    </row>
    <row r="949" spans="1:17" x14ac:dyDescent="0.3">
      <c r="A949" s="4" t="s">
        <v>47</v>
      </c>
      <c r="B949" s="6" t="s">
        <v>555</v>
      </c>
      <c r="C949">
        <v>299.12372399999998</v>
      </c>
      <c r="D949">
        <v>291.19380899999999</v>
      </c>
      <c r="E949">
        <v>1</v>
      </c>
      <c r="F949">
        <v>1</v>
      </c>
      <c r="G949">
        <v>0.26100000000000001</v>
      </c>
      <c r="H949">
        <v>0</v>
      </c>
      <c r="I949" t="s">
        <v>0</v>
      </c>
      <c r="J949" t="s">
        <v>59</v>
      </c>
      <c r="K949">
        <v>0</v>
      </c>
      <c r="L949" t="s">
        <v>60</v>
      </c>
      <c r="M949">
        <v>1</v>
      </c>
      <c r="N949" t="s">
        <v>67</v>
      </c>
      <c r="O949" s="2">
        <v>0.49722222222222223</v>
      </c>
      <c r="P949">
        <f>0.0009114955*3600</f>
        <v>3.2813838</v>
      </c>
      <c r="Q949">
        <f>0.0028890903*3600</f>
        <v>10.400725080000001</v>
      </c>
    </row>
    <row r="950" spans="1:17" x14ac:dyDescent="0.3">
      <c r="A950" s="4" t="s">
        <v>47</v>
      </c>
      <c r="B950" s="6" t="s">
        <v>556</v>
      </c>
      <c r="C950">
        <v>299.12340699999999</v>
      </c>
      <c r="D950">
        <v>291.19380799999999</v>
      </c>
      <c r="E950">
        <v>1</v>
      </c>
      <c r="F950">
        <v>1</v>
      </c>
      <c r="G950">
        <v>0.26100000000000001</v>
      </c>
      <c r="H950">
        <v>0</v>
      </c>
      <c r="I950" t="s">
        <v>0</v>
      </c>
      <c r="J950" t="s">
        <v>59</v>
      </c>
      <c r="K950">
        <v>0</v>
      </c>
      <c r="L950" t="s">
        <v>60</v>
      </c>
      <c r="M950">
        <v>1</v>
      </c>
      <c r="N950" t="s">
        <v>67</v>
      </c>
      <c r="O950" s="2">
        <v>0.49722222222222223</v>
      </c>
      <c r="P950">
        <f>0.0008900597*3600</f>
        <v>3.2042149200000001</v>
      </c>
      <c r="Q950">
        <f>0.0029065898*3600</f>
        <v>10.46372328</v>
      </c>
    </row>
    <row r="951" spans="1:17" x14ac:dyDescent="0.3">
      <c r="A951" s="4" t="s">
        <v>47</v>
      </c>
      <c r="B951" s="6" t="s">
        <v>557</v>
      </c>
      <c r="C951">
        <v>299.12366300000002</v>
      </c>
      <c r="D951">
        <v>291.19386900000001</v>
      </c>
      <c r="E951">
        <v>1</v>
      </c>
      <c r="F951">
        <v>1</v>
      </c>
      <c r="G951">
        <v>0.26100000000000001</v>
      </c>
      <c r="H951">
        <v>0</v>
      </c>
      <c r="I951" t="s">
        <v>0</v>
      </c>
      <c r="J951" t="s">
        <v>59</v>
      </c>
      <c r="K951">
        <v>0</v>
      </c>
      <c r="L951" t="s">
        <v>60</v>
      </c>
      <c r="M951">
        <v>1</v>
      </c>
      <c r="N951" t="s">
        <v>67</v>
      </c>
      <c r="O951" s="2">
        <v>0.49722222222222223</v>
      </c>
      <c r="P951">
        <f>0.0009101894*3600</f>
        <v>3.2766818399999997</v>
      </c>
      <c r="Q951">
        <f>0.0029468777*3600</f>
        <v>10.60875972</v>
      </c>
    </row>
    <row r="952" spans="1:17" x14ac:dyDescent="0.3">
      <c r="A952" s="4" t="s">
        <v>47</v>
      </c>
      <c r="B952" s="6" t="s">
        <v>558</v>
      </c>
      <c r="C952">
        <v>299.12373500000001</v>
      </c>
      <c r="D952">
        <v>291.19391200000001</v>
      </c>
      <c r="E952">
        <v>1</v>
      </c>
      <c r="F952">
        <v>1</v>
      </c>
      <c r="G952">
        <v>0.26100000000000001</v>
      </c>
      <c r="H952">
        <v>0</v>
      </c>
      <c r="I952" t="s">
        <v>0</v>
      </c>
      <c r="J952" t="s">
        <v>59</v>
      </c>
      <c r="K952">
        <v>0</v>
      </c>
      <c r="L952" t="s">
        <v>60</v>
      </c>
      <c r="M952">
        <v>1</v>
      </c>
      <c r="N952" t="s">
        <v>67</v>
      </c>
      <c r="O952" s="2">
        <v>0.49722222222222223</v>
      </c>
      <c r="P952">
        <f>0.0009260406*3600</f>
        <v>3.33374616</v>
      </c>
      <c r="Q952">
        <f>0.0030180987*3600</f>
        <v>10.865155320000001</v>
      </c>
    </row>
    <row r="953" spans="1:17" x14ac:dyDescent="0.3">
      <c r="A953" s="4" t="s">
        <v>47</v>
      </c>
      <c r="B953" s="6" t="s">
        <v>559</v>
      </c>
      <c r="C953">
        <v>299.12378999999999</v>
      </c>
      <c r="D953">
        <v>291.19395500000002</v>
      </c>
      <c r="E953">
        <v>1</v>
      </c>
      <c r="F953">
        <v>1</v>
      </c>
      <c r="G953">
        <v>0.26100000000000001</v>
      </c>
      <c r="H953">
        <v>0</v>
      </c>
      <c r="I953" t="s">
        <v>0</v>
      </c>
      <c r="J953" t="s">
        <v>59</v>
      </c>
      <c r="K953">
        <v>0</v>
      </c>
      <c r="L953" t="s">
        <v>60</v>
      </c>
      <c r="M953">
        <v>1</v>
      </c>
      <c r="N953" t="s">
        <v>67</v>
      </c>
      <c r="O953" s="2">
        <v>0.49722222222222223</v>
      </c>
      <c r="P953">
        <f>0.0009256254*3600</f>
        <v>3.3322514400000003</v>
      </c>
      <c r="Q953">
        <f>0.0030540917*3600</f>
        <v>10.99473012</v>
      </c>
    </row>
    <row r="954" spans="1:17" x14ac:dyDescent="0.3">
      <c r="A954" s="4" t="s">
        <v>47</v>
      </c>
      <c r="B954" s="6" t="s">
        <v>560</v>
      </c>
      <c r="C954">
        <v>299.12377199999997</v>
      </c>
      <c r="D954">
        <v>291.19386900000001</v>
      </c>
      <c r="E954">
        <v>1</v>
      </c>
      <c r="F954">
        <v>1</v>
      </c>
      <c r="G954">
        <v>0.26100000000000001</v>
      </c>
      <c r="H954">
        <v>0</v>
      </c>
      <c r="I954" t="s">
        <v>0</v>
      </c>
      <c r="J954" t="s">
        <v>59</v>
      </c>
      <c r="K954">
        <v>0</v>
      </c>
      <c r="L954" t="s">
        <v>60</v>
      </c>
      <c r="M954">
        <v>1</v>
      </c>
      <c r="N954" t="s">
        <v>67</v>
      </c>
      <c r="O954" s="2">
        <v>0.49722222222222223</v>
      </c>
      <c r="P954">
        <f>0.0009446511*3600</f>
        <v>3.4007439600000002</v>
      </c>
      <c r="Q954">
        <f>0.0029608252*3600</f>
        <v>10.658970719999999</v>
      </c>
    </row>
    <row r="955" spans="1:17" x14ac:dyDescent="0.3">
      <c r="A955" s="4" t="s">
        <v>47</v>
      </c>
      <c r="B955" s="6" t="s">
        <v>561</v>
      </c>
      <c r="C955">
        <v>299.12391400000001</v>
      </c>
      <c r="D955">
        <v>291.19387</v>
      </c>
      <c r="E955">
        <v>1</v>
      </c>
      <c r="F955">
        <v>1</v>
      </c>
      <c r="G955">
        <v>0.26100000000000001</v>
      </c>
      <c r="H955">
        <v>0</v>
      </c>
      <c r="I955" t="s">
        <v>0</v>
      </c>
      <c r="J955" t="s">
        <v>59</v>
      </c>
      <c r="K955">
        <v>0</v>
      </c>
      <c r="L955" t="s">
        <v>60</v>
      </c>
      <c r="M955">
        <v>1</v>
      </c>
      <c r="N955" t="s">
        <v>67</v>
      </c>
      <c r="O955" s="2">
        <v>0.49722222222222223</v>
      </c>
      <c r="P955">
        <f>0.0009639526*3600</f>
        <v>3.4702293599999998</v>
      </c>
      <c r="Q955">
        <f>0.0029402191*3600</f>
        <v>10.58478876</v>
      </c>
    </row>
    <row r="956" spans="1:17" x14ac:dyDescent="0.3">
      <c r="A956" s="4" t="s">
        <v>47</v>
      </c>
      <c r="B956" s="6" t="s">
        <v>562</v>
      </c>
      <c r="C956">
        <v>299.12357900000001</v>
      </c>
      <c r="D956">
        <v>291.19381099999998</v>
      </c>
      <c r="E956">
        <v>1</v>
      </c>
      <c r="F956">
        <v>1</v>
      </c>
      <c r="G956">
        <v>0.26100000000000001</v>
      </c>
      <c r="H956">
        <v>0</v>
      </c>
      <c r="I956" t="s">
        <v>0</v>
      </c>
      <c r="J956" t="s">
        <v>59</v>
      </c>
      <c r="K956">
        <v>0</v>
      </c>
      <c r="L956" t="s">
        <v>60</v>
      </c>
      <c r="M956">
        <v>1</v>
      </c>
      <c r="N956" t="s">
        <v>67</v>
      </c>
      <c r="O956" s="2">
        <v>0.49722222222222223</v>
      </c>
      <c r="P956">
        <f>0.000957731*3600</f>
        <v>3.4478315999999998</v>
      </c>
      <c r="Q956">
        <f>0.0028862606*3600</f>
        <v>10.39053816</v>
      </c>
    </row>
    <row r="957" spans="1:17" x14ac:dyDescent="0.3">
      <c r="A957" s="4" t="s">
        <v>47</v>
      </c>
      <c r="B957" s="6" t="s">
        <v>563</v>
      </c>
      <c r="C957">
        <v>299.12401199999999</v>
      </c>
      <c r="D957">
        <v>291.19388300000003</v>
      </c>
      <c r="E957">
        <v>1</v>
      </c>
      <c r="F957">
        <v>1</v>
      </c>
      <c r="G957">
        <v>0.26100000000000001</v>
      </c>
      <c r="H957">
        <v>0</v>
      </c>
      <c r="I957" t="s">
        <v>0</v>
      </c>
      <c r="J957" t="s">
        <v>59</v>
      </c>
      <c r="K957">
        <v>0</v>
      </c>
      <c r="L957" t="s">
        <v>60</v>
      </c>
      <c r="M957">
        <v>1</v>
      </c>
      <c r="N957" t="s">
        <v>67</v>
      </c>
      <c r="O957" s="2">
        <v>0.49722222222222223</v>
      </c>
      <c r="P957">
        <f>0.0009261254*3600</f>
        <v>3.3340514400000001</v>
      </c>
      <c r="Q957">
        <f>0.0029336344*3600</f>
        <v>10.56108384</v>
      </c>
    </row>
    <row r="958" spans="1:17" x14ac:dyDescent="0.3">
      <c r="A958" s="4" t="s">
        <v>47</v>
      </c>
      <c r="B958" s="6" t="s">
        <v>564</v>
      </c>
      <c r="C958">
        <v>299.12308000000002</v>
      </c>
      <c r="D958">
        <v>291.193714</v>
      </c>
      <c r="E958">
        <v>1</v>
      </c>
      <c r="F958">
        <v>1</v>
      </c>
      <c r="G958">
        <v>0.26100000000000001</v>
      </c>
      <c r="H958">
        <v>0</v>
      </c>
      <c r="I958" t="s">
        <v>0</v>
      </c>
      <c r="J958" t="s">
        <v>59</v>
      </c>
      <c r="K958">
        <v>0</v>
      </c>
      <c r="L958" t="s">
        <v>60</v>
      </c>
      <c r="M958">
        <v>1</v>
      </c>
      <c r="N958" t="s">
        <v>67</v>
      </c>
      <c r="O958" s="2">
        <v>0.49722222222222223</v>
      </c>
      <c r="P958">
        <f>0.0009527978*3600</f>
        <v>3.43007208</v>
      </c>
      <c r="Q958">
        <f>0.0027849536*3600</f>
        <v>10.025832959999999</v>
      </c>
    </row>
    <row r="959" spans="1:17" x14ac:dyDescent="0.3">
      <c r="A959" s="4" t="s">
        <v>47</v>
      </c>
      <c r="B959" s="6" t="s">
        <v>565</v>
      </c>
      <c r="C959">
        <v>299.12364400000001</v>
      </c>
      <c r="D959">
        <v>291.19383299999998</v>
      </c>
      <c r="E959">
        <v>1</v>
      </c>
      <c r="F959">
        <v>1</v>
      </c>
      <c r="G959">
        <v>0.26100000000000001</v>
      </c>
      <c r="H959">
        <v>0</v>
      </c>
      <c r="I959" t="s">
        <v>0</v>
      </c>
      <c r="J959" t="s">
        <v>59</v>
      </c>
      <c r="K959">
        <v>0</v>
      </c>
      <c r="L959" t="s">
        <v>60</v>
      </c>
      <c r="M959">
        <v>1</v>
      </c>
      <c r="N959" t="s">
        <v>67</v>
      </c>
      <c r="O959" s="2">
        <v>0.49722222222222223</v>
      </c>
      <c r="P959">
        <f>0.0009610129*3600</f>
        <v>3.4596464400000002</v>
      </c>
      <c r="Q959">
        <f>0.0029008519*3600</f>
        <v>10.44306684</v>
      </c>
    </row>
    <row r="960" spans="1:17" x14ac:dyDescent="0.3">
      <c r="A960" s="4" t="s">
        <v>47</v>
      </c>
      <c r="B960" s="6" t="s">
        <v>566</v>
      </c>
      <c r="C960">
        <v>299.12372099999999</v>
      </c>
      <c r="D960">
        <v>291.19390299999998</v>
      </c>
      <c r="E960">
        <v>1</v>
      </c>
      <c r="F960">
        <v>1</v>
      </c>
      <c r="G960">
        <v>0.26100000000000001</v>
      </c>
      <c r="H960">
        <v>0</v>
      </c>
      <c r="I960" t="s">
        <v>0</v>
      </c>
      <c r="J960" t="s">
        <v>59</v>
      </c>
      <c r="K960">
        <v>0</v>
      </c>
      <c r="L960" t="s">
        <v>60</v>
      </c>
      <c r="M960">
        <v>1</v>
      </c>
      <c r="N960" t="s">
        <v>67</v>
      </c>
      <c r="O960" s="2">
        <v>0.49722222222222223</v>
      </c>
      <c r="P960">
        <f>0.0009295457*3600</f>
        <v>3.3463645199999998</v>
      </c>
      <c r="Q960">
        <f>0.0029872241*3600</f>
        <v>10.754006760000001</v>
      </c>
    </row>
    <row r="961" spans="1:17" x14ac:dyDescent="0.3">
      <c r="A961" s="4" t="s">
        <v>47</v>
      </c>
      <c r="B961" s="6" t="s">
        <v>567</v>
      </c>
      <c r="C961">
        <v>299.12342599999999</v>
      </c>
      <c r="D961">
        <v>291.19398200000001</v>
      </c>
      <c r="E961">
        <v>1</v>
      </c>
      <c r="F961">
        <v>1</v>
      </c>
      <c r="G961">
        <v>0.26100000000000001</v>
      </c>
      <c r="H961">
        <v>0</v>
      </c>
      <c r="I961" t="s">
        <v>0</v>
      </c>
      <c r="J961" t="s">
        <v>59</v>
      </c>
      <c r="K961">
        <v>0</v>
      </c>
      <c r="L961" t="s">
        <v>60</v>
      </c>
      <c r="M961">
        <v>1</v>
      </c>
      <c r="N961" t="s">
        <v>67</v>
      </c>
      <c r="O961" s="2">
        <v>0.49722222222222223</v>
      </c>
      <c r="P961">
        <f>0.0009774056*3600</f>
        <v>3.51866016</v>
      </c>
      <c r="Q961">
        <f>0.0030527135*3600</f>
        <v>10.9897686</v>
      </c>
    </row>
    <row r="962" spans="1:17" x14ac:dyDescent="0.3">
      <c r="A962" s="4" t="s">
        <v>47</v>
      </c>
      <c r="B962" s="6" t="s">
        <v>568</v>
      </c>
      <c r="C962">
        <v>299.123358</v>
      </c>
      <c r="D962">
        <v>291.194007</v>
      </c>
      <c r="E962">
        <v>1</v>
      </c>
      <c r="F962">
        <v>1</v>
      </c>
      <c r="G962">
        <v>0.26100000000000001</v>
      </c>
      <c r="H962">
        <v>0</v>
      </c>
      <c r="I962" t="s">
        <v>0</v>
      </c>
      <c r="J962" t="s">
        <v>59</v>
      </c>
      <c r="K962">
        <v>0</v>
      </c>
      <c r="L962" t="s">
        <v>60</v>
      </c>
      <c r="M962">
        <v>1</v>
      </c>
      <c r="N962" t="s">
        <v>67</v>
      </c>
      <c r="O962" s="2">
        <v>0.49722222222222223</v>
      </c>
      <c r="P962">
        <f>0.0009406067*3600</f>
        <v>3.3861841199999998</v>
      </c>
      <c r="Q962">
        <f>0.0030660731*3600</f>
        <v>11.037863160000001</v>
      </c>
    </row>
    <row r="963" spans="1:17" x14ac:dyDescent="0.3">
      <c r="A963" s="4" t="s">
        <v>47</v>
      </c>
      <c r="B963" s="6" t="s">
        <v>569</v>
      </c>
      <c r="C963">
        <v>299.12423999999999</v>
      </c>
      <c r="D963">
        <v>291.19398999999999</v>
      </c>
      <c r="E963">
        <v>1</v>
      </c>
      <c r="F963">
        <v>1</v>
      </c>
      <c r="G963">
        <v>0.26100000000000001</v>
      </c>
      <c r="H963">
        <v>0</v>
      </c>
      <c r="I963" t="s">
        <v>0</v>
      </c>
      <c r="J963" t="s">
        <v>59</v>
      </c>
      <c r="K963">
        <v>0</v>
      </c>
      <c r="L963" t="s">
        <v>60</v>
      </c>
      <c r="M963">
        <v>1</v>
      </c>
      <c r="N963" t="s">
        <v>67</v>
      </c>
      <c r="O963" s="2">
        <v>0.49722222222222223</v>
      </c>
      <c r="P963">
        <f>0.0009969932*3600</f>
        <v>3.5891755199999995</v>
      </c>
      <c r="Q963">
        <f>0.003048473*3600</f>
        <v>10.9745028</v>
      </c>
    </row>
    <row r="964" spans="1:17" x14ac:dyDescent="0.3">
      <c r="A964" s="4" t="s">
        <v>47</v>
      </c>
      <c r="B964" s="5" t="s">
        <v>570</v>
      </c>
      <c r="C964">
        <v>98.825986</v>
      </c>
      <c r="D964">
        <v>104.96510499999999</v>
      </c>
      <c r="E964">
        <v>19.6633</v>
      </c>
      <c r="F964">
        <v>19.600100000000001</v>
      </c>
      <c r="G964">
        <v>0.26100000000000001</v>
      </c>
      <c r="H964">
        <v>0</v>
      </c>
      <c r="I964" t="s">
        <v>0</v>
      </c>
      <c r="J964" t="s">
        <v>59</v>
      </c>
      <c r="K964">
        <v>3.4000000000000002E-2</v>
      </c>
      <c r="L964" t="s">
        <v>60</v>
      </c>
      <c r="M964">
        <v>1</v>
      </c>
      <c r="N964" t="s">
        <v>53</v>
      </c>
      <c r="O964" s="2">
        <v>0.50069444444444444</v>
      </c>
      <c r="P964">
        <f>-0.0022551649*3600</f>
        <v>-8.1185936400000003</v>
      </c>
      <c r="Q964">
        <f>-0.0027015827*3600</f>
        <v>-9.7256977199999994</v>
      </c>
    </row>
    <row r="965" spans="1:17" x14ac:dyDescent="0.3">
      <c r="A965" s="4" t="s">
        <v>47</v>
      </c>
      <c r="B965" s="5" t="s">
        <v>571</v>
      </c>
      <c r="C965">
        <v>98.826982000000001</v>
      </c>
      <c r="D965">
        <v>105.000626</v>
      </c>
      <c r="E965">
        <v>1</v>
      </c>
      <c r="F965">
        <v>1</v>
      </c>
      <c r="G965">
        <v>0.26100000000000001</v>
      </c>
      <c r="H965">
        <v>0</v>
      </c>
      <c r="I965" t="s">
        <v>0</v>
      </c>
      <c r="J965" t="s">
        <v>59</v>
      </c>
      <c r="K965">
        <v>0</v>
      </c>
      <c r="L965" t="s">
        <v>60</v>
      </c>
      <c r="M965">
        <v>1</v>
      </c>
      <c r="N965" t="s">
        <v>67</v>
      </c>
      <c r="O965" s="2">
        <v>0.50069444444444444</v>
      </c>
      <c r="P965">
        <f>-0.0021737286*3600</f>
        <v>-7.82542296</v>
      </c>
      <c r="Q965">
        <f>-0.0027317105*3600</f>
        <v>-9.8341578000000016</v>
      </c>
    </row>
    <row r="966" spans="1:17" x14ac:dyDescent="0.3">
      <c r="A966" s="4" t="s">
        <v>47</v>
      </c>
      <c r="B966" s="5" t="s">
        <v>572</v>
      </c>
      <c r="C966">
        <v>98.826930000000004</v>
      </c>
      <c r="D966">
        <v>105.000704</v>
      </c>
      <c r="E966">
        <v>1</v>
      </c>
      <c r="F966">
        <v>1</v>
      </c>
      <c r="G966">
        <v>0.26100000000000001</v>
      </c>
      <c r="H966">
        <v>0</v>
      </c>
      <c r="I966" t="s">
        <v>0</v>
      </c>
      <c r="J966" t="s">
        <v>59</v>
      </c>
      <c r="K966">
        <v>0</v>
      </c>
      <c r="L966" t="s">
        <v>60</v>
      </c>
      <c r="M966">
        <v>1</v>
      </c>
      <c r="N966" t="s">
        <v>67</v>
      </c>
      <c r="O966" s="2">
        <v>0.50069444444444444</v>
      </c>
      <c r="P966">
        <f>-0.002076484*3600</f>
        <v>-7.4753423999999997</v>
      </c>
      <c r="Q966">
        <f>-0.002644435*3600</f>
        <v>-9.5199660000000002</v>
      </c>
    </row>
    <row r="967" spans="1:17" x14ac:dyDescent="0.3">
      <c r="A967" s="4" t="s">
        <v>47</v>
      </c>
      <c r="B967" s="5" t="s">
        <v>573</v>
      </c>
      <c r="C967">
        <v>98.826569000000006</v>
      </c>
      <c r="D967">
        <v>105.000748</v>
      </c>
      <c r="E967">
        <v>1</v>
      </c>
      <c r="F967">
        <v>1</v>
      </c>
      <c r="G967">
        <v>0.26100000000000001</v>
      </c>
      <c r="H967">
        <v>0</v>
      </c>
      <c r="I967" t="s">
        <v>0</v>
      </c>
      <c r="J967" t="s">
        <v>59</v>
      </c>
      <c r="K967">
        <v>0</v>
      </c>
      <c r="L967" t="s">
        <v>60</v>
      </c>
      <c r="M967">
        <v>1</v>
      </c>
      <c r="N967" t="s">
        <v>67</v>
      </c>
      <c r="O967" s="2">
        <v>0.50069444444444444</v>
      </c>
      <c r="P967">
        <f>-0.0021371035*3600</f>
        <v>-7.6935726000000004</v>
      </c>
      <c r="Q967">
        <f>-0.0026177897*3600</f>
        <v>-9.4240429199999998</v>
      </c>
    </row>
    <row r="968" spans="1:17" x14ac:dyDescent="0.3">
      <c r="A968" s="4" t="s">
        <v>47</v>
      </c>
      <c r="B968" s="5" t="s">
        <v>574</v>
      </c>
      <c r="C968">
        <v>98.827298999999996</v>
      </c>
      <c r="D968">
        <v>105.000748</v>
      </c>
      <c r="E968">
        <v>1</v>
      </c>
      <c r="F968">
        <v>1</v>
      </c>
      <c r="G968">
        <v>0.26100000000000001</v>
      </c>
      <c r="H968">
        <v>0</v>
      </c>
      <c r="I968" t="s">
        <v>0</v>
      </c>
      <c r="J968" t="s">
        <v>59</v>
      </c>
      <c r="K968">
        <v>0</v>
      </c>
      <c r="L968" t="s">
        <v>60</v>
      </c>
      <c r="M968">
        <v>1</v>
      </c>
      <c r="N968" t="s">
        <v>67</v>
      </c>
      <c r="O968" s="2">
        <v>0.50069444444444444</v>
      </c>
      <c r="P968">
        <f>-0.0021098211*3600</f>
        <v>-7.59535596</v>
      </c>
      <c r="Q968">
        <f>-0.0026470664*3600</f>
        <v>-9.5294390399999997</v>
      </c>
    </row>
    <row r="969" spans="1:17" x14ac:dyDescent="0.3">
      <c r="A969" s="4" t="s">
        <v>47</v>
      </c>
      <c r="B969" s="5" t="s">
        <v>575</v>
      </c>
      <c r="C969">
        <v>98.826717000000002</v>
      </c>
      <c r="D969">
        <v>105.000727</v>
      </c>
      <c r="E969">
        <v>1</v>
      </c>
      <c r="F969">
        <v>1</v>
      </c>
      <c r="G969">
        <v>0.26100000000000001</v>
      </c>
      <c r="H969">
        <v>0</v>
      </c>
      <c r="I969" t="s">
        <v>0</v>
      </c>
      <c r="J969" t="s">
        <v>59</v>
      </c>
      <c r="K969">
        <v>0</v>
      </c>
      <c r="L969" t="s">
        <v>60</v>
      </c>
      <c r="M969">
        <v>1</v>
      </c>
      <c r="N969" t="s">
        <v>67</v>
      </c>
      <c r="O969" s="2">
        <v>0.50069444444444444</v>
      </c>
      <c r="P969">
        <f>-0.0021938563*3600</f>
        <v>-7.8978826800000004</v>
      </c>
      <c r="Q969">
        <f>-0.0026623887*3600</f>
        <v>-9.5845993200000006</v>
      </c>
    </row>
    <row r="970" spans="1:17" x14ac:dyDescent="0.3">
      <c r="A970" s="4" t="s">
        <v>47</v>
      </c>
      <c r="B970" s="5" t="s">
        <v>576</v>
      </c>
      <c r="C970">
        <v>98.826831999999996</v>
      </c>
      <c r="D970">
        <v>105.00072</v>
      </c>
      <c r="E970">
        <v>1</v>
      </c>
      <c r="F970">
        <v>1</v>
      </c>
      <c r="G970">
        <v>0.26100000000000001</v>
      </c>
      <c r="H970">
        <v>0</v>
      </c>
      <c r="I970" t="s">
        <v>0</v>
      </c>
      <c r="J970" t="s">
        <v>59</v>
      </c>
      <c r="K970">
        <v>0</v>
      </c>
      <c r="L970" t="s">
        <v>60</v>
      </c>
      <c r="M970">
        <v>1</v>
      </c>
      <c r="N970" t="s">
        <v>67</v>
      </c>
      <c r="O970" s="2">
        <v>0.50069444444444444</v>
      </c>
      <c r="P970">
        <f>-0.0022060781*3600</f>
        <v>-7.9418811599999994</v>
      </c>
      <c r="Q970">
        <f>-0.0026627348*3600</f>
        <v>-9.5858452800000009</v>
      </c>
    </row>
    <row r="971" spans="1:17" x14ac:dyDescent="0.3">
      <c r="A971" s="4" t="s">
        <v>47</v>
      </c>
      <c r="B971" s="5" t="s">
        <v>577</v>
      </c>
      <c r="C971">
        <v>98.826514000000003</v>
      </c>
      <c r="D971">
        <v>105.00068400000001</v>
      </c>
      <c r="E971">
        <v>1</v>
      </c>
      <c r="F971">
        <v>1</v>
      </c>
      <c r="G971">
        <v>0.26100000000000001</v>
      </c>
      <c r="H971">
        <v>0</v>
      </c>
      <c r="I971" t="s">
        <v>0</v>
      </c>
      <c r="J971" t="s">
        <v>59</v>
      </c>
      <c r="K971">
        <v>0</v>
      </c>
      <c r="L971" t="s">
        <v>60</v>
      </c>
      <c r="M971">
        <v>1</v>
      </c>
      <c r="N971" t="s">
        <v>67</v>
      </c>
      <c r="O971" s="2">
        <v>0.50069444444444444</v>
      </c>
      <c r="P971">
        <f>-0.0021759856*3600</f>
        <v>-7.8335481599999994</v>
      </c>
      <c r="Q971">
        <f>-0.002708701*3600</f>
        <v>-9.7513235999999992</v>
      </c>
    </row>
    <row r="972" spans="1:17" x14ac:dyDescent="0.3">
      <c r="A972" s="4" t="s">
        <v>47</v>
      </c>
      <c r="B972" s="5" t="s">
        <v>578</v>
      </c>
      <c r="C972">
        <v>98.826685999999995</v>
      </c>
      <c r="D972">
        <v>105.00068</v>
      </c>
      <c r="E972">
        <v>1</v>
      </c>
      <c r="F972">
        <v>1</v>
      </c>
      <c r="G972">
        <v>0.26100000000000001</v>
      </c>
      <c r="H972">
        <v>0</v>
      </c>
      <c r="I972" t="s">
        <v>0</v>
      </c>
      <c r="J972" t="s">
        <v>59</v>
      </c>
      <c r="K972">
        <v>0</v>
      </c>
      <c r="L972" t="s">
        <v>60</v>
      </c>
      <c r="M972">
        <v>1</v>
      </c>
      <c r="N972" t="s">
        <v>67</v>
      </c>
      <c r="O972" s="2">
        <v>0.50069444444444444</v>
      </c>
      <c r="P972">
        <f>-0.0021999494*3600</f>
        <v>-7.9198178399999994</v>
      </c>
      <c r="Q972">
        <f>-0.0027143318*3600</f>
        <v>-9.7715944799999992</v>
      </c>
    </row>
    <row r="973" spans="1:17" x14ac:dyDescent="0.3">
      <c r="A973" s="4" t="s">
        <v>47</v>
      </c>
      <c r="B973" s="5" t="s">
        <v>579</v>
      </c>
      <c r="C973">
        <v>98.826935000000006</v>
      </c>
      <c r="D973">
        <v>105.00070700000001</v>
      </c>
      <c r="E973">
        <v>1</v>
      </c>
      <c r="F973">
        <v>1</v>
      </c>
      <c r="G973">
        <v>0.26100000000000001</v>
      </c>
      <c r="H973">
        <v>0</v>
      </c>
      <c r="I973" t="s">
        <v>0</v>
      </c>
      <c r="J973" t="s">
        <v>59</v>
      </c>
      <c r="K973">
        <v>0</v>
      </c>
      <c r="L973" t="s">
        <v>60</v>
      </c>
      <c r="M973">
        <v>1</v>
      </c>
      <c r="N973" t="s">
        <v>67</v>
      </c>
      <c r="O973" s="2">
        <v>0.50069444444444444</v>
      </c>
      <c r="P973">
        <f>-0.0021685008*3600</f>
        <v>-7.8066028800000007</v>
      </c>
      <c r="Q973">
        <f>-0.0026902563*3600</f>
        <v>-9.6849226799999997</v>
      </c>
    </row>
    <row r="974" spans="1:17" x14ac:dyDescent="0.3">
      <c r="A974" s="4" t="s">
        <v>47</v>
      </c>
      <c r="B974" s="5" t="s">
        <v>580</v>
      </c>
      <c r="C974">
        <v>98.826749000000007</v>
      </c>
      <c r="D974">
        <v>105.000715</v>
      </c>
      <c r="E974">
        <v>1</v>
      </c>
      <c r="F974">
        <v>1</v>
      </c>
      <c r="G974">
        <v>0.26100000000000001</v>
      </c>
      <c r="H974">
        <v>0</v>
      </c>
      <c r="I974" t="s">
        <v>0</v>
      </c>
      <c r="J974" t="s">
        <v>59</v>
      </c>
      <c r="K974">
        <v>0</v>
      </c>
      <c r="L974" t="s">
        <v>60</v>
      </c>
      <c r="M974">
        <v>1</v>
      </c>
      <c r="N974" t="s">
        <v>67</v>
      </c>
      <c r="O974" s="2">
        <v>0.50069444444444444</v>
      </c>
      <c r="P974">
        <f>-0.00220449*3600</f>
        <v>-7.9361639999999998</v>
      </c>
      <c r="Q974">
        <f>-0.0026966779*3600</f>
        <v>-9.7080404399999995</v>
      </c>
    </row>
    <row r="975" spans="1:17" x14ac:dyDescent="0.3">
      <c r="A975" s="4" t="s">
        <v>47</v>
      </c>
      <c r="B975" s="5" t="s">
        <v>581</v>
      </c>
      <c r="C975">
        <v>98.826561999999996</v>
      </c>
      <c r="D975">
        <v>105.00071800000001</v>
      </c>
      <c r="E975">
        <v>1</v>
      </c>
      <c r="F975">
        <v>1</v>
      </c>
      <c r="G975">
        <v>0.26100000000000001</v>
      </c>
      <c r="H975">
        <v>0</v>
      </c>
      <c r="I975" t="s">
        <v>0</v>
      </c>
      <c r="J975" t="s">
        <v>59</v>
      </c>
      <c r="K975">
        <v>0</v>
      </c>
      <c r="L975" t="s">
        <v>60</v>
      </c>
      <c r="M975">
        <v>1</v>
      </c>
      <c r="N975" t="s">
        <v>67</v>
      </c>
      <c r="O975" s="2">
        <v>0.50069444444444444</v>
      </c>
      <c r="P975">
        <f>-0.0022271824*3600</f>
        <v>-8.0178566399999998</v>
      </c>
      <c r="Q975">
        <f>-0.0027045235*3600</f>
        <v>-9.7362846000000012</v>
      </c>
    </row>
    <row r="976" spans="1:17" x14ac:dyDescent="0.3">
      <c r="A976" s="4" t="s">
        <v>47</v>
      </c>
      <c r="B976" s="5" t="s">
        <v>582</v>
      </c>
      <c r="C976">
        <v>98.826741999999996</v>
      </c>
      <c r="D976">
        <v>105.000725</v>
      </c>
      <c r="E976">
        <v>1</v>
      </c>
      <c r="F976">
        <v>1</v>
      </c>
      <c r="G976">
        <v>0.26100000000000001</v>
      </c>
      <c r="H976">
        <v>0</v>
      </c>
      <c r="I976" t="s">
        <v>0</v>
      </c>
      <c r="J976" t="s">
        <v>59</v>
      </c>
      <c r="K976">
        <v>0</v>
      </c>
      <c r="L976" t="s">
        <v>60</v>
      </c>
      <c r="M976">
        <v>1</v>
      </c>
      <c r="N976" t="s">
        <v>67</v>
      </c>
      <c r="O976" s="2">
        <v>0.50069444444444444</v>
      </c>
      <c r="P976">
        <f>-0.002259647*3600</f>
        <v>-8.1347292000000007</v>
      </c>
      <c r="Q976">
        <f>-0.0027129836*3600</f>
        <v>-9.7667409599999999</v>
      </c>
    </row>
    <row r="977" spans="1:17" x14ac:dyDescent="0.3">
      <c r="A977" s="4" t="s">
        <v>47</v>
      </c>
      <c r="B977" s="5" t="s">
        <v>583</v>
      </c>
      <c r="C977">
        <v>98.826570000000004</v>
      </c>
      <c r="D977">
        <v>105.000741</v>
      </c>
      <c r="E977">
        <v>1</v>
      </c>
      <c r="F977">
        <v>1</v>
      </c>
      <c r="G977">
        <v>0.26100000000000001</v>
      </c>
      <c r="H977">
        <v>0</v>
      </c>
      <c r="I977" t="s">
        <v>0</v>
      </c>
      <c r="J977" t="s">
        <v>59</v>
      </c>
      <c r="K977">
        <v>0</v>
      </c>
      <c r="L977" t="s">
        <v>60</v>
      </c>
      <c r="M977">
        <v>1</v>
      </c>
      <c r="N977" t="s">
        <v>67</v>
      </c>
      <c r="O977" s="2">
        <v>0.50069444444444444</v>
      </c>
      <c r="P977">
        <f>-0.0022403528*3600</f>
        <v>-8.0652700799999995</v>
      </c>
      <c r="Q977">
        <f>-0.0027125493*3600</f>
        <v>-9.7651774800000002</v>
      </c>
    </row>
    <row r="978" spans="1:17" x14ac:dyDescent="0.3">
      <c r="A978" s="4" t="s">
        <v>47</v>
      </c>
      <c r="B978" s="5" t="s">
        <v>584</v>
      </c>
      <c r="C978">
        <v>98.827057999999994</v>
      </c>
      <c r="D978">
        <v>105.000764</v>
      </c>
      <c r="E978">
        <v>1</v>
      </c>
      <c r="F978">
        <v>1</v>
      </c>
      <c r="G978">
        <v>0.26100000000000001</v>
      </c>
      <c r="H978">
        <v>0</v>
      </c>
      <c r="I978" t="s">
        <v>0</v>
      </c>
      <c r="J978" t="s">
        <v>59</v>
      </c>
      <c r="K978">
        <v>0</v>
      </c>
      <c r="L978" t="s">
        <v>60</v>
      </c>
      <c r="M978">
        <v>1</v>
      </c>
      <c r="N978" t="s">
        <v>67</v>
      </c>
      <c r="O978" s="2">
        <v>0.50069444444444444</v>
      </c>
      <c r="P978">
        <f>-0.0022510943*3600</f>
        <v>-8.1039394799999993</v>
      </c>
      <c r="Q978">
        <f>-0.0026973224*3600</f>
        <v>-9.7103606399999993</v>
      </c>
    </row>
    <row r="979" spans="1:17" x14ac:dyDescent="0.3">
      <c r="A979" s="4" t="s">
        <v>47</v>
      </c>
      <c r="B979" s="5" t="s">
        <v>585</v>
      </c>
      <c r="C979">
        <v>98.826718999999997</v>
      </c>
      <c r="D979">
        <v>105.00075200000001</v>
      </c>
      <c r="E979">
        <v>1</v>
      </c>
      <c r="F979">
        <v>1</v>
      </c>
      <c r="G979">
        <v>0.26100000000000001</v>
      </c>
      <c r="H979">
        <v>0</v>
      </c>
      <c r="I979" t="s">
        <v>0</v>
      </c>
      <c r="J979" t="s">
        <v>59</v>
      </c>
      <c r="K979">
        <v>0</v>
      </c>
      <c r="L979" t="s">
        <v>60</v>
      </c>
      <c r="M979">
        <v>1</v>
      </c>
      <c r="N979" t="s">
        <v>67</v>
      </c>
      <c r="O979" s="2">
        <v>0.50069444444444444</v>
      </c>
      <c r="P979">
        <f>-0.002297779*3600</f>
        <v>-8.2720044000000001</v>
      </c>
      <c r="Q979">
        <f>-0.0027148512*3600</f>
        <v>-9.7734643200000004</v>
      </c>
    </row>
    <row r="980" spans="1:17" x14ac:dyDescent="0.3">
      <c r="A980" s="4" t="s">
        <v>47</v>
      </c>
      <c r="B980" s="5" t="s">
        <v>586</v>
      </c>
      <c r="C980">
        <v>98.826363000000001</v>
      </c>
      <c r="D980">
        <v>105.000756</v>
      </c>
      <c r="E980">
        <v>1</v>
      </c>
      <c r="F980">
        <v>1</v>
      </c>
      <c r="G980">
        <v>0.26100000000000001</v>
      </c>
      <c r="H980">
        <v>0</v>
      </c>
      <c r="I980" t="s">
        <v>0</v>
      </c>
      <c r="J980" t="s">
        <v>59</v>
      </c>
      <c r="K980">
        <v>0</v>
      </c>
      <c r="L980" t="s">
        <v>60</v>
      </c>
      <c r="M980">
        <v>1</v>
      </c>
      <c r="N980" t="s">
        <v>67</v>
      </c>
      <c r="O980" s="2">
        <v>0.50069444444444444</v>
      </c>
      <c r="P980">
        <f>-0.0023412494*3600</f>
        <v>-8.4284978399999986</v>
      </c>
      <c r="Q980">
        <f>-0.0027282373*3600</f>
        <v>-9.8216542800000006</v>
      </c>
    </row>
    <row r="981" spans="1:17" x14ac:dyDescent="0.3">
      <c r="A981" s="4" t="s">
        <v>47</v>
      </c>
      <c r="B981" s="5" t="s">
        <v>587</v>
      </c>
      <c r="C981">
        <v>98.826545999999993</v>
      </c>
      <c r="D981">
        <v>105.000739</v>
      </c>
      <c r="E981">
        <v>1</v>
      </c>
      <c r="F981">
        <v>1</v>
      </c>
      <c r="G981">
        <v>0.26100000000000001</v>
      </c>
      <c r="H981">
        <v>0</v>
      </c>
      <c r="I981" t="s">
        <v>0</v>
      </c>
      <c r="J981" t="s">
        <v>59</v>
      </c>
      <c r="K981">
        <v>0</v>
      </c>
      <c r="L981" t="s">
        <v>60</v>
      </c>
      <c r="M981">
        <v>1</v>
      </c>
      <c r="N981" t="s">
        <v>67</v>
      </c>
      <c r="O981" s="2">
        <v>0.50069444444444444</v>
      </c>
      <c r="P981">
        <f>-0.0023149443*3600</f>
        <v>-8.3337994799999997</v>
      </c>
      <c r="Q981">
        <f>-0.0027172506*3600</f>
        <v>-9.7821021599999991</v>
      </c>
    </row>
    <row r="982" spans="1:17" x14ac:dyDescent="0.3">
      <c r="A982" s="4" t="s">
        <v>47</v>
      </c>
      <c r="B982" s="5" t="s">
        <v>588</v>
      </c>
      <c r="C982">
        <v>98.826571999999999</v>
      </c>
      <c r="D982">
        <v>105.000775</v>
      </c>
      <c r="E982">
        <v>1</v>
      </c>
      <c r="F982">
        <v>1</v>
      </c>
      <c r="G982">
        <v>0.26100000000000001</v>
      </c>
      <c r="H982">
        <v>0</v>
      </c>
      <c r="I982" t="s">
        <v>0</v>
      </c>
      <c r="J982" t="s">
        <v>59</v>
      </c>
      <c r="K982">
        <v>0</v>
      </c>
      <c r="L982" t="s">
        <v>60</v>
      </c>
      <c r="M982">
        <v>1</v>
      </c>
      <c r="N982" t="s">
        <v>67</v>
      </c>
      <c r="O982" s="2">
        <v>0.50069444444444444</v>
      </c>
      <c r="P982">
        <f>-0.0023131501*3600</f>
        <v>-8.3273403599999991</v>
      </c>
      <c r="Q982">
        <f>-0.0027183251*3600</f>
        <v>-9.7859703600000003</v>
      </c>
    </row>
    <row r="983" spans="1:17" x14ac:dyDescent="0.3">
      <c r="A983" s="4" t="s">
        <v>47</v>
      </c>
      <c r="B983" s="5" t="s">
        <v>589</v>
      </c>
      <c r="C983">
        <v>98.826739000000003</v>
      </c>
      <c r="D983">
        <v>105.00080800000001</v>
      </c>
      <c r="E983">
        <v>1</v>
      </c>
      <c r="F983">
        <v>1</v>
      </c>
      <c r="G983">
        <v>0.26100000000000001</v>
      </c>
      <c r="H983">
        <v>0</v>
      </c>
      <c r="I983" t="s">
        <v>0</v>
      </c>
      <c r="J983" t="s">
        <v>59</v>
      </c>
      <c r="K983">
        <v>0</v>
      </c>
      <c r="L983" t="s">
        <v>60</v>
      </c>
      <c r="M983">
        <v>1</v>
      </c>
      <c r="N983" t="s">
        <v>67</v>
      </c>
      <c r="O983" s="2">
        <v>0.50069444444444444</v>
      </c>
      <c r="P983">
        <f>-0.0022280491*3600</f>
        <v>-8.0209767599999999</v>
      </c>
      <c r="Q983">
        <f>-0.0026768616*3600</f>
        <v>-9.6367017600000011</v>
      </c>
    </row>
    <row r="984" spans="1:17" x14ac:dyDescent="0.3">
      <c r="A984" s="4" t="s">
        <v>47</v>
      </c>
      <c r="B984" s="5" t="s">
        <v>590</v>
      </c>
      <c r="C984">
        <v>98.826462000000006</v>
      </c>
      <c r="D984">
        <v>105.00061599999999</v>
      </c>
      <c r="E984">
        <v>1</v>
      </c>
      <c r="F984">
        <v>1</v>
      </c>
      <c r="G984">
        <v>0.26100000000000001</v>
      </c>
      <c r="H984">
        <v>0</v>
      </c>
      <c r="I984" t="s">
        <v>0</v>
      </c>
      <c r="J984" t="s">
        <v>59</v>
      </c>
      <c r="K984">
        <v>0</v>
      </c>
      <c r="L984" t="s">
        <v>60</v>
      </c>
      <c r="M984">
        <v>1</v>
      </c>
      <c r="N984" t="s">
        <v>67</v>
      </c>
      <c r="O984" s="2">
        <v>0.50069444444444444</v>
      </c>
      <c r="P984">
        <f>-0.0022384883*3600</f>
        <v>-8.0585578800000004</v>
      </c>
      <c r="Q984">
        <f>-0.0028606051*3600</f>
        <v>-10.29817836</v>
      </c>
    </row>
    <row r="985" spans="1:17" x14ac:dyDescent="0.3">
      <c r="A985" s="4" t="s">
        <v>47</v>
      </c>
      <c r="B985" s="5" t="s">
        <v>591</v>
      </c>
      <c r="C985">
        <v>98.826601999999994</v>
      </c>
      <c r="D985">
        <v>105.000739</v>
      </c>
      <c r="E985">
        <v>1</v>
      </c>
      <c r="F985">
        <v>1</v>
      </c>
      <c r="G985">
        <v>0.26100000000000001</v>
      </c>
      <c r="H985">
        <v>0</v>
      </c>
      <c r="I985" t="s">
        <v>0</v>
      </c>
      <c r="J985" t="s">
        <v>59</v>
      </c>
      <c r="K985">
        <v>0</v>
      </c>
      <c r="L985" t="s">
        <v>60</v>
      </c>
      <c r="M985">
        <v>1</v>
      </c>
      <c r="N985" t="s">
        <v>67</v>
      </c>
      <c r="O985" s="2">
        <v>0.50069444444444444</v>
      </c>
      <c r="P985">
        <f>-0.0022766526*3600</f>
        <v>-8.1959493600000002</v>
      </c>
      <c r="Q985">
        <f>-0.0027693993*3600</f>
        <v>-9.9698374800000007</v>
      </c>
    </row>
    <row r="986" spans="1:17" x14ac:dyDescent="0.3">
      <c r="A986" s="4" t="s">
        <v>47</v>
      </c>
      <c r="B986" s="5" t="s">
        <v>592</v>
      </c>
      <c r="C986">
        <v>98.826245999999998</v>
      </c>
      <c r="D986">
        <v>105.000726</v>
      </c>
      <c r="E986">
        <v>1</v>
      </c>
      <c r="F986">
        <v>1</v>
      </c>
      <c r="G986">
        <v>0.26100000000000001</v>
      </c>
      <c r="H986">
        <v>0</v>
      </c>
      <c r="I986" t="s">
        <v>0</v>
      </c>
      <c r="J986" t="s">
        <v>59</v>
      </c>
      <c r="K986">
        <v>0</v>
      </c>
      <c r="L986" t="s">
        <v>60</v>
      </c>
      <c r="M986">
        <v>1</v>
      </c>
      <c r="N986" t="s">
        <v>67</v>
      </c>
      <c r="O986" s="2">
        <v>0.50069444444444444</v>
      </c>
      <c r="P986">
        <f>-0.0023282247*3600</f>
        <v>-8.3816089199999997</v>
      </c>
      <c r="Q986">
        <f>-0.0027600558*3600</f>
        <v>-9.9362008799999995</v>
      </c>
    </row>
    <row r="987" spans="1:17" x14ac:dyDescent="0.3">
      <c r="A987" s="4" t="s">
        <v>47</v>
      </c>
      <c r="B987" s="5" t="s">
        <v>593</v>
      </c>
      <c r="C987">
        <v>98.826121000000001</v>
      </c>
      <c r="D987">
        <v>105.00062200000001</v>
      </c>
      <c r="E987">
        <v>1</v>
      </c>
      <c r="F987">
        <v>1</v>
      </c>
      <c r="G987">
        <v>0.26100000000000001</v>
      </c>
      <c r="H987">
        <v>0</v>
      </c>
      <c r="I987" t="s">
        <v>0</v>
      </c>
      <c r="J987" t="s">
        <v>59</v>
      </c>
      <c r="K987">
        <v>0</v>
      </c>
      <c r="L987" t="s">
        <v>60</v>
      </c>
      <c r="M987">
        <v>1</v>
      </c>
      <c r="N987" t="s">
        <v>67</v>
      </c>
      <c r="O987" s="2">
        <v>0.50069444444444444</v>
      </c>
      <c r="P987">
        <f>-0.0023217659*3600</f>
        <v>-8.3583572400000001</v>
      </c>
      <c r="Q987">
        <f>-0.002889862*3600</f>
        <v>-10.403503199999999</v>
      </c>
    </row>
    <row r="988" spans="1:17" x14ac:dyDescent="0.3">
      <c r="A988" s="4" t="s">
        <v>47</v>
      </c>
      <c r="B988" s="5" t="s">
        <v>594</v>
      </c>
      <c r="C988">
        <v>98.826508000000004</v>
      </c>
      <c r="D988">
        <v>105.00078000000001</v>
      </c>
      <c r="E988">
        <v>1</v>
      </c>
      <c r="F988">
        <v>1</v>
      </c>
      <c r="G988">
        <v>0.26100000000000001</v>
      </c>
      <c r="H988">
        <v>0</v>
      </c>
      <c r="I988" t="s">
        <v>0</v>
      </c>
      <c r="J988" t="s">
        <v>59</v>
      </c>
      <c r="K988">
        <v>0</v>
      </c>
      <c r="L988" t="s">
        <v>60</v>
      </c>
      <c r="M988">
        <v>1</v>
      </c>
      <c r="N988" t="s">
        <v>67</v>
      </c>
      <c r="O988" s="2">
        <v>0.50069444444444444</v>
      </c>
      <c r="P988">
        <f>-0.0022489626*3600</f>
        <v>-8.0962653600000003</v>
      </c>
      <c r="Q988">
        <f>-0.0027536465*3600</f>
        <v>-9.9131274000000005</v>
      </c>
    </row>
    <row r="989" spans="1:17" x14ac:dyDescent="0.3">
      <c r="A989" s="4" t="s">
        <v>47</v>
      </c>
      <c r="B989" s="5" t="s">
        <v>595</v>
      </c>
      <c r="C989">
        <v>98.826362000000003</v>
      </c>
      <c r="D989">
        <v>105.000626</v>
      </c>
      <c r="E989">
        <v>1</v>
      </c>
      <c r="F989">
        <v>1</v>
      </c>
      <c r="G989">
        <v>0.26100000000000001</v>
      </c>
      <c r="H989">
        <v>0</v>
      </c>
      <c r="I989" t="s">
        <v>0</v>
      </c>
      <c r="J989" t="s">
        <v>59</v>
      </c>
      <c r="K989">
        <v>0</v>
      </c>
      <c r="L989" t="s">
        <v>60</v>
      </c>
      <c r="M989">
        <v>1</v>
      </c>
      <c r="N989" t="s">
        <v>67</v>
      </c>
      <c r="O989" s="2">
        <v>0.50069444444444444</v>
      </c>
      <c r="P989">
        <f>-0.0022827221*3600</f>
        <v>-8.2177995599999996</v>
      </c>
      <c r="Q989">
        <f>-0.0028992226*3600</f>
        <v>-10.43720136</v>
      </c>
    </row>
    <row r="990" spans="1:17" x14ac:dyDescent="0.3">
      <c r="A990" s="4" t="s">
        <v>47</v>
      </c>
      <c r="B990" s="5" t="s">
        <v>596</v>
      </c>
      <c r="C990">
        <v>98.827301000000006</v>
      </c>
      <c r="D990">
        <v>105.000856</v>
      </c>
      <c r="E990">
        <v>1</v>
      </c>
      <c r="F990">
        <v>1</v>
      </c>
      <c r="G990">
        <v>0.26100000000000001</v>
      </c>
      <c r="H990">
        <v>0</v>
      </c>
      <c r="I990" t="s">
        <v>0</v>
      </c>
      <c r="J990" t="s">
        <v>59</v>
      </c>
      <c r="K990">
        <v>0</v>
      </c>
      <c r="L990" t="s">
        <v>60</v>
      </c>
      <c r="M990">
        <v>1</v>
      </c>
      <c r="N990" t="s">
        <v>67</v>
      </c>
      <c r="O990" s="2">
        <v>0.50069444444444444</v>
      </c>
      <c r="P990">
        <f>-0.0022388758*3600</f>
        <v>-8.0599528799999991</v>
      </c>
      <c r="Q990">
        <f>-0.0026865092*3600</f>
        <v>-9.6714331200000014</v>
      </c>
    </row>
    <row r="991" spans="1:17" x14ac:dyDescent="0.3">
      <c r="A991" s="4" t="s">
        <v>47</v>
      </c>
      <c r="B991" s="5" t="s">
        <v>597</v>
      </c>
      <c r="C991">
        <v>98.827370000000002</v>
      </c>
      <c r="D991">
        <v>105.000846</v>
      </c>
      <c r="E991">
        <v>1</v>
      </c>
      <c r="F991">
        <v>1</v>
      </c>
      <c r="G991">
        <v>0.26100000000000001</v>
      </c>
      <c r="H991">
        <v>0</v>
      </c>
      <c r="I991" t="s">
        <v>0</v>
      </c>
      <c r="J991" t="s">
        <v>59</v>
      </c>
      <c r="K991">
        <v>0</v>
      </c>
      <c r="L991" t="s">
        <v>60</v>
      </c>
      <c r="M991">
        <v>1</v>
      </c>
      <c r="N991" t="s">
        <v>67</v>
      </c>
      <c r="O991" s="2">
        <v>0.50069444444444444</v>
      </c>
      <c r="P991">
        <f>-0.002210043*3600</f>
        <v>-7.9561548000000002</v>
      </c>
      <c r="Q991">
        <f>-0.0027085391*3600</f>
        <v>-9.7507407599999993</v>
      </c>
    </row>
    <row r="992" spans="1:17" x14ac:dyDescent="0.3">
      <c r="A992" s="4" t="s">
        <v>47</v>
      </c>
      <c r="B992" s="5" t="s">
        <v>598</v>
      </c>
      <c r="C992">
        <v>98.826582999999999</v>
      </c>
      <c r="D992">
        <v>105.00086400000001</v>
      </c>
      <c r="E992">
        <v>1</v>
      </c>
      <c r="F992">
        <v>1</v>
      </c>
      <c r="G992">
        <v>0.26100000000000001</v>
      </c>
      <c r="H992">
        <v>0</v>
      </c>
      <c r="I992" t="s">
        <v>0</v>
      </c>
      <c r="J992" t="s">
        <v>59</v>
      </c>
      <c r="K992">
        <v>0</v>
      </c>
      <c r="L992" t="s">
        <v>60</v>
      </c>
      <c r="M992">
        <v>1</v>
      </c>
      <c r="N992" t="s">
        <v>67</v>
      </c>
      <c r="O992" s="2">
        <v>0.50069444444444444</v>
      </c>
      <c r="P992">
        <f>-0.0022684021*3600</f>
        <v>-8.1662475600000004</v>
      </c>
      <c r="Q992">
        <f>-0.0026807053*3600</f>
        <v>-9.6505390799999997</v>
      </c>
    </row>
    <row r="993" spans="1:17" x14ac:dyDescent="0.3">
      <c r="A993" s="4" t="s">
        <v>47</v>
      </c>
      <c r="B993" s="5" t="s">
        <v>599</v>
      </c>
      <c r="C993">
        <v>98.826521999999997</v>
      </c>
      <c r="D993">
        <v>105.000888</v>
      </c>
      <c r="E993">
        <v>1</v>
      </c>
      <c r="F993">
        <v>1</v>
      </c>
      <c r="G993">
        <v>0.26100000000000001</v>
      </c>
      <c r="H993">
        <v>0</v>
      </c>
      <c r="I993" t="s">
        <v>0</v>
      </c>
      <c r="J993" t="s">
        <v>59</v>
      </c>
      <c r="K993">
        <v>0</v>
      </c>
      <c r="L993" t="s">
        <v>60</v>
      </c>
      <c r="M993">
        <v>1</v>
      </c>
      <c r="N993" t="s">
        <v>67</v>
      </c>
      <c r="O993" s="2">
        <v>0.50069444444444444</v>
      </c>
      <c r="P993">
        <f>-0.0022714732*3600</f>
        <v>-8.1773035200000006</v>
      </c>
      <c r="Q993">
        <f>-0.0026599716*3600</f>
        <v>-9.5758977600000001</v>
      </c>
    </row>
    <row r="994" spans="1:17" x14ac:dyDescent="0.3">
      <c r="A994" s="4" t="s">
        <v>47</v>
      </c>
      <c r="B994" s="5" t="s">
        <v>600</v>
      </c>
      <c r="C994">
        <v>98.826768000000001</v>
      </c>
      <c r="D994">
        <v>105.00090299999999</v>
      </c>
      <c r="E994">
        <v>1</v>
      </c>
      <c r="F994">
        <v>1</v>
      </c>
      <c r="G994">
        <v>0.26100000000000001</v>
      </c>
      <c r="H994">
        <v>0</v>
      </c>
      <c r="I994" t="s">
        <v>0</v>
      </c>
      <c r="J994" t="s">
        <v>59</v>
      </c>
      <c r="K994">
        <v>0</v>
      </c>
      <c r="L994" t="s">
        <v>60</v>
      </c>
      <c r="M994">
        <v>1</v>
      </c>
      <c r="N994" t="s">
        <v>67</v>
      </c>
      <c r="O994" s="2">
        <v>0.50069444444444444</v>
      </c>
      <c r="P994">
        <f>-0.0022767488*3600</f>
        <v>-8.1962956800000004</v>
      </c>
      <c r="Q994">
        <f>-0.0026461655*3600</f>
        <v>-9.5261958</v>
      </c>
    </row>
    <row r="995" spans="1:17" x14ac:dyDescent="0.3">
      <c r="A995" s="4" t="s">
        <v>47</v>
      </c>
      <c r="B995" s="5" t="s">
        <v>601</v>
      </c>
      <c r="C995">
        <v>98.826699000000005</v>
      </c>
      <c r="D995">
        <v>105.000846</v>
      </c>
      <c r="E995">
        <v>1</v>
      </c>
      <c r="F995">
        <v>1</v>
      </c>
      <c r="G995">
        <v>0.26100000000000001</v>
      </c>
      <c r="H995">
        <v>0</v>
      </c>
      <c r="I995" t="s">
        <v>0</v>
      </c>
      <c r="J995" t="s">
        <v>59</v>
      </c>
      <c r="K995">
        <v>0</v>
      </c>
      <c r="L995" t="s">
        <v>60</v>
      </c>
      <c r="M995">
        <v>1</v>
      </c>
      <c r="N995" t="s">
        <v>67</v>
      </c>
      <c r="O995" s="2">
        <v>0.50069444444444444</v>
      </c>
      <c r="P995">
        <f>-0.0023715869*3600</f>
        <v>-8.5377128400000011</v>
      </c>
      <c r="Q995">
        <f>-0.0027270703*3600</f>
        <v>-9.8174530799999999</v>
      </c>
    </row>
    <row r="996" spans="1:17" x14ac:dyDescent="0.3">
      <c r="A996" s="4" t="s">
        <v>47</v>
      </c>
      <c r="B996" s="5" t="s">
        <v>602</v>
      </c>
      <c r="C996">
        <v>98.826736999999994</v>
      </c>
      <c r="D996">
        <v>105.000703</v>
      </c>
      <c r="E996">
        <v>1</v>
      </c>
      <c r="F996">
        <v>1</v>
      </c>
      <c r="G996">
        <v>0.26100000000000001</v>
      </c>
      <c r="H996">
        <v>0</v>
      </c>
      <c r="I996" t="s">
        <v>0</v>
      </c>
      <c r="J996" t="s">
        <v>59</v>
      </c>
      <c r="K996">
        <v>0</v>
      </c>
      <c r="L996" t="s">
        <v>60</v>
      </c>
      <c r="M996">
        <v>1</v>
      </c>
      <c r="N996" t="s">
        <v>67</v>
      </c>
      <c r="O996" s="2">
        <v>0.50069444444444444</v>
      </c>
      <c r="P996">
        <f>-0.0023454894*3600</f>
        <v>-8.4437618399999987</v>
      </c>
      <c r="Q996">
        <f>-0.0028586836*3600</f>
        <v>-10.291260960000001</v>
      </c>
    </row>
    <row r="997" spans="1:17" x14ac:dyDescent="0.3">
      <c r="A997" s="4" t="s">
        <v>47</v>
      </c>
      <c r="B997" s="5" t="s">
        <v>603</v>
      </c>
      <c r="C997">
        <v>98.826091000000005</v>
      </c>
      <c r="D997">
        <v>105.000846</v>
      </c>
      <c r="E997">
        <v>1</v>
      </c>
      <c r="F997">
        <v>1</v>
      </c>
      <c r="G997">
        <v>0.26100000000000001</v>
      </c>
      <c r="H997">
        <v>0</v>
      </c>
      <c r="I997" t="s">
        <v>0</v>
      </c>
      <c r="J997" t="s">
        <v>59</v>
      </c>
      <c r="K997">
        <v>0</v>
      </c>
      <c r="L997" t="s">
        <v>60</v>
      </c>
      <c r="M997">
        <v>1</v>
      </c>
      <c r="N997" t="s">
        <v>67</v>
      </c>
      <c r="O997" s="2">
        <v>0.50069444444444444</v>
      </c>
      <c r="P997">
        <f>-0.0022732691*3600</f>
        <v>-8.1837687599999995</v>
      </c>
      <c r="Q997">
        <f>-0.0027166324*3600</f>
        <v>-9.7798766400000012</v>
      </c>
    </row>
    <row r="998" spans="1:17" x14ac:dyDescent="0.3">
      <c r="A998" s="4" t="s">
        <v>47</v>
      </c>
      <c r="B998" s="5" t="s">
        <v>604</v>
      </c>
      <c r="C998">
        <v>98.826463000000004</v>
      </c>
      <c r="D998">
        <v>105.000878</v>
      </c>
      <c r="E998">
        <v>1</v>
      </c>
      <c r="F998">
        <v>1</v>
      </c>
      <c r="G998">
        <v>0.26100000000000001</v>
      </c>
      <c r="H998">
        <v>0</v>
      </c>
      <c r="I998" t="s">
        <v>0</v>
      </c>
      <c r="J998" t="s">
        <v>59</v>
      </c>
      <c r="K998">
        <v>0</v>
      </c>
      <c r="L998" t="s">
        <v>60</v>
      </c>
      <c r="M998">
        <v>1</v>
      </c>
      <c r="N998" t="s">
        <v>67</v>
      </c>
      <c r="O998" s="2">
        <v>0.50069444444444444</v>
      </c>
      <c r="P998">
        <f>-0.0022784915*3600</f>
        <v>-8.2025693999999998</v>
      </c>
      <c r="Q998">
        <f>-0.0027281473*3600</f>
        <v>-9.8213302799999997</v>
      </c>
    </row>
    <row r="999" spans="1:17" x14ac:dyDescent="0.3">
      <c r="A999" s="4" t="s">
        <v>47</v>
      </c>
      <c r="B999" s="5" t="s">
        <v>605</v>
      </c>
      <c r="C999">
        <v>98.826497000000003</v>
      </c>
      <c r="D999">
        <v>105.000972</v>
      </c>
      <c r="E999">
        <v>1</v>
      </c>
      <c r="F999">
        <v>1</v>
      </c>
      <c r="G999">
        <v>0.26100000000000001</v>
      </c>
      <c r="H999">
        <v>0</v>
      </c>
      <c r="I999" t="s">
        <v>0</v>
      </c>
      <c r="J999" t="s">
        <v>59</v>
      </c>
      <c r="K999">
        <v>0</v>
      </c>
      <c r="L999" t="s">
        <v>60</v>
      </c>
      <c r="M999">
        <v>1</v>
      </c>
      <c r="N999" t="s">
        <v>67</v>
      </c>
      <c r="O999" s="2">
        <v>0.50069444444444444</v>
      </c>
      <c r="P999">
        <f>-0.0021118462*3600</f>
        <v>-7.6026463200000007</v>
      </c>
      <c r="Q999">
        <f>-0.0026021039*3600</f>
        <v>-9.3675740400000009</v>
      </c>
    </row>
    <row r="1000" spans="1:17" x14ac:dyDescent="0.3">
      <c r="A1000" s="4" t="s">
        <v>47</v>
      </c>
      <c r="B1000" s="5" t="s">
        <v>606</v>
      </c>
      <c r="C1000">
        <v>98.826284999999999</v>
      </c>
      <c r="D1000">
        <v>105.00084699999999</v>
      </c>
      <c r="E1000">
        <v>1</v>
      </c>
      <c r="F1000">
        <v>1</v>
      </c>
      <c r="G1000">
        <v>0.26100000000000001</v>
      </c>
      <c r="H1000">
        <v>0</v>
      </c>
      <c r="I1000" t="s">
        <v>0</v>
      </c>
      <c r="J1000" t="s">
        <v>59</v>
      </c>
      <c r="K1000">
        <v>0</v>
      </c>
      <c r="L1000" t="s">
        <v>60</v>
      </c>
      <c r="M1000">
        <v>1</v>
      </c>
      <c r="N1000" t="s">
        <v>67</v>
      </c>
      <c r="O1000" s="2">
        <v>0.50069444444444444</v>
      </c>
      <c r="P1000">
        <f>-0.0021719663*3600</f>
        <v>-7.8190786800000005</v>
      </c>
      <c r="Q1000">
        <f>-0.0027090361*3600</f>
        <v>-9.7525299600000004</v>
      </c>
    </row>
    <row r="1001" spans="1:17" x14ac:dyDescent="0.3">
      <c r="A1001" s="4" t="s">
        <v>47</v>
      </c>
      <c r="B1001" s="5" t="s">
        <v>607</v>
      </c>
      <c r="C1001">
        <v>98.826882999999995</v>
      </c>
      <c r="D1001">
        <v>105.00081299999999</v>
      </c>
      <c r="E1001">
        <v>1</v>
      </c>
      <c r="F1001">
        <v>1</v>
      </c>
      <c r="G1001">
        <v>0.26100000000000001</v>
      </c>
      <c r="H1001">
        <v>0</v>
      </c>
      <c r="I1001" t="s">
        <v>0</v>
      </c>
      <c r="J1001" t="s">
        <v>59</v>
      </c>
      <c r="K1001">
        <v>0</v>
      </c>
      <c r="L1001" t="s">
        <v>60</v>
      </c>
      <c r="M1001">
        <v>1</v>
      </c>
      <c r="N1001" t="s">
        <v>67</v>
      </c>
      <c r="O1001" s="2">
        <v>0.50069444444444444</v>
      </c>
      <c r="P1001">
        <f>-0.0022090446*3600</f>
        <v>-7.9525605600000002</v>
      </c>
      <c r="Q1001">
        <f>-0.002785041*3600</f>
        <v>-10.0261476</v>
      </c>
    </row>
    <row r="1002" spans="1:17" x14ac:dyDescent="0.3">
      <c r="A1002" s="4" t="s">
        <v>47</v>
      </c>
      <c r="B1002" s="5" t="s">
        <v>608</v>
      </c>
      <c r="C1002">
        <v>98.826262</v>
      </c>
      <c r="D1002">
        <v>105.00090899999999</v>
      </c>
      <c r="E1002">
        <v>1</v>
      </c>
      <c r="F1002">
        <v>1</v>
      </c>
      <c r="G1002">
        <v>0.26100000000000001</v>
      </c>
      <c r="H1002">
        <v>0</v>
      </c>
      <c r="I1002" t="s">
        <v>0</v>
      </c>
      <c r="J1002" t="s">
        <v>59</v>
      </c>
      <c r="K1002">
        <v>0</v>
      </c>
      <c r="L1002" t="s">
        <v>60</v>
      </c>
      <c r="M1002">
        <v>1</v>
      </c>
      <c r="N1002" t="s">
        <v>67</v>
      </c>
      <c r="O1002" s="2">
        <v>0.50069444444444444</v>
      </c>
      <c r="P1002">
        <f>-0.0022871297*3600</f>
        <v>-8.2336669199999992</v>
      </c>
      <c r="Q1002">
        <f>-0.0026993554*3600</f>
        <v>-9.7176794400000013</v>
      </c>
    </row>
    <row r="1003" spans="1:17" x14ac:dyDescent="0.3">
      <c r="A1003" s="4" t="s">
        <v>47</v>
      </c>
      <c r="B1003" s="5" t="s">
        <v>609</v>
      </c>
      <c r="C1003">
        <v>98.825823</v>
      </c>
      <c r="D1003">
        <v>105.001064</v>
      </c>
      <c r="E1003">
        <v>1</v>
      </c>
      <c r="F1003">
        <v>1</v>
      </c>
      <c r="G1003">
        <v>0.26100000000000001</v>
      </c>
      <c r="H1003">
        <v>0</v>
      </c>
      <c r="I1003" t="s">
        <v>0</v>
      </c>
      <c r="J1003" t="s">
        <v>59</v>
      </c>
      <c r="K1003">
        <v>0</v>
      </c>
      <c r="L1003" t="s">
        <v>60</v>
      </c>
      <c r="M1003">
        <v>1</v>
      </c>
      <c r="N1003" t="s">
        <v>67</v>
      </c>
      <c r="O1003" s="2">
        <v>0.50069444444444444</v>
      </c>
      <c r="P1003">
        <f>-0.002283563*3600</f>
        <v>-8.2208268000000011</v>
      </c>
      <c r="Q1003">
        <f>-0.0025439427*3600</f>
        <v>-9.1581937199999999</v>
      </c>
    </row>
    <row r="1004" spans="1:17" x14ac:dyDescent="0.3">
      <c r="A1004" s="4" t="s">
        <v>47</v>
      </c>
      <c r="B1004" s="5" t="s">
        <v>610</v>
      </c>
      <c r="C1004">
        <v>98.826547000000005</v>
      </c>
      <c r="D1004">
        <v>105.000878</v>
      </c>
      <c r="E1004">
        <v>1</v>
      </c>
      <c r="F1004">
        <v>1</v>
      </c>
      <c r="G1004">
        <v>0.26100000000000001</v>
      </c>
      <c r="H1004">
        <v>0</v>
      </c>
      <c r="I1004" t="s">
        <v>0</v>
      </c>
      <c r="J1004" t="s">
        <v>59</v>
      </c>
      <c r="K1004">
        <v>0</v>
      </c>
      <c r="L1004" t="s">
        <v>60</v>
      </c>
      <c r="M1004">
        <v>1</v>
      </c>
      <c r="N1004" t="s">
        <v>67</v>
      </c>
      <c r="O1004" s="2">
        <v>0.50069444444444444</v>
      </c>
      <c r="P1004">
        <f>-0.0022107406*3600</f>
        <v>-7.9586661599999999</v>
      </c>
      <c r="Q1004">
        <f>-0.0027581909*3600</f>
        <v>-9.9294872400000003</v>
      </c>
    </row>
    <row r="1005" spans="1:17" x14ac:dyDescent="0.3">
      <c r="A1005" s="4" t="s">
        <v>47</v>
      </c>
      <c r="B1005" s="5" t="s">
        <v>611</v>
      </c>
      <c r="C1005">
        <v>98.82732</v>
      </c>
      <c r="D1005">
        <v>105.000905</v>
      </c>
      <c r="E1005">
        <v>1</v>
      </c>
      <c r="F1005">
        <v>1</v>
      </c>
      <c r="G1005">
        <v>0.26100000000000001</v>
      </c>
      <c r="H1005">
        <v>0</v>
      </c>
      <c r="I1005" t="s">
        <v>0</v>
      </c>
      <c r="J1005" t="s">
        <v>59</v>
      </c>
      <c r="K1005">
        <v>0</v>
      </c>
      <c r="L1005" t="s">
        <v>60</v>
      </c>
      <c r="M1005">
        <v>1</v>
      </c>
      <c r="N1005" t="s">
        <v>67</v>
      </c>
      <c r="O1005" s="2">
        <v>0.50069444444444444</v>
      </c>
      <c r="P1005">
        <f>-0.002217327*3600</f>
        <v>-7.9823771999999993</v>
      </c>
      <c r="Q1005">
        <f>-0.0027240513*3600</f>
        <v>-9.8065846800000003</v>
      </c>
    </row>
    <row r="1006" spans="1:17" x14ac:dyDescent="0.3">
      <c r="A1006" s="4" t="s">
        <v>47</v>
      </c>
      <c r="B1006" s="5" t="s">
        <v>612</v>
      </c>
      <c r="C1006">
        <v>98.827135999999996</v>
      </c>
      <c r="D1006">
        <v>105.00088100000001</v>
      </c>
      <c r="E1006">
        <v>1</v>
      </c>
      <c r="F1006">
        <v>1</v>
      </c>
      <c r="G1006">
        <v>0.26100000000000001</v>
      </c>
      <c r="H1006">
        <v>0</v>
      </c>
      <c r="I1006" t="s">
        <v>0</v>
      </c>
      <c r="J1006" t="s">
        <v>59</v>
      </c>
      <c r="K1006">
        <v>0</v>
      </c>
      <c r="L1006" t="s">
        <v>60</v>
      </c>
      <c r="M1006">
        <v>1</v>
      </c>
      <c r="N1006" t="s">
        <v>67</v>
      </c>
      <c r="O1006" s="2">
        <v>0.50069444444444444</v>
      </c>
      <c r="P1006">
        <f>-0.002181618*3600</f>
        <v>-7.8538248000000008</v>
      </c>
      <c r="Q1006">
        <f>-0.0027409344*3600</f>
        <v>-9.8673638400000012</v>
      </c>
    </row>
    <row r="1007" spans="1:17" x14ac:dyDescent="0.3">
      <c r="A1007" s="4" t="s">
        <v>47</v>
      </c>
      <c r="B1007" s="5" t="s">
        <v>613</v>
      </c>
      <c r="C1007">
        <v>98.827055000000001</v>
      </c>
      <c r="D1007">
        <v>105.000862</v>
      </c>
      <c r="E1007">
        <v>1</v>
      </c>
      <c r="F1007">
        <v>1</v>
      </c>
      <c r="G1007">
        <v>0.26100000000000001</v>
      </c>
      <c r="H1007">
        <v>0</v>
      </c>
      <c r="I1007" t="s">
        <v>0</v>
      </c>
      <c r="J1007" t="s">
        <v>59</v>
      </c>
      <c r="K1007">
        <v>0</v>
      </c>
      <c r="L1007" t="s">
        <v>60</v>
      </c>
      <c r="M1007">
        <v>1</v>
      </c>
      <c r="N1007" t="s">
        <v>67</v>
      </c>
      <c r="O1007" s="2">
        <v>0.50069444444444444</v>
      </c>
      <c r="P1007">
        <f>-0.0021640107*3600</f>
        <v>-7.7904385199999995</v>
      </c>
      <c r="Q1007">
        <f>-0.002758893*3600</f>
        <v>-9.932014800000001</v>
      </c>
    </row>
    <row r="1008" spans="1:17" x14ac:dyDescent="0.3">
      <c r="A1008" s="4" t="s">
        <v>47</v>
      </c>
      <c r="B1008" s="5" t="s">
        <v>614</v>
      </c>
      <c r="C1008">
        <v>98.826976999999999</v>
      </c>
      <c r="D1008">
        <v>105.000925</v>
      </c>
      <c r="E1008">
        <v>1</v>
      </c>
      <c r="F1008">
        <v>1</v>
      </c>
      <c r="G1008">
        <v>0.26100000000000001</v>
      </c>
      <c r="H1008">
        <v>0</v>
      </c>
      <c r="I1008" t="s">
        <v>0</v>
      </c>
      <c r="J1008" t="s">
        <v>59</v>
      </c>
      <c r="K1008">
        <v>0</v>
      </c>
      <c r="L1008" t="s">
        <v>60</v>
      </c>
      <c r="M1008">
        <v>1</v>
      </c>
      <c r="N1008" t="s">
        <v>67</v>
      </c>
      <c r="O1008" s="2">
        <v>0.50069444444444444</v>
      </c>
      <c r="P1008">
        <f>-0.0021675159*3600</f>
        <v>-7.8030572399999993</v>
      </c>
      <c r="Q1008">
        <f>-0.0027248913*3600</f>
        <v>-9.8096086799999984</v>
      </c>
    </row>
    <row r="1009" spans="1:17" x14ac:dyDescent="0.3">
      <c r="A1009" s="4" t="s">
        <v>47</v>
      </c>
      <c r="B1009" s="5" t="s">
        <v>615</v>
      </c>
      <c r="C1009">
        <v>98.827333999999993</v>
      </c>
      <c r="D1009">
        <v>105.00097</v>
      </c>
      <c r="E1009">
        <v>1</v>
      </c>
      <c r="F1009">
        <v>1</v>
      </c>
      <c r="G1009">
        <v>0.26100000000000001</v>
      </c>
      <c r="H1009">
        <v>0</v>
      </c>
      <c r="I1009" t="s">
        <v>0</v>
      </c>
      <c r="J1009" t="s">
        <v>59</v>
      </c>
      <c r="K1009">
        <v>0</v>
      </c>
      <c r="L1009" t="s">
        <v>60</v>
      </c>
      <c r="M1009">
        <v>1</v>
      </c>
      <c r="N1009" t="s">
        <v>67</v>
      </c>
      <c r="O1009" s="2">
        <v>0.50069444444444444</v>
      </c>
      <c r="P1009">
        <f>-0.0020925763*3600</f>
        <v>-7.5332746800000008</v>
      </c>
      <c r="Q1009">
        <f>-0.0026762877*3600</f>
        <v>-9.6346357200000003</v>
      </c>
    </row>
    <row r="1010" spans="1:17" x14ac:dyDescent="0.3">
      <c r="A1010" s="4" t="s">
        <v>47</v>
      </c>
      <c r="B1010" s="5" t="s">
        <v>616</v>
      </c>
      <c r="C1010">
        <v>98.827268000000004</v>
      </c>
      <c r="D1010">
        <v>105.00086400000001</v>
      </c>
      <c r="E1010">
        <v>1</v>
      </c>
      <c r="F1010">
        <v>1</v>
      </c>
      <c r="G1010">
        <v>0.26100000000000001</v>
      </c>
      <c r="H1010">
        <v>0</v>
      </c>
      <c r="I1010" t="s">
        <v>0</v>
      </c>
      <c r="J1010" t="s">
        <v>59</v>
      </c>
      <c r="K1010">
        <v>0</v>
      </c>
      <c r="L1010" t="s">
        <v>60</v>
      </c>
      <c r="M1010">
        <v>1</v>
      </c>
      <c r="N1010" t="s">
        <v>67</v>
      </c>
      <c r="O1010" s="2">
        <v>0.50069444444444444</v>
      </c>
      <c r="P1010">
        <f>-0.0021477379*3600</f>
        <v>-7.7318564400000005</v>
      </c>
      <c r="Q1010">
        <f>-0.0027872435*3600</f>
        <v>-10.034076600000001</v>
      </c>
    </row>
    <row r="1011" spans="1:17" x14ac:dyDescent="0.3">
      <c r="A1011" s="4" t="s">
        <v>47</v>
      </c>
      <c r="B1011" s="5" t="s">
        <v>617</v>
      </c>
      <c r="C1011">
        <v>98.826633000000001</v>
      </c>
      <c r="D1011">
        <v>105.000938</v>
      </c>
      <c r="E1011">
        <v>1</v>
      </c>
      <c r="F1011">
        <v>1</v>
      </c>
      <c r="G1011">
        <v>0.26100000000000001</v>
      </c>
      <c r="H1011">
        <v>0</v>
      </c>
      <c r="I1011" t="s">
        <v>0</v>
      </c>
      <c r="J1011" t="s">
        <v>59</v>
      </c>
      <c r="K1011">
        <v>0</v>
      </c>
      <c r="L1011" t="s">
        <v>60</v>
      </c>
      <c r="M1011">
        <v>1</v>
      </c>
      <c r="N1011" t="s">
        <v>67</v>
      </c>
      <c r="O1011" s="2">
        <v>0.50069444444444444</v>
      </c>
      <c r="P1011">
        <f>-0.0023717148*3600</f>
        <v>-8.5381732799999988</v>
      </c>
      <c r="Q1011">
        <f>-0.0027360774*3600</f>
        <v>-9.84987864</v>
      </c>
    </row>
    <row r="1012" spans="1:17" x14ac:dyDescent="0.3">
      <c r="A1012" s="4" t="s">
        <v>47</v>
      </c>
      <c r="B1012" s="5" t="s">
        <v>618</v>
      </c>
      <c r="C1012">
        <v>98.825852999999995</v>
      </c>
      <c r="D1012">
        <v>105.00102200000001</v>
      </c>
      <c r="E1012">
        <v>1</v>
      </c>
      <c r="F1012">
        <v>1</v>
      </c>
      <c r="G1012">
        <v>0.26100000000000001</v>
      </c>
      <c r="H1012">
        <v>0</v>
      </c>
      <c r="I1012" t="s">
        <v>0</v>
      </c>
      <c r="J1012" t="s">
        <v>59</v>
      </c>
      <c r="K1012">
        <v>0</v>
      </c>
      <c r="L1012" t="s">
        <v>60</v>
      </c>
      <c r="M1012">
        <v>1</v>
      </c>
      <c r="N1012" t="s">
        <v>67</v>
      </c>
      <c r="O1012" s="2">
        <v>0.50069444444444444</v>
      </c>
      <c r="P1012">
        <f>-0.0022538679*3600</f>
        <v>-8.1139244399999999</v>
      </c>
      <c r="Q1012">
        <f>-0.0026490061*3600</f>
        <v>-9.5364219599999984</v>
      </c>
    </row>
    <row r="1013" spans="1:17" x14ac:dyDescent="0.3">
      <c r="A1013" s="4" t="s">
        <v>47</v>
      </c>
      <c r="B1013" s="5" t="s">
        <v>619</v>
      </c>
      <c r="C1013">
        <v>98.826671000000005</v>
      </c>
      <c r="D1013">
        <v>105.001001</v>
      </c>
      <c r="E1013">
        <v>1</v>
      </c>
      <c r="F1013">
        <v>1</v>
      </c>
      <c r="G1013">
        <v>0.26100000000000001</v>
      </c>
      <c r="H1013">
        <v>0</v>
      </c>
      <c r="I1013" t="s">
        <v>0</v>
      </c>
      <c r="J1013" t="s">
        <v>59</v>
      </c>
      <c r="K1013">
        <v>0</v>
      </c>
      <c r="L1013" t="s">
        <v>60</v>
      </c>
      <c r="M1013">
        <v>1</v>
      </c>
      <c r="N1013" t="s">
        <v>67</v>
      </c>
      <c r="O1013" s="2">
        <v>0.50069444444444444</v>
      </c>
      <c r="P1013">
        <f>-0.0023160522*3600</f>
        <v>-8.3377879200000002</v>
      </c>
      <c r="Q1013">
        <f>-0.0027208939*3600</f>
        <v>-9.79521804</v>
      </c>
    </row>
    <row r="1014" spans="1:17" x14ac:dyDescent="0.3">
      <c r="A1014" s="4" t="s">
        <v>47</v>
      </c>
      <c r="B1014" s="5" t="s">
        <v>620</v>
      </c>
      <c r="C1014">
        <v>98.826628999999997</v>
      </c>
      <c r="D1014">
        <v>105.000766</v>
      </c>
      <c r="E1014">
        <v>1</v>
      </c>
      <c r="F1014">
        <v>1</v>
      </c>
      <c r="G1014">
        <v>0.26100000000000001</v>
      </c>
      <c r="H1014">
        <v>0</v>
      </c>
      <c r="I1014" t="s">
        <v>0</v>
      </c>
      <c r="J1014" t="s">
        <v>59</v>
      </c>
      <c r="K1014">
        <v>0</v>
      </c>
      <c r="L1014" t="s">
        <v>60</v>
      </c>
      <c r="M1014">
        <v>1</v>
      </c>
      <c r="N1014" t="s">
        <v>67</v>
      </c>
      <c r="O1014" s="2">
        <v>0.50069444444444444</v>
      </c>
      <c r="P1014">
        <f>-0.0023862248*3600</f>
        <v>-8.5904092799999994</v>
      </c>
      <c r="Q1014">
        <f>-0.0029546177*3600</f>
        <v>-10.636623719999999</v>
      </c>
    </row>
    <row r="1015" spans="1:17" x14ac:dyDescent="0.3">
      <c r="A1015" s="4" t="s">
        <v>47</v>
      </c>
      <c r="B1015" s="5" t="s">
        <v>621</v>
      </c>
      <c r="C1015">
        <v>98.826669999999993</v>
      </c>
      <c r="D1015">
        <v>105.000879</v>
      </c>
      <c r="E1015">
        <v>1</v>
      </c>
      <c r="F1015">
        <v>1</v>
      </c>
      <c r="G1015">
        <v>0.26100000000000001</v>
      </c>
      <c r="H1015">
        <v>0</v>
      </c>
      <c r="I1015" t="s">
        <v>0</v>
      </c>
      <c r="J1015" t="s">
        <v>59</v>
      </c>
      <c r="K1015">
        <v>0</v>
      </c>
      <c r="L1015" t="s">
        <v>60</v>
      </c>
      <c r="M1015">
        <v>1</v>
      </c>
      <c r="N1015" t="s">
        <v>67</v>
      </c>
      <c r="O1015" s="2">
        <v>0.50138888888888888</v>
      </c>
      <c r="P1015">
        <f>-0.0024014443*3600</f>
        <v>-8.6451994800000005</v>
      </c>
      <c r="Q1015">
        <f>-0.0028531278*3600</f>
        <v>-10.271260079999999</v>
      </c>
    </row>
    <row r="1016" spans="1:17" x14ac:dyDescent="0.3">
      <c r="A1016" s="4" t="s">
        <v>47</v>
      </c>
      <c r="B1016" s="5" t="s">
        <v>622</v>
      </c>
      <c r="C1016">
        <v>98.827128999999999</v>
      </c>
      <c r="D1016">
        <v>105.000855</v>
      </c>
      <c r="E1016">
        <v>1</v>
      </c>
      <c r="F1016">
        <v>1</v>
      </c>
      <c r="G1016">
        <v>0.26100000000000001</v>
      </c>
      <c r="H1016">
        <v>0</v>
      </c>
      <c r="I1016" t="s">
        <v>0</v>
      </c>
      <c r="J1016" t="s">
        <v>59</v>
      </c>
      <c r="K1016">
        <v>0</v>
      </c>
      <c r="L1016" t="s">
        <v>60</v>
      </c>
      <c r="M1016">
        <v>1</v>
      </c>
      <c r="N1016" t="s">
        <v>67</v>
      </c>
      <c r="O1016" s="2">
        <v>0.50138888888888888</v>
      </c>
      <c r="P1016">
        <f>-0.0023692857*3600</f>
        <v>-8.5294285199999997</v>
      </c>
      <c r="Q1016">
        <f>-0.0028928475*3600</f>
        <v>-10.414251</v>
      </c>
    </row>
    <row r="1017" spans="1:17" x14ac:dyDescent="0.3">
      <c r="A1017" s="4" t="s">
        <v>47</v>
      </c>
      <c r="B1017" s="5" t="s">
        <v>623</v>
      </c>
      <c r="C1017">
        <v>98.826937999999998</v>
      </c>
      <c r="D1017">
        <v>105.00082999999999</v>
      </c>
      <c r="E1017">
        <v>1</v>
      </c>
      <c r="F1017">
        <v>1</v>
      </c>
      <c r="G1017">
        <v>0.26100000000000001</v>
      </c>
      <c r="H1017">
        <v>0</v>
      </c>
      <c r="I1017" t="s">
        <v>0</v>
      </c>
      <c r="J1017" t="s">
        <v>59</v>
      </c>
      <c r="K1017">
        <v>0</v>
      </c>
      <c r="L1017" t="s">
        <v>60</v>
      </c>
      <c r="M1017">
        <v>1</v>
      </c>
      <c r="N1017" t="s">
        <v>67</v>
      </c>
      <c r="O1017" s="2">
        <v>0.50138888888888888</v>
      </c>
      <c r="P1017">
        <f>-0.0023339755*3600</f>
        <v>-8.4023117999999997</v>
      </c>
      <c r="Q1017">
        <f>-0.0029017517*3600</f>
        <v>-10.446306119999999</v>
      </c>
    </row>
    <row r="1018" spans="1:17" x14ac:dyDescent="0.3">
      <c r="A1018" s="4" t="s">
        <v>47</v>
      </c>
      <c r="B1018" s="6" t="s">
        <v>624</v>
      </c>
      <c r="C1018">
        <v>298.82681000000002</v>
      </c>
      <c r="D1018">
        <v>295.05155100000002</v>
      </c>
      <c r="E1018">
        <v>19.663599999999999</v>
      </c>
      <c r="F1018">
        <v>19.6008</v>
      </c>
      <c r="G1018">
        <v>0.26100000000000001</v>
      </c>
      <c r="H1018">
        <v>0</v>
      </c>
      <c r="I1018" t="s">
        <v>0</v>
      </c>
      <c r="J1018" t="s">
        <v>59</v>
      </c>
      <c r="K1018">
        <v>3.4000000000000002E-2</v>
      </c>
      <c r="L1018" t="s">
        <v>60</v>
      </c>
      <c r="M1018">
        <v>1</v>
      </c>
      <c r="N1018" t="s">
        <v>53</v>
      </c>
      <c r="O1018" s="2">
        <v>0.50138888888888888</v>
      </c>
      <c r="P1018">
        <f>0.0016297717*3600</f>
        <v>5.8671781200000002</v>
      </c>
      <c r="Q1018">
        <f>0.0031234345*3600</f>
        <v>11.244364200000001</v>
      </c>
    </row>
    <row r="1019" spans="1:17" x14ac:dyDescent="0.3">
      <c r="A1019" s="4" t="s">
        <v>47</v>
      </c>
      <c r="B1019" s="6" t="s">
        <v>625</v>
      </c>
      <c r="C1019">
        <v>298.826773</v>
      </c>
      <c r="D1019">
        <v>295.00220400000001</v>
      </c>
      <c r="E1019">
        <v>1</v>
      </c>
      <c r="F1019">
        <v>1</v>
      </c>
      <c r="G1019">
        <v>0.26100000000000001</v>
      </c>
      <c r="H1019">
        <v>0</v>
      </c>
      <c r="I1019" t="s">
        <v>0</v>
      </c>
      <c r="J1019" t="s">
        <v>59</v>
      </c>
      <c r="K1019">
        <v>0</v>
      </c>
      <c r="L1019" t="s">
        <v>60</v>
      </c>
      <c r="M1019">
        <v>1</v>
      </c>
      <c r="N1019" t="s">
        <v>67</v>
      </c>
      <c r="O1019" s="2">
        <v>0.50208333333333333</v>
      </c>
      <c r="P1019">
        <f>0.0019988541*3600</f>
        <v>7.1958747599999997</v>
      </c>
      <c r="Q1019">
        <f>0.003051345*3600</f>
        <v>10.984842</v>
      </c>
    </row>
    <row r="1020" spans="1:17" x14ac:dyDescent="0.3">
      <c r="A1020" s="4" t="s">
        <v>47</v>
      </c>
      <c r="B1020" s="6" t="s">
        <v>626</v>
      </c>
      <c r="C1020">
        <v>298.826663</v>
      </c>
      <c r="D1020">
        <v>295.00241199999999</v>
      </c>
      <c r="E1020">
        <v>1</v>
      </c>
      <c r="F1020">
        <v>1</v>
      </c>
      <c r="G1020">
        <v>0.26100000000000001</v>
      </c>
      <c r="H1020">
        <v>0</v>
      </c>
      <c r="I1020" t="s">
        <v>0</v>
      </c>
      <c r="J1020" t="s">
        <v>59</v>
      </c>
      <c r="K1020">
        <v>0</v>
      </c>
      <c r="L1020" t="s">
        <v>60</v>
      </c>
      <c r="M1020">
        <v>1</v>
      </c>
      <c r="N1020" t="s">
        <v>67</v>
      </c>
      <c r="O1020" s="2">
        <v>0.50208333333333333</v>
      </c>
      <c r="P1020">
        <f>0.0020245274*3600</f>
        <v>7.2882986399999998</v>
      </c>
      <c r="Q1020">
        <f>0.0032660859*3600</f>
        <v>11.75790924</v>
      </c>
    </row>
    <row r="1021" spans="1:17" x14ac:dyDescent="0.3">
      <c r="A1021" s="4" t="s">
        <v>47</v>
      </c>
      <c r="B1021" s="6" t="s">
        <v>627</v>
      </c>
      <c r="C1021">
        <v>298.82628599999998</v>
      </c>
      <c r="D1021">
        <v>295.002408</v>
      </c>
      <c r="E1021">
        <v>1</v>
      </c>
      <c r="F1021">
        <v>1</v>
      </c>
      <c r="G1021">
        <v>0.26100000000000001</v>
      </c>
      <c r="H1021">
        <v>0</v>
      </c>
      <c r="I1021" t="s">
        <v>0</v>
      </c>
      <c r="J1021" t="s">
        <v>59</v>
      </c>
      <c r="K1021">
        <v>0</v>
      </c>
      <c r="L1021" t="s">
        <v>60</v>
      </c>
      <c r="M1021">
        <v>1</v>
      </c>
      <c r="N1021" t="s">
        <v>67</v>
      </c>
      <c r="O1021" s="2">
        <v>0.50208333333333333</v>
      </c>
      <c r="P1021">
        <f>0.0019556408*3600</f>
        <v>7.0403068800000002</v>
      </c>
      <c r="Q1021">
        <f>0.0032633291*3600</f>
        <v>11.747984760000001</v>
      </c>
    </row>
    <row r="1022" spans="1:17" x14ac:dyDescent="0.3">
      <c r="A1022" s="4" t="s">
        <v>47</v>
      </c>
      <c r="B1022" s="6" t="s">
        <v>628</v>
      </c>
      <c r="C1022">
        <v>298.826819</v>
      </c>
      <c r="D1022">
        <v>295.00240100000002</v>
      </c>
      <c r="E1022">
        <v>1</v>
      </c>
      <c r="F1022">
        <v>1</v>
      </c>
      <c r="G1022">
        <v>0.26100000000000001</v>
      </c>
      <c r="H1022">
        <v>0</v>
      </c>
      <c r="I1022" t="s">
        <v>0</v>
      </c>
      <c r="J1022" t="s">
        <v>59</v>
      </c>
      <c r="K1022">
        <v>0</v>
      </c>
      <c r="L1022" t="s">
        <v>60</v>
      </c>
      <c r="M1022">
        <v>1</v>
      </c>
      <c r="N1022" t="s">
        <v>67</v>
      </c>
      <c r="O1022" s="2">
        <v>0.50208333333333333</v>
      </c>
      <c r="P1022">
        <f>0.0019745524*3600</f>
        <v>7.1083886400000011</v>
      </c>
      <c r="Q1022">
        <f>0.003245172*3600</f>
        <v>11.682619200000001</v>
      </c>
    </row>
    <row r="1023" spans="1:17" x14ac:dyDescent="0.3">
      <c r="A1023" s="4" t="s">
        <v>47</v>
      </c>
      <c r="B1023" s="6" t="s">
        <v>629</v>
      </c>
      <c r="C1023">
        <v>298.82658500000002</v>
      </c>
      <c r="D1023">
        <v>295.00241399999999</v>
      </c>
      <c r="E1023">
        <v>1</v>
      </c>
      <c r="F1023">
        <v>1</v>
      </c>
      <c r="G1023">
        <v>0.26100000000000001</v>
      </c>
      <c r="H1023">
        <v>0</v>
      </c>
      <c r="I1023" t="s">
        <v>0</v>
      </c>
      <c r="J1023" t="s">
        <v>59</v>
      </c>
      <c r="K1023">
        <v>0</v>
      </c>
      <c r="L1023" t="s">
        <v>60</v>
      </c>
      <c r="M1023">
        <v>1</v>
      </c>
      <c r="N1023" t="s">
        <v>67</v>
      </c>
      <c r="O1023" s="2">
        <v>0.50208333333333333</v>
      </c>
      <c r="P1023">
        <f>0.0020384104*3600</f>
        <v>7.3382774400000006</v>
      </c>
      <c r="Q1023">
        <f>0.0032628523*3600</f>
        <v>11.746268280000001</v>
      </c>
    </row>
    <row r="1024" spans="1:17" x14ac:dyDescent="0.3">
      <c r="A1024" s="4" t="s">
        <v>47</v>
      </c>
      <c r="B1024" s="6" t="s">
        <v>630</v>
      </c>
      <c r="C1024">
        <v>298.82667099999998</v>
      </c>
      <c r="D1024">
        <v>295.00239499999998</v>
      </c>
      <c r="E1024">
        <v>1</v>
      </c>
      <c r="F1024">
        <v>1</v>
      </c>
      <c r="G1024">
        <v>0.26100000000000001</v>
      </c>
      <c r="H1024">
        <v>0</v>
      </c>
      <c r="I1024" t="s">
        <v>0</v>
      </c>
      <c r="J1024" t="s">
        <v>59</v>
      </c>
      <c r="K1024">
        <v>0</v>
      </c>
      <c r="L1024" t="s">
        <v>60</v>
      </c>
      <c r="M1024">
        <v>1</v>
      </c>
      <c r="N1024" t="s">
        <v>67</v>
      </c>
      <c r="O1024" s="2">
        <v>0.50208333333333333</v>
      </c>
      <c r="P1024">
        <f>0.0020164018*3600</f>
        <v>7.2590464800000003</v>
      </c>
      <c r="Q1024">
        <f>0.0032320617*3600</f>
        <v>11.635422119999999</v>
      </c>
    </row>
    <row r="1025" spans="1:17" x14ac:dyDescent="0.3">
      <c r="A1025" s="4" t="s">
        <v>47</v>
      </c>
      <c r="B1025" s="6" t="s">
        <v>631</v>
      </c>
      <c r="C1025">
        <v>298.82658500000002</v>
      </c>
      <c r="D1025">
        <v>295.002388</v>
      </c>
      <c r="E1025">
        <v>1</v>
      </c>
      <c r="F1025">
        <v>1</v>
      </c>
      <c r="G1025">
        <v>0.26100000000000001</v>
      </c>
      <c r="H1025">
        <v>0</v>
      </c>
      <c r="I1025" t="s">
        <v>0</v>
      </c>
      <c r="J1025" t="s">
        <v>59</v>
      </c>
      <c r="K1025">
        <v>0</v>
      </c>
      <c r="L1025" t="s">
        <v>60</v>
      </c>
      <c r="M1025">
        <v>1</v>
      </c>
      <c r="N1025" t="s">
        <v>67</v>
      </c>
      <c r="O1025" s="2">
        <v>0.50208333333333333</v>
      </c>
      <c r="P1025">
        <f>0.0020030642*3600</f>
        <v>7.2110311200000003</v>
      </c>
      <c r="Q1025">
        <f>0.0032505103*3600</f>
        <v>11.701837080000001</v>
      </c>
    </row>
    <row r="1026" spans="1:17" x14ac:dyDescent="0.3">
      <c r="A1026" s="4" t="s">
        <v>47</v>
      </c>
      <c r="B1026" s="6" t="s">
        <v>632</v>
      </c>
      <c r="C1026">
        <v>298.82679000000002</v>
      </c>
      <c r="D1026">
        <v>295.002455</v>
      </c>
      <c r="E1026">
        <v>1</v>
      </c>
      <c r="F1026">
        <v>1</v>
      </c>
      <c r="G1026">
        <v>0.26100000000000001</v>
      </c>
      <c r="H1026">
        <v>0</v>
      </c>
      <c r="I1026" t="s">
        <v>0</v>
      </c>
      <c r="J1026" t="s">
        <v>59</v>
      </c>
      <c r="K1026">
        <v>0</v>
      </c>
      <c r="L1026" t="s">
        <v>60</v>
      </c>
      <c r="M1026">
        <v>1</v>
      </c>
      <c r="N1026" t="s">
        <v>67</v>
      </c>
      <c r="O1026" s="2">
        <v>0.50208333333333333</v>
      </c>
      <c r="P1026">
        <f>0.0020079956*3600</f>
        <v>7.22878416</v>
      </c>
      <c r="Q1026">
        <f>0.0033036677*3600</f>
        <v>11.893203720000001</v>
      </c>
    </row>
    <row r="1027" spans="1:17" x14ac:dyDescent="0.3">
      <c r="A1027" s="4" t="s">
        <v>47</v>
      </c>
      <c r="B1027" s="6" t="s">
        <v>633</v>
      </c>
      <c r="C1027">
        <v>298.82662199999999</v>
      </c>
      <c r="D1027">
        <v>295.00235800000002</v>
      </c>
      <c r="E1027">
        <v>1</v>
      </c>
      <c r="F1027">
        <v>1</v>
      </c>
      <c r="G1027">
        <v>0.26100000000000001</v>
      </c>
      <c r="H1027">
        <v>0</v>
      </c>
      <c r="I1027" t="s">
        <v>0</v>
      </c>
      <c r="J1027" t="s">
        <v>59</v>
      </c>
      <c r="K1027">
        <v>0</v>
      </c>
      <c r="L1027" t="s">
        <v>60</v>
      </c>
      <c r="M1027">
        <v>1</v>
      </c>
      <c r="N1027" t="s">
        <v>67</v>
      </c>
      <c r="O1027" s="2">
        <v>0.50208333333333333</v>
      </c>
      <c r="P1027">
        <f>0.0020099588*3600</f>
        <v>7.2358516799999997</v>
      </c>
      <c r="Q1027">
        <f>0.0032206509*3600</f>
        <v>11.594343240000001</v>
      </c>
    </row>
    <row r="1028" spans="1:17" x14ac:dyDescent="0.3">
      <c r="A1028" s="4" t="s">
        <v>47</v>
      </c>
      <c r="B1028" s="6" t="s">
        <v>634</v>
      </c>
      <c r="C1028">
        <v>298.827337</v>
      </c>
      <c r="D1028">
        <v>295.002363</v>
      </c>
      <c r="E1028">
        <v>1</v>
      </c>
      <c r="F1028">
        <v>1</v>
      </c>
      <c r="G1028">
        <v>0.26100000000000001</v>
      </c>
      <c r="H1028">
        <v>0</v>
      </c>
      <c r="I1028" t="s">
        <v>0</v>
      </c>
      <c r="J1028" t="s">
        <v>59</v>
      </c>
      <c r="K1028">
        <v>0</v>
      </c>
      <c r="L1028" t="s">
        <v>60</v>
      </c>
      <c r="M1028">
        <v>1</v>
      </c>
      <c r="N1028" t="s">
        <v>67</v>
      </c>
      <c r="O1028" s="2">
        <v>0.50208333333333333</v>
      </c>
      <c r="P1028">
        <f>0.0021344607*3600</f>
        <v>7.6840585200000007</v>
      </c>
      <c r="Q1028">
        <f>0.0032068738*3600</f>
        <v>11.54474568</v>
      </c>
    </row>
    <row r="1029" spans="1:17" x14ac:dyDescent="0.3">
      <c r="A1029" s="4" t="s">
        <v>47</v>
      </c>
      <c r="B1029" s="6" t="s">
        <v>635</v>
      </c>
      <c r="C1029">
        <v>298.82663700000001</v>
      </c>
      <c r="D1029">
        <v>295.00240700000001</v>
      </c>
      <c r="E1029">
        <v>1</v>
      </c>
      <c r="F1029">
        <v>1</v>
      </c>
      <c r="G1029">
        <v>0.26100000000000001</v>
      </c>
      <c r="H1029">
        <v>0</v>
      </c>
      <c r="I1029" t="s">
        <v>0</v>
      </c>
      <c r="J1029" t="s">
        <v>59</v>
      </c>
      <c r="K1029">
        <v>0</v>
      </c>
      <c r="L1029" t="s">
        <v>60</v>
      </c>
      <c r="M1029">
        <v>1</v>
      </c>
      <c r="N1029" t="s">
        <v>67</v>
      </c>
      <c r="O1029" s="2">
        <v>0.50208333333333333</v>
      </c>
      <c r="P1029">
        <f>0.0020937124*3600</f>
        <v>7.5373646399999998</v>
      </c>
      <c r="Q1029">
        <f>0.0032419653*3600</f>
        <v>11.67107508</v>
      </c>
    </row>
    <row r="1030" spans="1:17" x14ac:dyDescent="0.3">
      <c r="A1030" s="4" t="s">
        <v>47</v>
      </c>
      <c r="B1030" s="6" t="s">
        <v>636</v>
      </c>
      <c r="C1030">
        <v>298.82683600000001</v>
      </c>
      <c r="D1030">
        <v>295.002408</v>
      </c>
      <c r="E1030">
        <v>1</v>
      </c>
      <c r="F1030">
        <v>1</v>
      </c>
      <c r="G1030">
        <v>0.26100000000000001</v>
      </c>
      <c r="H1030">
        <v>0</v>
      </c>
      <c r="I1030" t="s">
        <v>0</v>
      </c>
      <c r="J1030" t="s">
        <v>59</v>
      </c>
      <c r="K1030">
        <v>0</v>
      </c>
      <c r="L1030" t="s">
        <v>60</v>
      </c>
      <c r="M1030">
        <v>1</v>
      </c>
      <c r="N1030" t="s">
        <v>67</v>
      </c>
      <c r="O1030" s="2">
        <v>0.50208333333333333</v>
      </c>
      <c r="P1030">
        <f>0.0020872558*3600</f>
        <v>7.5141208800000001</v>
      </c>
      <c r="Q1030">
        <f>0.0032527011*3600</f>
        <v>11.70972396</v>
      </c>
    </row>
    <row r="1031" spans="1:17" x14ac:dyDescent="0.3">
      <c r="A1031" s="4" t="s">
        <v>47</v>
      </c>
      <c r="B1031" s="6" t="s">
        <v>637</v>
      </c>
      <c r="C1031">
        <v>298.82679300000001</v>
      </c>
      <c r="D1031">
        <v>295.00242700000001</v>
      </c>
      <c r="E1031">
        <v>1</v>
      </c>
      <c r="F1031">
        <v>1</v>
      </c>
      <c r="G1031">
        <v>0.26100000000000001</v>
      </c>
      <c r="H1031">
        <v>0</v>
      </c>
      <c r="I1031" t="s">
        <v>0</v>
      </c>
      <c r="J1031" t="s">
        <v>59</v>
      </c>
      <c r="K1031">
        <v>0</v>
      </c>
      <c r="L1031" t="s">
        <v>60</v>
      </c>
      <c r="M1031">
        <v>1</v>
      </c>
      <c r="N1031" t="s">
        <v>67</v>
      </c>
      <c r="O1031" s="2">
        <v>0.50208333333333333</v>
      </c>
      <c r="P1031">
        <f>0.0020721674*3600</f>
        <v>7.4598026399999995</v>
      </c>
      <c r="Q1031">
        <f>0.0032759206*3600</f>
        <v>11.79331416</v>
      </c>
    </row>
    <row r="1032" spans="1:17" x14ac:dyDescent="0.3">
      <c r="A1032" s="4" t="s">
        <v>47</v>
      </c>
      <c r="B1032" s="6" t="s">
        <v>638</v>
      </c>
      <c r="C1032">
        <v>298.827043</v>
      </c>
      <c r="D1032">
        <v>295.002498</v>
      </c>
      <c r="E1032">
        <v>1</v>
      </c>
      <c r="F1032">
        <v>1</v>
      </c>
      <c r="G1032">
        <v>0.26100000000000001</v>
      </c>
      <c r="H1032">
        <v>0</v>
      </c>
      <c r="I1032" t="s">
        <v>0</v>
      </c>
      <c r="J1032" t="s">
        <v>59</v>
      </c>
      <c r="K1032">
        <v>0</v>
      </c>
      <c r="L1032" t="s">
        <v>60</v>
      </c>
      <c r="M1032">
        <v>1</v>
      </c>
      <c r="N1032" t="s">
        <v>67</v>
      </c>
      <c r="O1032" s="2">
        <v>0.50208333333333333</v>
      </c>
      <c r="P1032">
        <f>0.002199005*3600</f>
        <v>7.9164180000000002</v>
      </c>
      <c r="Q1032">
        <f>0.0033518921*3600</f>
        <v>12.06681156</v>
      </c>
    </row>
    <row r="1033" spans="1:17" x14ac:dyDescent="0.3">
      <c r="A1033" s="4" t="s">
        <v>47</v>
      </c>
      <c r="B1033" s="6" t="s">
        <v>639</v>
      </c>
      <c r="C1033">
        <v>298.82673</v>
      </c>
      <c r="D1033">
        <v>295.002363</v>
      </c>
      <c r="E1033">
        <v>1</v>
      </c>
      <c r="F1033">
        <v>1</v>
      </c>
      <c r="G1033">
        <v>0.26100000000000001</v>
      </c>
      <c r="H1033">
        <v>0</v>
      </c>
      <c r="I1033" t="s">
        <v>0</v>
      </c>
      <c r="J1033" t="s">
        <v>59</v>
      </c>
      <c r="K1033">
        <v>0</v>
      </c>
      <c r="L1033" t="s">
        <v>60</v>
      </c>
      <c r="M1033">
        <v>1</v>
      </c>
      <c r="N1033" t="s">
        <v>67</v>
      </c>
      <c r="O1033" s="2">
        <v>0.50208333333333333</v>
      </c>
      <c r="P1033">
        <f>0.0021212371*3600</f>
        <v>7.6364535599999996</v>
      </c>
      <c r="Q1033">
        <f>0.0031987462*3600</f>
        <v>11.515486320000001</v>
      </c>
    </row>
    <row r="1034" spans="1:17" x14ac:dyDescent="0.3">
      <c r="A1034" s="4" t="s">
        <v>47</v>
      </c>
      <c r="B1034" s="6" t="s">
        <v>640</v>
      </c>
      <c r="C1034">
        <v>298.82674100000003</v>
      </c>
      <c r="D1034">
        <v>295.00248099999999</v>
      </c>
      <c r="E1034">
        <v>1</v>
      </c>
      <c r="F1034">
        <v>1</v>
      </c>
      <c r="G1034">
        <v>0.26100000000000001</v>
      </c>
      <c r="H1034">
        <v>0</v>
      </c>
      <c r="I1034" t="s">
        <v>0</v>
      </c>
      <c r="J1034" t="s">
        <v>59</v>
      </c>
      <c r="K1034">
        <v>0</v>
      </c>
      <c r="L1034" t="s">
        <v>60</v>
      </c>
      <c r="M1034">
        <v>1</v>
      </c>
      <c r="N1034" t="s">
        <v>67</v>
      </c>
      <c r="O1034" s="2">
        <v>0.50277777777777777</v>
      </c>
      <c r="P1034">
        <f>0.0021423742*3600</f>
        <v>7.71254712</v>
      </c>
      <c r="Q1034">
        <f>0.0033012192*3600</f>
        <v>11.88438912</v>
      </c>
    </row>
    <row r="1035" spans="1:17" x14ac:dyDescent="0.3">
      <c r="A1035" s="4" t="s">
        <v>47</v>
      </c>
      <c r="B1035" s="6" t="s">
        <v>641</v>
      </c>
      <c r="C1035">
        <v>298.82638500000002</v>
      </c>
      <c r="D1035">
        <v>295.00239599999998</v>
      </c>
      <c r="E1035">
        <v>1</v>
      </c>
      <c r="F1035">
        <v>1</v>
      </c>
      <c r="G1035">
        <v>0.26100000000000001</v>
      </c>
      <c r="H1035">
        <v>0</v>
      </c>
      <c r="I1035" t="s">
        <v>0</v>
      </c>
      <c r="J1035" t="s">
        <v>59</v>
      </c>
      <c r="K1035">
        <v>0</v>
      </c>
      <c r="L1035" t="s">
        <v>60</v>
      </c>
      <c r="M1035">
        <v>1</v>
      </c>
      <c r="N1035" t="s">
        <v>67</v>
      </c>
      <c r="O1035" s="2">
        <v>0.50277777777777777</v>
      </c>
      <c r="P1035">
        <f>0.0021496299*3600</f>
        <v>7.7386676400000001</v>
      </c>
      <c r="Q1035">
        <f>0.0032468311*3600</f>
        <v>11.68859196</v>
      </c>
    </row>
    <row r="1036" spans="1:17" x14ac:dyDescent="0.3">
      <c r="A1036" s="4" t="s">
        <v>47</v>
      </c>
      <c r="B1036" s="6" t="s">
        <v>642</v>
      </c>
      <c r="C1036">
        <v>298.827088</v>
      </c>
      <c r="D1036">
        <v>295.00239099999999</v>
      </c>
      <c r="E1036">
        <v>1</v>
      </c>
      <c r="F1036">
        <v>1</v>
      </c>
      <c r="G1036">
        <v>0.26100000000000001</v>
      </c>
      <c r="H1036">
        <v>0</v>
      </c>
      <c r="I1036" t="s">
        <v>0</v>
      </c>
      <c r="J1036" t="s">
        <v>59</v>
      </c>
      <c r="K1036">
        <v>0</v>
      </c>
      <c r="L1036" t="s">
        <v>60</v>
      </c>
      <c r="M1036">
        <v>1</v>
      </c>
      <c r="N1036" t="s">
        <v>67</v>
      </c>
      <c r="O1036" s="2">
        <v>0.50277777777777777</v>
      </c>
      <c r="P1036">
        <f>0.0021266413*3600</f>
        <v>7.6559086799999996</v>
      </c>
      <c r="Q1036">
        <f>0.0032413397*3600</f>
        <v>11.66882292</v>
      </c>
    </row>
    <row r="1037" spans="1:17" x14ac:dyDescent="0.3">
      <c r="A1037" s="4" t="s">
        <v>47</v>
      </c>
      <c r="B1037" s="6" t="s">
        <v>643</v>
      </c>
      <c r="C1037">
        <v>298.82705700000002</v>
      </c>
      <c r="D1037">
        <v>295.00245699999999</v>
      </c>
      <c r="E1037">
        <v>1</v>
      </c>
      <c r="F1037">
        <v>1</v>
      </c>
      <c r="G1037">
        <v>0.26100000000000001</v>
      </c>
      <c r="H1037">
        <v>0</v>
      </c>
      <c r="I1037" t="s">
        <v>0</v>
      </c>
      <c r="J1037" t="s">
        <v>59</v>
      </c>
      <c r="K1037">
        <v>0</v>
      </c>
      <c r="L1037" t="s">
        <v>60</v>
      </c>
      <c r="M1037">
        <v>1</v>
      </c>
      <c r="N1037" t="s">
        <v>67</v>
      </c>
      <c r="O1037" s="2">
        <v>0.50277777777777777</v>
      </c>
      <c r="P1037">
        <f>0.0021856131*3600</f>
        <v>7.8682071599999999</v>
      </c>
      <c r="Q1037">
        <f>0.0032916403*3600</f>
        <v>11.849905079999999</v>
      </c>
    </row>
    <row r="1038" spans="1:17" x14ac:dyDescent="0.3">
      <c r="A1038" s="4" t="s">
        <v>47</v>
      </c>
      <c r="B1038" s="6" t="s">
        <v>644</v>
      </c>
      <c r="C1038">
        <v>298.82687199999998</v>
      </c>
      <c r="D1038">
        <v>295.002409</v>
      </c>
      <c r="E1038">
        <v>1</v>
      </c>
      <c r="F1038">
        <v>1</v>
      </c>
      <c r="G1038">
        <v>0.26100000000000001</v>
      </c>
      <c r="H1038">
        <v>0</v>
      </c>
      <c r="I1038" t="s">
        <v>0</v>
      </c>
      <c r="J1038" t="s">
        <v>59</v>
      </c>
      <c r="K1038">
        <v>0</v>
      </c>
      <c r="L1038" t="s">
        <v>60</v>
      </c>
      <c r="M1038">
        <v>1</v>
      </c>
      <c r="N1038" t="s">
        <v>67</v>
      </c>
      <c r="O1038" s="2">
        <v>0.50277777777777777</v>
      </c>
      <c r="P1038">
        <f>0.0021454462*3600</f>
        <v>7.7236063200000009</v>
      </c>
      <c r="Q1038">
        <f>0.0032458146*3600</f>
        <v>11.68493256</v>
      </c>
    </row>
    <row r="1039" spans="1:17" x14ac:dyDescent="0.3">
      <c r="A1039" s="4" t="s">
        <v>47</v>
      </c>
      <c r="B1039" s="6" t="s">
        <v>645</v>
      </c>
      <c r="C1039">
        <v>298.82591500000001</v>
      </c>
      <c r="D1039">
        <v>295.00230699999997</v>
      </c>
      <c r="E1039">
        <v>1</v>
      </c>
      <c r="F1039">
        <v>1</v>
      </c>
      <c r="G1039">
        <v>0.26100000000000001</v>
      </c>
      <c r="H1039">
        <v>0</v>
      </c>
      <c r="I1039" t="s">
        <v>0</v>
      </c>
      <c r="J1039" t="s">
        <v>59</v>
      </c>
      <c r="K1039">
        <v>0</v>
      </c>
      <c r="L1039" t="s">
        <v>60</v>
      </c>
      <c r="M1039">
        <v>1</v>
      </c>
      <c r="N1039" t="s">
        <v>67</v>
      </c>
      <c r="O1039" s="2">
        <v>0.50277777777777777</v>
      </c>
      <c r="P1039">
        <f>0.0022629284*3600</f>
        <v>8.1465422400000005</v>
      </c>
      <c r="Q1039">
        <f>0.0031512557*3600</f>
        <v>11.344520520000001</v>
      </c>
    </row>
    <row r="1040" spans="1:17" x14ac:dyDescent="0.3">
      <c r="A1040" s="4" t="s">
        <v>47</v>
      </c>
      <c r="B1040" s="6" t="s">
        <v>646</v>
      </c>
      <c r="C1040">
        <v>298.826347</v>
      </c>
      <c r="D1040">
        <v>295.00243</v>
      </c>
      <c r="E1040">
        <v>1</v>
      </c>
      <c r="F1040">
        <v>1</v>
      </c>
      <c r="G1040">
        <v>0.26100000000000001</v>
      </c>
      <c r="H1040">
        <v>0</v>
      </c>
      <c r="I1040" t="s">
        <v>0</v>
      </c>
      <c r="J1040" t="s">
        <v>59</v>
      </c>
      <c r="K1040">
        <v>0</v>
      </c>
      <c r="L1040" t="s">
        <v>60</v>
      </c>
      <c r="M1040">
        <v>1</v>
      </c>
      <c r="N1040" t="s">
        <v>67</v>
      </c>
      <c r="O1040" s="2">
        <v>0.50277777777777777</v>
      </c>
      <c r="P1040">
        <f>0.0023260992*3600</f>
        <v>8.37395712</v>
      </c>
      <c r="Q1040">
        <f>0.003264712*3600</f>
        <v>11.7529632</v>
      </c>
    </row>
    <row r="1041" spans="1:17" x14ac:dyDescent="0.3">
      <c r="A1041" s="4" t="s">
        <v>47</v>
      </c>
      <c r="B1041" s="6" t="s">
        <v>647</v>
      </c>
      <c r="C1041">
        <v>298.82685400000003</v>
      </c>
      <c r="D1041">
        <v>295.00239599999998</v>
      </c>
      <c r="E1041">
        <v>1</v>
      </c>
      <c r="F1041">
        <v>1</v>
      </c>
      <c r="G1041">
        <v>0.26100000000000001</v>
      </c>
      <c r="H1041">
        <v>0</v>
      </c>
      <c r="I1041" t="s">
        <v>0</v>
      </c>
      <c r="J1041" t="s">
        <v>59</v>
      </c>
      <c r="K1041">
        <v>0</v>
      </c>
      <c r="L1041" t="s">
        <v>60</v>
      </c>
      <c r="M1041">
        <v>1</v>
      </c>
      <c r="N1041" t="s">
        <v>67</v>
      </c>
      <c r="O1041" s="2">
        <v>0.50277777777777777</v>
      </c>
      <c r="P1041">
        <f>0.0022684445*3600</f>
        <v>8.1664002</v>
      </c>
      <c r="Q1041">
        <f>0.0032343742*3600</f>
        <v>11.64374712</v>
      </c>
    </row>
    <row r="1042" spans="1:17" x14ac:dyDescent="0.3">
      <c r="A1042" s="4" t="s">
        <v>47</v>
      </c>
      <c r="B1042" s="6" t="s">
        <v>648</v>
      </c>
      <c r="C1042">
        <v>298.82659000000001</v>
      </c>
      <c r="D1042">
        <v>295.00235199999997</v>
      </c>
      <c r="E1042">
        <v>1</v>
      </c>
      <c r="F1042">
        <v>1</v>
      </c>
      <c r="G1042">
        <v>0.26100000000000001</v>
      </c>
      <c r="H1042">
        <v>0</v>
      </c>
      <c r="I1042" t="s">
        <v>0</v>
      </c>
      <c r="J1042" t="s">
        <v>59</v>
      </c>
      <c r="K1042">
        <v>0</v>
      </c>
      <c r="L1042" t="s">
        <v>60</v>
      </c>
      <c r="M1042">
        <v>1</v>
      </c>
      <c r="N1042" t="s">
        <v>67</v>
      </c>
      <c r="O1042" s="2">
        <v>0.50277777777777777</v>
      </c>
      <c r="P1042">
        <f>0.0022675697*3600</f>
        <v>8.1632509199999994</v>
      </c>
      <c r="Q1042">
        <f>0.0031883771*3600</f>
        <v>11.47815756</v>
      </c>
    </row>
    <row r="1043" spans="1:17" x14ac:dyDescent="0.3">
      <c r="A1043" s="4" t="s">
        <v>47</v>
      </c>
      <c r="B1043" s="6" t="s">
        <v>649</v>
      </c>
      <c r="C1043">
        <v>298.82629400000002</v>
      </c>
      <c r="D1043">
        <v>295.002365</v>
      </c>
      <c r="E1043">
        <v>1</v>
      </c>
      <c r="F1043">
        <v>1</v>
      </c>
      <c r="G1043">
        <v>0.26100000000000001</v>
      </c>
      <c r="H1043">
        <v>0</v>
      </c>
      <c r="I1043" t="s">
        <v>0</v>
      </c>
      <c r="J1043" t="s">
        <v>59</v>
      </c>
      <c r="K1043">
        <v>0</v>
      </c>
      <c r="L1043" t="s">
        <v>60</v>
      </c>
      <c r="M1043">
        <v>1</v>
      </c>
      <c r="N1043" t="s">
        <v>67</v>
      </c>
      <c r="O1043" s="2">
        <v>0.50277777777777777</v>
      </c>
      <c r="P1043">
        <f>0.0022858007*3600</f>
        <v>8.2288825199999991</v>
      </c>
      <c r="Q1043">
        <f>0.0032181616*3600</f>
        <v>11.585381760000001</v>
      </c>
    </row>
    <row r="1044" spans="1:17" x14ac:dyDescent="0.3">
      <c r="A1044" s="4" t="s">
        <v>47</v>
      </c>
      <c r="B1044" s="6" t="s">
        <v>650</v>
      </c>
      <c r="C1044">
        <v>298.82677999999999</v>
      </c>
      <c r="D1044">
        <v>295.00232499999998</v>
      </c>
      <c r="E1044">
        <v>1</v>
      </c>
      <c r="F1044">
        <v>1</v>
      </c>
      <c r="G1044">
        <v>0.26100000000000001</v>
      </c>
      <c r="H1044">
        <v>0</v>
      </c>
      <c r="I1044" t="s">
        <v>0</v>
      </c>
      <c r="J1044" t="s">
        <v>59</v>
      </c>
      <c r="K1044">
        <v>0</v>
      </c>
      <c r="L1044" t="s">
        <v>60</v>
      </c>
      <c r="M1044">
        <v>1</v>
      </c>
      <c r="N1044" t="s">
        <v>67</v>
      </c>
      <c r="O1044" s="2">
        <v>0.50277777777777777</v>
      </c>
      <c r="P1044">
        <f>0.0022753787*3600</f>
        <v>8.1913633200000007</v>
      </c>
      <c r="Q1044">
        <f>0.0031576416*3600</f>
        <v>11.367509759999999</v>
      </c>
    </row>
    <row r="1045" spans="1:17" x14ac:dyDescent="0.3">
      <c r="A1045" s="4" t="s">
        <v>47</v>
      </c>
      <c r="B1045" s="6" t="s">
        <v>651</v>
      </c>
      <c r="C1045">
        <v>298.82644399999998</v>
      </c>
      <c r="D1045">
        <v>295.00237299999998</v>
      </c>
      <c r="E1045">
        <v>1</v>
      </c>
      <c r="F1045">
        <v>1</v>
      </c>
      <c r="G1045">
        <v>0.26100000000000001</v>
      </c>
      <c r="H1045">
        <v>0</v>
      </c>
      <c r="I1045" t="s">
        <v>0</v>
      </c>
      <c r="J1045" t="s">
        <v>59</v>
      </c>
      <c r="K1045">
        <v>0</v>
      </c>
      <c r="L1045" t="s">
        <v>60</v>
      </c>
      <c r="M1045">
        <v>1</v>
      </c>
      <c r="N1045" t="s">
        <v>67</v>
      </c>
      <c r="O1045" s="2">
        <v>0.50277777777777777</v>
      </c>
      <c r="P1045">
        <f>0.0023086767*3600</f>
        <v>8.3112361200000002</v>
      </c>
      <c r="Q1045">
        <f>0.0032144649*3600</f>
        <v>11.572073640000001</v>
      </c>
    </row>
    <row r="1046" spans="1:17" x14ac:dyDescent="0.3">
      <c r="A1046" s="4" t="s">
        <v>47</v>
      </c>
      <c r="B1046" s="6" t="s">
        <v>652</v>
      </c>
      <c r="C1046">
        <v>298.82675899999998</v>
      </c>
      <c r="D1046">
        <v>295.00233400000002</v>
      </c>
      <c r="E1046">
        <v>1</v>
      </c>
      <c r="F1046">
        <v>1</v>
      </c>
      <c r="G1046">
        <v>0.26100000000000001</v>
      </c>
      <c r="H1046">
        <v>0</v>
      </c>
      <c r="I1046" t="s">
        <v>0</v>
      </c>
      <c r="J1046" t="s">
        <v>59</v>
      </c>
      <c r="K1046">
        <v>0</v>
      </c>
      <c r="L1046" t="s">
        <v>60</v>
      </c>
      <c r="M1046">
        <v>1</v>
      </c>
      <c r="N1046" t="s">
        <v>67</v>
      </c>
      <c r="O1046" s="2">
        <v>0.50277777777777777</v>
      </c>
      <c r="P1046">
        <f>0.0022778569*3600</f>
        <v>8.2002848400000001</v>
      </c>
      <c r="Q1046">
        <f>0.0032112279*3600</f>
        <v>11.56042044</v>
      </c>
    </row>
    <row r="1047" spans="1:17" x14ac:dyDescent="0.3">
      <c r="A1047" s="4" t="s">
        <v>47</v>
      </c>
      <c r="B1047" s="6" t="s">
        <v>653</v>
      </c>
      <c r="C1047">
        <v>298.826212</v>
      </c>
      <c r="D1047">
        <v>295.00233400000002</v>
      </c>
      <c r="E1047">
        <v>1</v>
      </c>
      <c r="F1047">
        <v>1</v>
      </c>
      <c r="G1047">
        <v>0.26100000000000001</v>
      </c>
      <c r="H1047">
        <v>0</v>
      </c>
      <c r="I1047" t="s">
        <v>0</v>
      </c>
      <c r="J1047" t="s">
        <v>59</v>
      </c>
      <c r="K1047">
        <v>0</v>
      </c>
      <c r="L1047" t="s">
        <v>60</v>
      </c>
      <c r="M1047">
        <v>1</v>
      </c>
      <c r="N1047" t="s">
        <v>67</v>
      </c>
      <c r="O1047" s="2">
        <v>0.50277777777777777</v>
      </c>
      <c r="P1047">
        <f>0.0023157813*3600</f>
        <v>8.3368126799999995</v>
      </c>
      <c r="Q1047">
        <f>0.0031660352*3600</f>
        <v>11.39772672</v>
      </c>
    </row>
    <row r="1048" spans="1:17" x14ac:dyDescent="0.3">
      <c r="A1048" s="4" t="s">
        <v>47</v>
      </c>
      <c r="B1048" s="6" t="s">
        <v>654</v>
      </c>
      <c r="C1048">
        <v>298.82682199999999</v>
      </c>
      <c r="D1048">
        <v>295.00235199999997</v>
      </c>
      <c r="E1048">
        <v>1</v>
      </c>
      <c r="F1048">
        <v>1</v>
      </c>
      <c r="G1048">
        <v>0.26100000000000001</v>
      </c>
      <c r="H1048">
        <v>0</v>
      </c>
      <c r="I1048" t="s">
        <v>0</v>
      </c>
      <c r="J1048" t="s">
        <v>59</v>
      </c>
      <c r="K1048">
        <v>0</v>
      </c>
      <c r="L1048" t="s">
        <v>60</v>
      </c>
      <c r="M1048">
        <v>1</v>
      </c>
      <c r="N1048" t="s">
        <v>67</v>
      </c>
      <c r="O1048" s="2">
        <v>0.50277777777777777</v>
      </c>
      <c r="P1048">
        <f>0.0023526407*3600</f>
        <v>8.4695065199999995</v>
      </c>
      <c r="Q1048">
        <f>0.003149773*3600</f>
        <v>11.3391828</v>
      </c>
    </row>
    <row r="1049" spans="1:17" x14ac:dyDescent="0.3">
      <c r="A1049" s="4" t="s">
        <v>47</v>
      </c>
      <c r="B1049" s="6" t="s">
        <v>655</v>
      </c>
      <c r="C1049">
        <v>298.82628199999999</v>
      </c>
      <c r="D1049">
        <v>295.00239199999999</v>
      </c>
      <c r="E1049">
        <v>1</v>
      </c>
      <c r="F1049">
        <v>1</v>
      </c>
      <c r="G1049">
        <v>0.26100000000000001</v>
      </c>
      <c r="H1049">
        <v>0</v>
      </c>
      <c r="I1049" t="s">
        <v>0</v>
      </c>
      <c r="J1049" t="s">
        <v>59</v>
      </c>
      <c r="K1049">
        <v>0</v>
      </c>
      <c r="L1049" t="s">
        <v>60</v>
      </c>
      <c r="M1049">
        <v>1</v>
      </c>
      <c r="N1049" t="s">
        <v>67</v>
      </c>
      <c r="O1049" s="2">
        <v>0.50277777777777777</v>
      </c>
      <c r="P1049">
        <f>0.0023186677*3600</f>
        <v>8.3472037200000013</v>
      </c>
      <c r="Q1049">
        <f>0.0032197318*3600</f>
        <v>11.591034479999999</v>
      </c>
    </row>
    <row r="1050" spans="1:17" x14ac:dyDescent="0.3">
      <c r="A1050" s="4" t="s">
        <v>47</v>
      </c>
      <c r="B1050" s="6" t="s">
        <v>656</v>
      </c>
      <c r="C1050">
        <v>298.82706300000001</v>
      </c>
      <c r="D1050">
        <v>295.002477</v>
      </c>
      <c r="E1050">
        <v>1</v>
      </c>
      <c r="F1050">
        <v>1</v>
      </c>
      <c r="G1050">
        <v>0.26100000000000001</v>
      </c>
      <c r="H1050">
        <v>0</v>
      </c>
      <c r="I1050" t="s">
        <v>0</v>
      </c>
      <c r="J1050" t="s">
        <v>59</v>
      </c>
      <c r="K1050">
        <v>0</v>
      </c>
      <c r="L1050" t="s">
        <v>60</v>
      </c>
      <c r="M1050">
        <v>1</v>
      </c>
      <c r="N1050" t="s">
        <v>67</v>
      </c>
      <c r="O1050" s="2">
        <v>0.50277777777777777</v>
      </c>
      <c r="P1050">
        <f>0.0024180362*3600</f>
        <v>8.7049303200000008</v>
      </c>
      <c r="Q1050">
        <f>0.0033204679*3600</f>
        <v>11.95368444</v>
      </c>
    </row>
    <row r="1051" spans="1:17" x14ac:dyDescent="0.3">
      <c r="A1051" s="4" t="s">
        <v>47</v>
      </c>
      <c r="B1051" s="6" t="s">
        <v>657</v>
      </c>
      <c r="C1051">
        <v>298.82745899999998</v>
      </c>
      <c r="D1051">
        <v>295.00265899999999</v>
      </c>
      <c r="E1051">
        <v>1</v>
      </c>
      <c r="F1051">
        <v>1</v>
      </c>
      <c r="G1051">
        <v>0.26100000000000001</v>
      </c>
      <c r="H1051">
        <v>0</v>
      </c>
      <c r="I1051" t="s">
        <v>0</v>
      </c>
      <c r="J1051" t="s">
        <v>59</v>
      </c>
      <c r="K1051">
        <v>0</v>
      </c>
      <c r="L1051" t="s">
        <v>60</v>
      </c>
      <c r="M1051">
        <v>1</v>
      </c>
      <c r="N1051" t="s">
        <v>67</v>
      </c>
      <c r="O1051" s="2">
        <v>0.50277777777777777</v>
      </c>
      <c r="P1051">
        <f>0.0024263367*3600</f>
        <v>8.7348121200000008</v>
      </c>
      <c r="Q1051">
        <f>0.0034370102*3600</f>
        <v>12.37323672</v>
      </c>
    </row>
    <row r="1052" spans="1:17" x14ac:dyDescent="0.3">
      <c r="A1052" s="4" t="s">
        <v>47</v>
      </c>
      <c r="B1052" s="6" t="s">
        <v>658</v>
      </c>
      <c r="C1052">
        <v>298.826842</v>
      </c>
      <c r="D1052">
        <v>295.00262800000002</v>
      </c>
      <c r="E1052">
        <v>1</v>
      </c>
      <c r="F1052">
        <v>1</v>
      </c>
      <c r="G1052">
        <v>0.26100000000000001</v>
      </c>
      <c r="H1052">
        <v>0</v>
      </c>
      <c r="I1052" t="s">
        <v>0</v>
      </c>
      <c r="J1052" t="s">
        <v>59</v>
      </c>
      <c r="K1052">
        <v>0</v>
      </c>
      <c r="L1052" t="s">
        <v>60</v>
      </c>
      <c r="M1052">
        <v>1</v>
      </c>
      <c r="N1052" t="s">
        <v>67</v>
      </c>
      <c r="O1052" s="2">
        <v>0.50277777777777777</v>
      </c>
      <c r="P1052">
        <f>0.0024076824*3600</f>
        <v>8.6676566400000006</v>
      </c>
      <c r="Q1052">
        <f>0.0034595594*3600</f>
        <v>12.454413840000001</v>
      </c>
    </row>
    <row r="1053" spans="1:17" x14ac:dyDescent="0.3">
      <c r="A1053" s="4" t="s">
        <v>47</v>
      </c>
      <c r="B1053" s="6" t="s">
        <v>659</v>
      </c>
      <c r="C1053">
        <v>298.82681300000002</v>
      </c>
      <c r="D1053">
        <v>295.00260400000002</v>
      </c>
      <c r="E1053">
        <v>1</v>
      </c>
      <c r="F1053">
        <v>1</v>
      </c>
      <c r="G1053">
        <v>0.26100000000000001</v>
      </c>
      <c r="H1053">
        <v>0</v>
      </c>
      <c r="I1053" t="s">
        <v>0</v>
      </c>
      <c r="J1053" t="s">
        <v>59</v>
      </c>
      <c r="K1053">
        <v>0</v>
      </c>
      <c r="L1053" t="s">
        <v>60</v>
      </c>
      <c r="M1053">
        <v>1</v>
      </c>
      <c r="N1053" t="s">
        <v>67</v>
      </c>
      <c r="O1053" s="2">
        <v>0.50277777777777777</v>
      </c>
      <c r="P1053">
        <f>0.0024853567*3600</f>
        <v>8.9472841200000008</v>
      </c>
      <c r="Q1053">
        <f>0.0034286629*3600</f>
        <v>12.34318644</v>
      </c>
    </row>
    <row r="1054" spans="1:17" x14ac:dyDescent="0.3">
      <c r="A1054" s="4" t="s">
        <v>47</v>
      </c>
      <c r="B1054" s="6" t="s">
        <v>660</v>
      </c>
      <c r="C1054">
        <v>298.82656300000002</v>
      </c>
      <c r="D1054">
        <v>295.00259799999998</v>
      </c>
      <c r="E1054">
        <v>1</v>
      </c>
      <c r="F1054">
        <v>1</v>
      </c>
      <c r="G1054">
        <v>0.26100000000000001</v>
      </c>
      <c r="H1054">
        <v>0</v>
      </c>
      <c r="I1054" t="s">
        <v>0</v>
      </c>
      <c r="J1054" t="s">
        <v>59</v>
      </c>
      <c r="K1054">
        <v>0</v>
      </c>
      <c r="L1054" t="s">
        <v>60</v>
      </c>
      <c r="M1054">
        <v>1</v>
      </c>
      <c r="N1054" t="s">
        <v>67</v>
      </c>
      <c r="O1054" s="2">
        <v>0.50277777777777777</v>
      </c>
      <c r="P1054">
        <f>0.0024779341*3600</f>
        <v>8.9205627599999993</v>
      </c>
      <c r="Q1054">
        <f>0.0034253956*3600</f>
        <v>12.331424160000001</v>
      </c>
    </row>
    <row r="1055" spans="1:17" x14ac:dyDescent="0.3">
      <c r="A1055" s="4" t="s">
        <v>47</v>
      </c>
      <c r="B1055" s="6" t="s">
        <v>661</v>
      </c>
      <c r="C1055">
        <v>298.82686200000001</v>
      </c>
      <c r="D1055">
        <v>295.002588</v>
      </c>
      <c r="E1055">
        <v>1</v>
      </c>
      <c r="F1055">
        <v>1</v>
      </c>
      <c r="G1055">
        <v>0.26100000000000001</v>
      </c>
      <c r="H1055">
        <v>0</v>
      </c>
      <c r="I1055" t="s">
        <v>0</v>
      </c>
      <c r="J1055" t="s">
        <v>59</v>
      </c>
      <c r="K1055">
        <v>0</v>
      </c>
      <c r="L1055" t="s">
        <v>60</v>
      </c>
      <c r="M1055">
        <v>1</v>
      </c>
      <c r="N1055" t="s">
        <v>67</v>
      </c>
      <c r="O1055" s="2">
        <v>0.50277777777777777</v>
      </c>
      <c r="P1055">
        <f>0.0025366773*3600</f>
        <v>9.1320382799999997</v>
      </c>
      <c r="Q1055">
        <f>0.0034006047*3600</f>
        <v>12.24217692</v>
      </c>
    </row>
    <row r="1056" spans="1:17" x14ac:dyDescent="0.3">
      <c r="A1056" s="4" t="s">
        <v>47</v>
      </c>
      <c r="B1056" s="6" t="s">
        <v>662</v>
      </c>
      <c r="C1056">
        <v>298.82604300000003</v>
      </c>
      <c r="D1056">
        <v>295.002567</v>
      </c>
      <c r="E1056">
        <v>1</v>
      </c>
      <c r="F1056">
        <v>1</v>
      </c>
      <c r="G1056">
        <v>0.26100000000000001</v>
      </c>
      <c r="H1056">
        <v>0</v>
      </c>
      <c r="I1056" t="s">
        <v>0</v>
      </c>
      <c r="J1056" t="s">
        <v>59</v>
      </c>
      <c r="K1056">
        <v>0</v>
      </c>
      <c r="L1056" t="s">
        <v>60</v>
      </c>
      <c r="M1056">
        <v>1</v>
      </c>
      <c r="N1056" t="s">
        <v>67</v>
      </c>
      <c r="O1056" s="2">
        <v>0.50277777777777777</v>
      </c>
      <c r="P1056">
        <f>0.0024372542*3600</f>
        <v>8.7741151199999994</v>
      </c>
      <c r="Q1056">
        <f>0.0034058938*3600</f>
        <v>12.26121768</v>
      </c>
    </row>
    <row r="1057" spans="1:18" x14ac:dyDescent="0.3">
      <c r="A1057" s="4" t="s">
        <v>47</v>
      </c>
      <c r="B1057" s="6" t="s">
        <v>663</v>
      </c>
      <c r="C1057">
        <v>298.827066</v>
      </c>
      <c r="D1057">
        <v>295.00263699999999</v>
      </c>
      <c r="E1057">
        <v>1</v>
      </c>
      <c r="F1057">
        <v>1</v>
      </c>
      <c r="G1057">
        <v>0.26100000000000001</v>
      </c>
      <c r="H1057">
        <v>0</v>
      </c>
      <c r="I1057" t="s">
        <v>0</v>
      </c>
      <c r="J1057" t="s">
        <v>59</v>
      </c>
      <c r="K1057">
        <v>0</v>
      </c>
      <c r="L1057" t="s">
        <v>60</v>
      </c>
      <c r="M1057">
        <v>1</v>
      </c>
      <c r="N1057" t="s">
        <v>67</v>
      </c>
      <c r="O1057" s="2">
        <v>0.50277777777777777</v>
      </c>
      <c r="P1057">
        <f>0.0025241551*3600</f>
        <v>9.0869583600000006</v>
      </c>
      <c r="Q1057">
        <f>0.0034421909*3600</f>
        <v>12.391887239999999</v>
      </c>
    </row>
    <row r="1058" spans="1:18" x14ac:dyDescent="0.3">
      <c r="A1058" s="4" t="s">
        <v>47</v>
      </c>
      <c r="B1058" s="6" t="s">
        <v>664</v>
      </c>
      <c r="C1058">
        <v>298.826435</v>
      </c>
      <c r="D1058">
        <v>295.00258700000001</v>
      </c>
      <c r="E1058">
        <v>1</v>
      </c>
      <c r="F1058">
        <v>1</v>
      </c>
      <c r="G1058">
        <v>0.26100000000000001</v>
      </c>
      <c r="H1058">
        <v>0</v>
      </c>
      <c r="I1058" t="s">
        <v>0</v>
      </c>
      <c r="J1058" t="s">
        <v>59</v>
      </c>
      <c r="K1058">
        <v>0</v>
      </c>
      <c r="L1058" t="s">
        <v>60</v>
      </c>
      <c r="M1058">
        <v>1</v>
      </c>
      <c r="N1058" t="s">
        <v>67</v>
      </c>
      <c r="O1058" s="2">
        <v>0.50277777777777777</v>
      </c>
      <c r="P1058">
        <f>0.0024848477*3600</f>
        <v>8.9454517199999994</v>
      </c>
      <c r="Q1058">
        <f>0.003409219*3600</f>
        <v>12.273188399999999</v>
      </c>
    </row>
    <row r="1059" spans="1:18" x14ac:dyDescent="0.3">
      <c r="A1059" s="4" t="s">
        <v>47</v>
      </c>
      <c r="B1059" s="6" t="s">
        <v>665</v>
      </c>
      <c r="C1059">
        <v>298.826596</v>
      </c>
      <c r="D1059">
        <v>295.002591</v>
      </c>
      <c r="E1059">
        <v>1</v>
      </c>
      <c r="F1059">
        <v>1</v>
      </c>
      <c r="G1059">
        <v>0.26100000000000001</v>
      </c>
      <c r="H1059">
        <v>0</v>
      </c>
      <c r="I1059" t="s">
        <v>0</v>
      </c>
      <c r="J1059" t="s">
        <v>59</v>
      </c>
      <c r="K1059">
        <v>0</v>
      </c>
      <c r="L1059" t="s">
        <v>60</v>
      </c>
      <c r="M1059">
        <v>1</v>
      </c>
      <c r="N1059" t="s">
        <v>67</v>
      </c>
      <c r="O1059" s="2">
        <v>0.50277777777777777</v>
      </c>
      <c r="P1059">
        <f>0.0024741366*3600</f>
        <v>8.9068917599999988</v>
      </c>
      <c r="Q1059">
        <f>0.0034318807*3600</f>
        <v>12.354770519999999</v>
      </c>
    </row>
    <row r="1060" spans="1:18" x14ac:dyDescent="0.3">
      <c r="A1060" s="4" t="s">
        <v>47</v>
      </c>
      <c r="B1060" s="6" t="s">
        <v>666</v>
      </c>
      <c r="C1060">
        <v>298.827136</v>
      </c>
      <c r="D1060">
        <v>295.00266599999998</v>
      </c>
      <c r="E1060">
        <v>1</v>
      </c>
      <c r="F1060">
        <v>1</v>
      </c>
      <c r="G1060">
        <v>0.26100000000000001</v>
      </c>
      <c r="H1060">
        <v>0</v>
      </c>
      <c r="I1060" t="s">
        <v>0</v>
      </c>
      <c r="J1060" t="s">
        <v>59</v>
      </c>
      <c r="K1060">
        <v>0</v>
      </c>
      <c r="L1060" t="s">
        <v>60</v>
      </c>
      <c r="M1060">
        <v>1</v>
      </c>
      <c r="N1060" t="s">
        <v>67</v>
      </c>
      <c r="O1060" s="2">
        <v>0.50277777777777777</v>
      </c>
      <c r="P1060">
        <f>0.002531632*3600</f>
        <v>9.113875199999999</v>
      </c>
      <c r="Q1060">
        <f>0.0034806075*3600</f>
        <v>12.530187</v>
      </c>
    </row>
    <row r="1061" spans="1:18" x14ac:dyDescent="0.3">
      <c r="A1061" s="4" t="s">
        <v>47</v>
      </c>
      <c r="B1061" s="6" t="s">
        <v>667</v>
      </c>
      <c r="C1061">
        <v>298.82686999999999</v>
      </c>
      <c r="D1061">
        <v>295.00256100000001</v>
      </c>
      <c r="E1061">
        <v>1</v>
      </c>
      <c r="F1061">
        <v>1</v>
      </c>
      <c r="G1061">
        <v>0.26100000000000001</v>
      </c>
      <c r="H1061">
        <v>0</v>
      </c>
      <c r="I1061" t="s">
        <v>0</v>
      </c>
      <c r="J1061" t="s">
        <v>59</v>
      </c>
      <c r="K1061">
        <v>0</v>
      </c>
      <c r="L1061" t="s">
        <v>60</v>
      </c>
      <c r="M1061">
        <v>1</v>
      </c>
      <c r="N1061" t="s">
        <v>67</v>
      </c>
      <c r="O1061" s="2">
        <v>0.50277777777777777</v>
      </c>
      <c r="P1061">
        <f>0.0024338871*3600</f>
        <v>8.7619935600000005</v>
      </c>
      <c r="Q1061">
        <f>0.0033889054*3600</f>
        <v>12.20005944</v>
      </c>
    </row>
    <row r="1062" spans="1:18" x14ac:dyDescent="0.3">
      <c r="A1062" s="4" t="s">
        <v>47</v>
      </c>
      <c r="B1062" s="6" t="s">
        <v>668</v>
      </c>
      <c r="C1062">
        <v>298.82659799999999</v>
      </c>
      <c r="D1062">
        <v>295.00264299999998</v>
      </c>
      <c r="E1062">
        <v>1</v>
      </c>
      <c r="F1062">
        <v>1</v>
      </c>
      <c r="G1062">
        <v>0.26100000000000001</v>
      </c>
      <c r="H1062">
        <v>0</v>
      </c>
      <c r="I1062" t="s">
        <v>0</v>
      </c>
      <c r="J1062" t="s">
        <v>59</v>
      </c>
      <c r="K1062">
        <v>0</v>
      </c>
      <c r="L1062" t="s">
        <v>60</v>
      </c>
      <c r="M1062">
        <v>1</v>
      </c>
      <c r="N1062" t="s">
        <v>67</v>
      </c>
      <c r="O1062" s="2">
        <v>0.50277777777777777</v>
      </c>
      <c r="P1062">
        <f>0.0025010146*3600</f>
        <v>9.003652559999999</v>
      </c>
      <c r="Q1062">
        <f>0.0034559871*3600</f>
        <v>12.441553559999999</v>
      </c>
    </row>
    <row r="1063" spans="1:18" x14ac:dyDescent="0.3">
      <c r="A1063" s="4" t="s">
        <v>47</v>
      </c>
      <c r="B1063" s="6" t="s">
        <v>669</v>
      </c>
      <c r="C1063">
        <v>298.82715300000001</v>
      </c>
      <c r="D1063">
        <v>295.00269600000001</v>
      </c>
      <c r="E1063">
        <v>1</v>
      </c>
      <c r="F1063">
        <v>1</v>
      </c>
      <c r="G1063">
        <v>0.26100000000000001</v>
      </c>
      <c r="H1063">
        <v>0</v>
      </c>
      <c r="I1063" t="s">
        <v>0</v>
      </c>
      <c r="J1063" t="s">
        <v>59</v>
      </c>
      <c r="K1063">
        <v>0</v>
      </c>
      <c r="L1063" t="s">
        <v>60</v>
      </c>
      <c r="M1063">
        <v>1</v>
      </c>
      <c r="N1063" t="s">
        <v>67</v>
      </c>
      <c r="O1063" s="2">
        <v>0.50277777777777777</v>
      </c>
      <c r="P1063">
        <f>0.0025959766*3600</f>
        <v>9.3455157599999996</v>
      </c>
      <c r="Q1063">
        <f>0.0035027528*3600</f>
        <v>12.609910079999999</v>
      </c>
    </row>
    <row r="1064" spans="1:18" x14ac:dyDescent="0.3">
      <c r="A1064" s="4" t="s">
        <v>47</v>
      </c>
      <c r="B1064" s="6" t="s">
        <v>670</v>
      </c>
      <c r="C1064">
        <v>298.82644900000003</v>
      </c>
      <c r="D1064">
        <v>295.00274300000001</v>
      </c>
      <c r="E1064">
        <v>1</v>
      </c>
      <c r="F1064">
        <v>1</v>
      </c>
      <c r="G1064">
        <v>0.26100000000000001</v>
      </c>
      <c r="H1064">
        <v>0</v>
      </c>
      <c r="I1064" t="s">
        <v>0</v>
      </c>
      <c r="J1064" t="s">
        <v>59</v>
      </c>
      <c r="K1064">
        <v>0</v>
      </c>
      <c r="L1064" t="s">
        <v>60</v>
      </c>
      <c r="M1064">
        <v>1</v>
      </c>
      <c r="N1064" t="s">
        <v>67</v>
      </c>
      <c r="O1064" s="2">
        <v>0.50277777777777777</v>
      </c>
      <c r="P1064">
        <f>0.0026012928*3600</f>
        <v>9.3646540800000011</v>
      </c>
      <c r="Q1064">
        <f>0.0035748382*3600</f>
        <v>12.869417520000001</v>
      </c>
    </row>
    <row r="1065" spans="1:18" x14ac:dyDescent="0.3">
      <c r="A1065" s="4" t="s">
        <v>47</v>
      </c>
      <c r="B1065" s="6" t="s">
        <v>671</v>
      </c>
      <c r="C1065">
        <v>298.82682599999998</v>
      </c>
      <c r="D1065">
        <v>295.00266099999999</v>
      </c>
      <c r="E1065">
        <v>1</v>
      </c>
      <c r="F1065">
        <v>1</v>
      </c>
      <c r="G1065">
        <v>0.26100000000000001</v>
      </c>
      <c r="H1065">
        <v>0</v>
      </c>
      <c r="I1065" t="s">
        <v>0</v>
      </c>
      <c r="J1065" t="s">
        <v>59</v>
      </c>
      <c r="K1065">
        <v>0</v>
      </c>
      <c r="L1065" t="s">
        <v>60</v>
      </c>
      <c r="M1065">
        <v>1</v>
      </c>
      <c r="N1065" t="s">
        <v>67</v>
      </c>
      <c r="O1065" s="2">
        <v>0.50277777777777777</v>
      </c>
      <c r="P1065">
        <f>0.0026110629*3600</f>
        <v>9.39982644</v>
      </c>
      <c r="Q1065">
        <f>0.0034888916*3600</f>
        <v>12.56000976</v>
      </c>
    </row>
    <row r="1066" spans="1:18" x14ac:dyDescent="0.3">
      <c r="A1066" s="4" t="s">
        <v>47</v>
      </c>
      <c r="B1066" s="6" t="s">
        <v>672</v>
      </c>
      <c r="C1066">
        <v>298.82685400000003</v>
      </c>
      <c r="D1066">
        <v>295.00266299999998</v>
      </c>
      <c r="E1066">
        <v>1</v>
      </c>
      <c r="F1066">
        <v>1</v>
      </c>
      <c r="G1066">
        <v>0.26100000000000001</v>
      </c>
      <c r="H1066">
        <v>0</v>
      </c>
      <c r="I1066" t="s">
        <v>0</v>
      </c>
      <c r="J1066" t="s">
        <v>59</v>
      </c>
      <c r="K1066">
        <v>0</v>
      </c>
      <c r="L1066" t="s">
        <v>60</v>
      </c>
      <c r="M1066">
        <v>1</v>
      </c>
      <c r="N1066" t="s">
        <v>67</v>
      </c>
      <c r="O1066" s="2">
        <v>0.50277777777777777</v>
      </c>
      <c r="P1066">
        <f>0.0026074978*3600</f>
        <v>9.3869920800000006</v>
      </c>
      <c r="Q1066">
        <f>0.0034917176*3600</f>
        <v>12.57018336</v>
      </c>
    </row>
    <row r="1067" spans="1:18" x14ac:dyDescent="0.3">
      <c r="A1067" s="4" t="s">
        <v>47</v>
      </c>
      <c r="B1067" s="6" t="s">
        <v>673</v>
      </c>
      <c r="C1067">
        <v>298.82658900000001</v>
      </c>
      <c r="D1067">
        <v>295.00271500000002</v>
      </c>
      <c r="E1067">
        <v>1</v>
      </c>
      <c r="F1067">
        <v>1</v>
      </c>
      <c r="G1067">
        <v>0.26100000000000001</v>
      </c>
      <c r="H1067">
        <v>0</v>
      </c>
      <c r="I1067" t="s">
        <v>0</v>
      </c>
      <c r="J1067" t="s">
        <v>59</v>
      </c>
      <c r="K1067">
        <v>0</v>
      </c>
      <c r="L1067" t="s">
        <v>60</v>
      </c>
      <c r="M1067">
        <v>1</v>
      </c>
      <c r="N1067" t="s">
        <v>67</v>
      </c>
      <c r="O1067" s="2">
        <v>0.50277777777777777</v>
      </c>
      <c r="P1067">
        <f>0.0026462585*3600</f>
        <v>9.526530600000001</v>
      </c>
      <c r="Q1067">
        <f>0.0035351666*3600</f>
        <v>12.726599759999999</v>
      </c>
    </row>
    <row r="1068" spans="1:18" x14ac:dyDescent="0.3">
      <c r="A1068" s="4" t="s">
        <v>47</v>
      </c>
      <c r="B1068" s="6" t="s">
        <v>674</v>
      </c>
      <c r="C1068">
        <v>298.82666699999999</v>
      </c>
      <c r="D1068">
        <v>295.00264499999997</v>
      </c>
      <c r="E1068">
        <v>1</v>
      </c>
      <c r="F1068">
        <v>1</v>
      </c>
      <c r="G1068">
        <v>0.26100000000000001</v>
      </c>
      <c r="H1068">
        <v>0</v>
      </c>
      <c r="I1068" t="s">
        <v>0</v>
      </c>
      <c r="J1068" t="s">
        <v>59</v>
      </c>
      <c r="K1068">
        <v>0</v>
      </c>
      <c r="L1068" t="s">
        <v>60</v>
      </c>
      <c r="M1068">
        <v>1</v>
      </c>
      <c r="N1068" t="s">
        <v>67</v>
      </c>
      <c r="O1068" s="2">
        <v>0.50277777777777777</v>
      </c>
      <c r="P1068">
        <f>0.0026798537*3600</f>
        <v>9.6474733199999996</v>
      </c>
      <c r="Q1068">
        <f>0.0034716102*3600</f>
        <v>12.49779672</v>
      </c>
    </row>
    <row r="1069" spans="1:18" x14ac:dyDescent="0.3">
      <c r="A1069" s="4" t="s">
        <v>47</v>
      </c>
      <c r="B1069" s="6" t="s">
        <v>675</v>
      </c>
      <c r="C1069">
        <v>298.82694099999998</v>
      </c>
      <c r="D1069">
        <v>295.002724</v>
      </c>
      <c r="E1069">
        <v>1</v>
      </c>
      <c r="F1069">
        <v>1</v>
      </c>
      <c r="G1069">
        <v>0.26100000000000001</v>
      </c>
      <c r="H1069">
        <v>0</v>
      </c>
      <c r="I1069" t="s">
        <v>0</v>
      </c>
      <c r="J1069" t="s">
        <v>59</v>
      </c>
      <c r="K1069">
        <v>0</v>
      </c>
      <c r="L1069" t="s">
        <v>60</v>
      </c>
      <c r="M1069">
        <v>1</v>
      </c>
      <c r="N1069" t="s">
        <v>67</v>
      </c>
      <c r="O1069" s="2">
        <v>0.50347222222222221</v>
      </c>
      <c r="P1069">
        <f>0.0027975125*3600</f>
        <v>10.071045</v>
      </c>
      <c r="Q1069">
        <f>0.0035530119*3600</f>
        <v>12.79084284</v>
      </c>
    </row>
    <row r="1070" spans="1:18" x14ac:dyDescent="0.3">
      <c r="A1070" s="4" t="s">
        <v>47</v>
      </c>
      <c r="B1070" s="6" t="s">
        <v>676</v>
      </c>
      <c r="C1070">
        <v>298.82693999999998</v>
      </c>
      <c r="D1070">
        <v>295.00270499999999</v>
      </c>
      <c r="E1070">
        <v>1</v>
      </c>
      <c r="F1070">
        <v>1</v>
      </c>
      <c r="G1070">
        <v>0.26100000000000001</v>
      </c>
      <c r="H1070">
        <v>0</v>
      </c>
      <c r="I1070" t="s">
        <v>0</v>
      </c>
      <c r="J1070" t="s">
        <v>59</v>
      </c>
      <c r="K1070">
        <v>0</v>
      </c>
      <c r="L1070" t="s">
        <v>60</v>
      </c>
      <c r="M1070">
        <v>1</v>
      </c>
      <c r="N1070" t="s">
        <v>67</v>
      </c>
      <c r="O1070" s="2">
        <v>0.50347222222222221</v>
      </c>
      <c r="P1070">
        <f>0.0027259543*3600</f>
        <v>9.8134354800000008</v>
      </c>
      <c r="Q1070">
        <f>0.0034989726*3600</f>
        <v>12.59630136</v>
      </c>
    </row>
    <row r="1071" spans="1:18" x14ac:dyDescent="0.3">
      <c r="A1071" s="4" t="s">
        <v>47</v>
      </c>
      <c r="B1071" s="6" t="s">
        <v>677</v>
      </c>
      <c r="C1071">
        <v>298.82734099999999</v>
      </c>
      <c r="D1071">
        <v>295.00261499999999</v>
      </c>
      <c r="E1071">
        <v>1</v>
      </c>
      <c r="F1071">
        <v>1</v>
      </c>
      <c r="G1071">
        <v>0.26100000000000001</v>
      </c>
      <c r="H1071">
        <v>0</v>
      </c>
      <c r="I1071" t="s">
        <v>0</v>
      </c>
      <c r="J1071" t="s">
        <v>59</v>
      </c>
      <c r="K1071">
        <v>0</v>
      </c>
      <c r="L1071" t="s">
        <v>60</v>
      </c>
      <c r="M1071">
        <v>1</v>
      </c>
      <c r="N1071" t="s">
        <v>67</v>
      </c>
      <c r="O1071" s="2">
        <v>0.50347222222222221</v>
      </c>
      <c r="P1071">
        <f>0.0027227912*3600</f>
        <v>9.8020483200000008</v>
      </c>
      <c r="Q1071">
        <f>0.0034242*3600</f>
        <v>12.327120000000001</v>
      </c>
    </row>
    <row r="1072" spans="1:18" x14ac:dyDescent="0.3">
      <c r="A1072" s="4" t="s">
        <v>47</v>
      </c>
      <c r="B1072" s="5" t="s">
        <v>49</v>
      </c>
      <c r="C1072">
        <v>202.34864899999999</v>
      </c>
      <c r="D1072">
        <v>99.288722000000007</v>
      </c>
      <c r="E1072">
        <v>502.99880000000002</v>
      </c>
      <c r="F1072">
        <v>502.87709999999998</v>
      </c>
      <c r="G1072">
        <v>0.26100000000000001</v>
      </c>
      <c r="H1072">
        <v>1.746</v>
      </c>
      <c r="I1072" t="s">
        <v>0</v>
      </c>
      <c r="J1072" t="s">
        <v>50</v>
      </c>
      <c r="K1072" t="s">
        <v>51</v>
      </c>
      <c r="L1072">
        <v>0</v>
      </c>
      <c r="M1072" t="s">
        <v>52</v>
      </c>
      <c r="N1072">
        <v>1</v>
      </c>
      <c r="O1072" t="s">
        <v>53</v>
      </c>
      <c r="P1072" s="2">
        <v>0.50486111111111109</v>
      </c>
      <c r="Q1072">
        <f>0.0037358816*3600</f>
        <v>13.449173760000001</v>
      </c>
      <c r="R1072">
        <f>-0.004620324*3600</f>
        <v>-16.6331664</v>
      </c>
    </row>
    <row r="1073" spans="1:18" x14ac:dyDescent="0.3">
      <c r="A1073" s="4" t="s">
        <v>47</v>
      </c>
      <c r="B1073" s="6" t="s">
        <v>49</v>
      </c>
      <c r="C1073">
        <v>2.349011</v>
      </c>
      <c r="D1073">
        <v>300.71043700000001</v>
      </c>
      <c r="E1073">
        <v>502.99900000000002</v>
      </c>
      <c r="F1073">
        <v>502.87740000000002</v>
      </c>
      <c r="G1073">
        <v>0.26100000000000001</v>
      </c>
      <c r="H1073">
        <v>1.746</v>
      </c>
      <c r="I1073" t="s">
        <v>0</v>
      </c>
      <c r="J1073" t="s">
        <v>50</v>
      </c>
      <c r="K1073" t="s">
        <v>51</v>
      </c>
      <c r="L1073">
        <v>0</v>
      </c>
      <c r="M1073" t="s">
        <v>52</v>
      </c>
      <c r="N1073">
        <v>1</v>
      </c>
      <c r="O1073" t="s">
        <v>53</v>
      </c>
      <c r="P1073" s="2">
        <v>0.50486111111111109</v>
      </c>
      <c r="Q1073">
        <f>-0.0049410283*3600</f>
        <v>-17.78770188</v>
      </c>
      <c r="R1073">
        <f>0.0040587183*3600</f>
        <v>14.61138588</v>
      </c>
    </row>
    <row r="1074" spans="1:18" x14ac:dyDescent="0.3">
      <c r="A1074" s="4" t="s">
        <v>47</v>
      </c>
      <c r="B1074" s="5" t="s">
        <v>57</v>
      </c>
      <c r="C1074">
        <v>1.2855350000000001</v>
      </c>
      <c r="D1074">
        <v>99.159171000000001</v>
      </c>
      <c r="E1074">
        <v>37.385199999999998</v>
      </c>
      <c r="F1074">
        <v>37.375300000000003</v>
      </c>
      <c r="G1074">
        <v>0.26100000000000001</v>
      </c>
      <c r="H1074">
        <v>0</v>
      </c>
      <c r="I1074" t="s">
        <v>0</v>
      </c>
      <c r="J1074" t="s">
        <v>50</v>
      </c>
      <c r="K1074" t="s">
        <v>51</v>
      </c>
      <c r="L1074">
        <v>0</v>
      </c>
      <c r="M1074" t="s">
        <v>52</v>
      </c>
      <c r="N1074">
        <v>1</v>
      </c>
      <c r="O1074" t="s">
        <v>53</v>
      </c>
      <c r="P1074" s="2">
        <v>0.50555555555555554</v>
      </c>
      <c r="Q1074">
        <f>-0.0057711627*3600</f>
        <v>-20.776185719999997</v>
      </c>
      <c r="R1074">
        <f>0.0045064852*3600</f>
        <v>16.223346720000002</v>
      </c>
    </row>
    <row r="1075" spans="1:18" x14ac:dyDescent="0.3">
      <c r="A1075" s="4" t="s">
        <v>47</v>
      </c>
      <c r="B1075" s="6" t="s">
        <v>57</v>
      </c>
      <c r="C1075">
        <v>201.28557900000001</v>
      </c>
      <c r="D1075">
        <v>300.84088200000002</v>
      </c>
      <c r="E1075">
        <v>37.3855</v>
      </c>
      <c r="F1075">
        <v>37.375599999999999</v>
      </c>
      <c r="G1075">
        <v>0.26100000000000001</v>
      </c>
      <c r="H1075">
        <v>0</v>
      </c>
      <c r="I1075" t="s">
        <v>0</v>
      </c>
      <c r="J1075" t="s">
        <v>50</v>
      </c>
      <c r="K1075" t="s">
        <v>51</v>
      </c>
      <c r="L1075">
        <v>0</v>
      </c>
      <c r="M1075" t="s">
        <v>52</v>
      </c>
      <c r="N1075">
        <v>1</v>
      </c>
      <c r="O1075" t="s">
        <v>53</v>
      </c>
      <c r="P1075" s="2">
        <v>0.50624999999999998</v>
      </c>
      <c r="Q1075">
        <f>0.0048120655*3600</f>
        <v>17.323435799999999</v>
      </c>
      <c r="R1075">
        <f>-0.0060126527*3600</f>
        <v>-21.645549720000002</v>
      </c>
    </row>
    <row r="1076" spans="1:18" x14ac:dyDescent="0.3">
      <c r="A1076" s="4" t="s">
        <v>47</v>
      </c>
      <c r="B1076" s="5" t="s">
        <v>678</v>
      </c>
      <c r="C1076">
        <v>99.124070000000003</v>
      </c>
      <c r="D1076">
        <v>108.873518</v>
      </c>
      <c r="E1076">
        <v>8.0370000000000008</v>
      </c>
      <c r="F1076">
        <v>7.9576000000000002</v>
      </c>
      <c r="G1076">
        <v>0.26100000000000001</v>
      </c>
      <c r="H1076">
        <v>0</v>
      </c>
      <c r="I1076" t="s">
        <v>0</v>
      </c>
      <c r="J1076" t="s">
        <v>59</v>
      </c>
      <c r="K1076">
        <v>3.4000000000000002E-2</v>
      </c>
      <c r="L1076" t="s">
        <v>60</v>
      </c>
      <c r="M1076">
        <v>1</v>
      </c>
      <c r="N1076" t="s">
        <v>53</v>
      </c>
      <c r="O1076" s="2">
        <v>0.50763888888888886</v>
      </c>
      <c r="P1076">
        <f>-0.0055865653*3600</f>
        <v>-20.111635079999999</v>
      </c>
      <c r="Q1076">
        <f>-0.0044832011*3600</f>
        <v>-16.139523959999998</v>
      </c>
    </row>
    <row r="1077" spans="1:18" x14ac:dyDescent="0.3">
      <c r="A1077" s="4" t="s">
        <v>47</v>
      </c>
      <c r="B1077" s="5" t="s">
        <v>679</v>
      </c>
      <c r="C1077">
        <v>99.124602999999993</v>
      </c>
      <c r="D1077">
        <v>108.747614</v>
      </c>
      <c r="E1077">
        <v>1</v>
      </c>
      <c r="F1077">
        <v>1</v>
      </c>
      <c r="G1077">
        <v>0.26100000000000001</v>
      </c>
      <c r="H1077">
        <v>0</v>
      </c>
      <c r="I1077" t="s">
        <v>0</v>
      </c>
      <c r="J1077" t="s">
        <v>59</v>
      </c>
      <c r="K1077">
        <v>0</v>
      </c>
      <c r="L1077" t="s">
        <v>60</v>
      </c>
      <c r="M1077">
        <v>1</v>
      </c>
      <c r="N1077" t="s">
        <v>67</v>
      </c>
      <c r="O1077" s="2">
        <v>0.50763888888888886</v>
      </c>
      <c r="P1077">
        <f>-0.0057975582*3600</f>
        <v>-20.871209519999997</v>
      </c>
      <c r="Q1077">
        <f>-0.0046531903*3600</f>
        <v>-16.751485080000002</v>
      </c>
    </row>
    <row r="1078" spans="1:18" x14ac:dyDescent="0.3">
      <c r="A1078" s="4" t="s">
        <v>47</v>
      </c>
      <c r="B1078" s="5" t="s">
        <v>680</v>
      </c>
      <c r="C1078">
        <v>99.123923000000005</v>
      </c>
      <c r="D1078">
        <v>108.747629</v>
      </c>
      <c r="E1078">
        <v>1</v>
      </c>
      <c r="F1078">
        <v>1</v>
      </c>
      <c r="G1078">
        <v>0.26100000000000001</v>
      </c>
      <c r="H1078">
        <v>0</v>
      </c>
      <c r="I1078" t="s">
        <v>0</v>
      </c>
      <c r="J1078" t="s">
        <v>59</v>
      </c>
      <c r="K1078">
        <v>0</v>
      </c>
      <c r="L1078" t="s">
        <v>60</v>
      </c>
      <c r="M1078">
        <v>1</v>
      </c>
      <c r="N1078" t="s">
        <v>67</v>
      </c>
      <c r="O1078" s="2">
        <v>0.50763888888888886</v>
      </c>
      <c r="P1078">
        <f>-0.0057461284*3600</f>
        <v>-20.686062239999998</v>
      </c>
      <c r="Q1078">
        <f>-0.004638889*3600</f>
        <v>-16.7000004</v>
      </c>
    </row>
    <row r="1079" spans="1:18" x14ac:dyDescent="0.3">
      <c r="A1079" s="4" t="s">
        <v>47</v>
      </c>
      <c r="B1079" s="5" t="s">
        <v>681</v>
      </c>
      <c r="C1079">
        <v>99.124241999999995</v>
      </c>
      <c r="D1079">
        <v>108.747677</v>
      </c>
      <c r="E1079">
        <v>1</v>
      </c>
      <c r="F1079">
        <v>1</v>
      </c>
      <c r="G1079">
        <v>0.26100000000000001</v>
      </c>
      <c r="H1079">
        <v>0</v>
      </c>
      <c r="I1079" t="s">
        <v>0</v>
      </c>
      <c r="J1079" t="s">
        <v>59</v>
      </c>
      <c r="K1079">
        <v>0</v>
      </c>
      <c r="L1079" t="s">
        <v>60</v>
      </c>
      <c r="M1079">
        <v>1</v>
      </c>
      <c r="N1079" t="s">
        <v>67</v>
      </c>
      <c r="O1079" s="2">
        <v>0.50763888888888886</v>
      </c>
      <c r="P1079">
        <f>-0.005767329*3600</f>
        <v>-20.762384399999998</v>
      </c>
      <c r="Q1079">
        <f>-0.0045959983*3600</f>
        <v>-16.545593880000002</v>
      </c>
    </row>
    <row r="1080" spans="1:18" x14ac:dyDescent="0.3">
      <c r="A1080" s="4" t="s">
        <v>47</v>
      </c>
      <c r="B1080" s="5" t="s">
        <v>682</v>
      </c>
      <c r="C1080">
        <v>99.123782000000006</v>
      </c>
      <c r="D1080">
        <v>108.74761599999999</v>
      </c>
      <c r="E1080">
        <v>1</v>
      </c>
      <c r="F1080">
        <v>1</v>
      </c>
      <c r="G1080">
        <v>0.26100000000000001</v>
      </c>
      <c r="H1080">
        <v>0</v>
      </c>
      <c r="I1080" t="s">
        <v>0</v>
      </c>
      <c r="J1080" t="s">
        <v>59</v>
      </c>
      <c r="K1080">
        <v>0</v>
      </c>
      <c r="L1080" t="s">
        <v>60</v>
      </c>
      <c r="M1080">
        <v>1</v>
      </c>
      <c r="N1080" t="s">
        <v>67</v>
      </c>
      <c r="O1080" s="2">
        <v>0.50763888888888886</v>
      </c>
      <c r="P1080">
        <f>-0.0057562704*3600</f>
        <v>-20.722573440000001</v>
      </c>
      <c r="Q1080">
        <f>-0.0046346694*3600</f>
        <v>-16.68480984</v>
      </c>
    </row>
    <row r="1081" spans="1:18" x14ac:dyDescent="0.3">
      <c r="A1081" s="4" t="s">
        <v>47</v>
      </c>
      <c r="B1081" s="5" t="s">
        <v>683</v>
      </c>
      <c r="C1081">
        <v>99.123716000000002</v>
      </c>
      <c r="D1081">
        <v>108.747675</v>
      </c>
      <c r="E1081">
        <v>1</v>
      </c>
      <c r="F1081">
        <v>1</v>
      </c>
      <c r="G1081">
        <v>0.26100000000000001</v>
      </c>
      <c r="H1081">
        <v>0</v>
      </c>
      <c r="I1081" t="s">
        <v>0</v>
      </c>
      <c r="J1081" t="s">
        <v>59</v>
      </c>
      <c r="K1081">
        <v>0</v>
      </c>
      <c r="L1081" t="s">
        <v>60</v>
      </c>
      <c r="M1081">
        <v>1</v>
      </c>
      <c r="N1081" t="s">
        <v>67</v>
      </c>
      <c r="O1081" s="2">
        <v>0.50763888888888886</v>
      </c>
      <c r="P1081">
        <f>-0.0057541742*3600</f>
        <v>-20.715027119999998</v>
      </c>
      <c r="Q1081">
        <f>-0.0045907113*3600</f>
        <v>-16.526560679999999</v>
      </c>
    </row>
    <row r="1082" spans="1:18" x14ac:dyDescent="0.3">
      <c r="A1082" s="4" t="s">
        <v>47</v>
      </c>
      <c r="B1082" s="5" t="s">
        <v>684</v>
      </c>
      <c r="C1082">
        <v>99.123683</v>
      </c>
      <c r="D1082">
        <v>108.747642</v>
      </c>
      <c r="E1082">
        <v>1</v>
      </c>
      <c r="F1082">
        <v>1</v>
      </c>
      <c r="G1082">
        <v>0.26100000000000001</v>
      </c>
      <c r="H1082">
        <v>0</v>
      </c>
      <c r="I1082" t="s">
        <v>0</v>
      </c>
      <c r="J1082" t="s">
        <v>59</v>
      </c>
      <c r="K1082">
        <v>0</v>
      </c>
      <c r="L1082" t="s">
        <v>60</v>
      </c>
      <c r="M1082">
        <v>1</v>
      </c>
      <c r="N1082" t="s">
        <v>67</v>
      </c>
      <c r="O1082" s="2">
        <v>0.50763888888888886</v>
      </c>
      <c r="P1082">
        <f>-0.0057574514*3600</f>
        <v>-20.726825040000001</v>
      </c>
      <c r="Q1082">
        <f>-0.0045566646*3600</f>
        <v>-16.403992560000002</v>
      </c>
    </row>
    <row r="1083" spans="1:18" x14ac:dyDescent="0.3">
      <c r="A1083" s="4" t="s">
        <v>47</v>
      </c>
      <c r="B1083" s="5" t="s">
        <v>685</v>
      </c>
      <c r="C1083">
        <v>99.124480000000005</v>
      </c>
      <c r="D1083">
        <v>108.74755399999999</v>
      </c>
      <c r="E1083">
        <v>1</v>
      </c>
      <c r="F1083">
        <v>1</v>
      </c>
      <c r="G1083">
        <v>0.26100000000000001</v>
      </c>
      <c r="H1083">
        <v>0</v>
      </c>
      <c r="I1083" t="s">
        <v>0</v>
      </c>
      <c r="J1083" t="s">
        <v>59</v>
      </c>
      <c r="K1083">
        <v>0</v>
      </c>
      <c r="L1083" t="s">
        <v>60</v>
      </c>
      <c r="M1083">
        <v>1</v>
      </c>
      <c r="N1083" t="s">
        <v>67</v>
      </c>
      <c r="O1083" s="2">
        <v>0.50763888888888886</v>
      </c>
      <c r="P1083">
        <f>-0.005794506*3600</f>
        <v>-20.860221599999999</v>
      </c>
      <c r="Q1083">
        <f>-0.0046097685*3600</f>
        <v>-16.595166599999999</v>
      </c>
    </row>
    <row r="1084" spans="1:18" x14ac:dyDescent="0.3">
      <c r="A1084" s="4" t="s">
        <v>47</v>
      </c>
      <c r="B1084" s="5" t="s">
        <v>686</v>
      </c>
      <c r="C1084">
        <v>99.124244000000004</v>
      </c>
      <c r="D1084">
        <v>108.747539</v>
      </c>
      <c r="E1084">
        <v>1</v>
      </c>
      <c r="F1084">
        <v>1</v>
      </c>
      <c r="G1084">
        <v>0.26100000000000001</v>
      </c>
      <c r="H1084">
        <v>0</v>
      </c>
      <c r="I1084" t="s">
        <v>0</v>
      </c>
      <c r="J1084" t="s">
        <v>59</v>
      </c>
      <c r="K1084">
        <v>0</v>
      </c>
      <c r="L1084" t="s">
        <v>60</v>
      </c>
      <c r="M1084">
        <v>1</v>
      </c>
      <c r="N1084" t="s">
        <v>67</v>
      </c>
      <c r="O1084" s="2">
        <v>0.50763888888888886</v>
      </c>
      <c r="P1084">
        <f>-0.0058517088*3600</f>
        <v>-21.066151680000001</v>
      </c>
      <c r="Q1084">
        <f>-0.0046004596*3600</f>
        <v>-16.561654559999997</v>
      </c>
    </row>
    <row r="1085" spans="1:18" x14ac:dyDescent="0.3">
      <c r="A1085" s="4" t="s">
        <v>47</v>
      </c>
      <c r="B1085" s="5" t="s">
        <v>687</v>
      </c>
      <c r="C1085">
        <v>99.124813000000003</v>
      </c>
      <c r="D1085">
        <v>108.747451</v>
      </c>
      <c r="E1085">
        <v>1</v>
      </c>
      <c r="F1085">
        <v>1</v>
      </c>
      <c r="G1085">
        <v>0.26100000000000001</v>
      </c>
      <c r="H1085">
        <v>0</v>
      </c>
      <c r="I1085" t="s">
        <v>0</v>
      </c>
      <c r="J1085" t="s">
        <v>59</v>
      </c>
      <c r="K1085">
        <v>0</v>
      </c>
      <c r="L1085" t="s">
        <v>60</v>
      </c>
      <c r="M1085">
        <v>1</v>
      </c>
      <c r="N1085" t="s">
        <v>67</v>
      </c>
      <c r="O1085" s="2">
        <v>0.50763888888888886</v>
      </c>
      <c r="P1085">
        <f>-0.0058944236*3600</f>
        <v>-21.21992496</v>
      </c>
      <c r="Q1085">
        <f>-0.004671526*3600</f>
        <v>-16.817493599999999</v>
      </c>
    </row>
    <row r="1086" spans="1:18" x14ac:dyDescent="0.3">
      <c r="A1086" s="4" t="s">
        <v>47</v>
      </c>
      <c r="B1086" s="5" t="s">
        <v>688</v>
      </c>
      <c r="C1086">
        <v>99.124430000000004</v>
      </c>
      <c r="D1086">
        <v>108.747423</v>
      </c>
      <c r="E1086">
        <v>1</v>
      </c>
      <c r="F1086">
        <v>1</v>
      </c>
      <c r="G1086">
        <v>0.26100000000000001</v>
      </c>
      <c r="H1086">
        <v>0</v>
      </c>
      <c r="I1086" t="s">
        <v>0</v>
      </c>
      <c r="J1086" t="s">
        <v>59</v>
      </c>
      <c r="K1086">
        <v>0</v>
      </c>
      <c r="L1086" t="s">
        <v>60</v>
      </c>
      <c r="M1086">
        <v>1</v>
      </c>
      <c r="N1086" t="s">
        <v>67</v>
      </c>
      <c r="O1086" s="2">
        <v>0.50763888888888886</v>
      </c>
      <c r="P1086">
        <f>-0.0058245076*3600</f>
        <v>-20.96822736</v>
      </c>
      <c r="Q1086">
        <f>-0.0046887661*3600</f>
        <v>-16.87955796</v>
      </c>
    </row>
    <row r="1087" spans="1:18" x14ac:dyDescent="0.3">
      <c r="A1087" s="4" t="s">
        <v>47</v>
      </c>
      <c r="B1087" s="5" t="s">
        <v>689</v>
      </c>
      <c r="C1087">
        <v>99.124235999999996</v>
      </c>
      <c r="D1087">
        <v>108.747409</v>
      </c>
      <c r="E1087">
        <v>1</v>
      </c>
      <c r="F1087">
        <v>1</v>
      </c>
      <c r="G1087">
        <v>0.26100000000000001</v>
      </c>
      <c r="H1087">
        <v>0</v>
      </c>
      <c r="I1087" t="s">
        <v>0</v>
      </c>
      <c r="J1087" t="s">
        <v>59</v>
      </c>
      <c r="K1087">
        <v>0</v>
      </c>
      <c r="L1087" t="s">
        <v>60</v>
      </c>
      <c r="M1087">
        <v>1</v>
      </c>
      <c r="N1087" t="s">
        <v>67</v>
      </c>
      <c r="O1087" s="2">
        <v>0.50763888888888886</v>
      </c>
      <c r="P1087">
        <f>-0.0059689321*3600</f>
        <v>-21.488155559999999</v>
      </c>
      <c r="Q1087">
        <f>-0.0046956738*3600</f>
        <v>-16.904425680000003</v>
      </c>
    </row>
    <row r="1088" spans="1:18" x14ac:dyDescent="0.3">
      <c r="A1088" s="4" t="s">
        <v>47</v>
      </c>
      <c r="B1088" s="5" t="s">
        <v>690</v>
      </c>
      <c r="C1088">
        <v>99.124596999999994</v>
      </c>
      <c r="D1088">
        <v>108.747381</v>
      </c>
      <c r="E1088">
        <v>1</v>
      </c>
      <c r="F1088">
        <v>1</v>
      </c>
      <c r="G1088">
        <v>0.26100000000000001</v>
      </c>
      <c r="H1088">
        <v>0</v>
      </c>
      <c r="I1088" t="s">
        <v>0</v>
      </c>
      <c r="J1088" t="s">
        <v>59</v>
      </c>
      <c r="K1088">
        <v>0</v>
      </c>
      <c r="L1088" t="s">
        <v>60</v>
      </c>
      <c r="M1088">
        <v>1</v>
      </c>
      <c r="N1088" t="s">
        <v>67</v>
      </c>
      <c r="O1088" s="2">
        <v>0.50763888888888886</v>
      </c>
      <c r="P1088">
        <f>-0.0058306706*3600</f>
        <v>-20.99041416</v>
      </c>
      <c r="Q1088">
        <f>-0.0047105428*3600</f>
        <v>-16.95795408</v>
      </c>
    </row>
    <row r="1089" spans="1:17" x14ac:dyDescent="0.3">
      <c r="A1089" s="4" t="s">
        <v>47</v>
      </c>
      <c r="B1089" s="5" t="s">
        <v>691</v>
      </c>
      <c r="C1089">
        <v>99.123959999999997</v>
      </c>
      <c r="D1089">
        <v>108.747405</v>
      </c>
      <c r="E1089">
        <v>1</v>
      </c>
      <c r="F1089">
        <v>1</v>
      </c>
      <c r="G1089">
        <v>0.26100000000000001</v>
      </c>
      <c r="H1089">
        <v>0</v>
      </c>
      <c r="I1089" t="s">
        <v>0</v>
      </c>
      <c r="J1089" t="s">
        <v>59</v>
      </c>
      <c r="K1089">
        <v>0</v>
      </c>
      <c r="L1089" t="s">
        <v>60</v>
      </c>
      <c r="M1089">
        <v>1</v>
      </c>
      <c r="N1089" t="s">
        <v>67</v>
      </c>
      <c r="O1089" s="2">
        <v>0.50763888888888886</v>
      </c>
      <c r="P1089">
        <f>-0.0058976111*3600</f>
        <v>-21.231399960000001</v>
      </c>
      <c r="Q1089">
        <f>-0.0046981296*3600</f>
        <v>-16.91326656</v>
      </c>
    </row>
    <row r="1090" spans="1:17" x14ac:dyDescent="0.3">
      <c r="A1090" s="4" t="s">
        <v>47</v>
      </c>
      <c r="B1090" s="5" t="s">
        <v>692</v>
      </c>
      <c r="C1090">
        <v>99.123994999999994</v>
      </c>
      <c r="D1090">
        <v>108.747421</v>
      </c>
      <c r="E1090">
        <v>1</v>
      </c>
      <c r="F1090">
        <v>1</v>
      </c>
      <c r="G1090">
        <v>0.26100000000000001</v>
      </c>
      <c r="H1090">
        <v>0</v>
      </c>
      <c r="I1090" t="s">
        <v>0</v>
      </c>
      <c r="J1090" t="s">
        <v>59</v>
      </c>
      <c r="K1090">
        <v>0</v>
      </c>
      <c r="L1090" t="s">
        <v>60</v>
      </c>
      <c r="M1090">
        <v>1</v>
      </c>
      <c r="N1090" t="s">
        <v>67</v>
      </c>
      <c r="O1090" s="2">
        <v>0.50763888888888886</v>
      </c>
      <c r="P1090">
        <f>-0.0058611314*3600</f>
        <v>-21.100073039999998</v>
      </c>
      <c r="Q1090">
        <f>-0.0046983151*3600</f>
        <v>-16.913934360000002</v>
      </c>
    </row>
    <row r="1091" spans="1:17" x14ac:dyDescent="0.3">
      <c r="A1091" s="4" t="s">
        <v>47</v>
      </c>
      <c r="B1091" s="5" t="s">
        <v>693</v>
      </c>
      <c r="C1091">
        <v>99.124106999999995</v>
      </c>
      <c r="D1091">
        <v>108.747389</v>
      </c>
      <c r="E1091">
        <v>1</v>
      </c>
      <c r="F1091">
        <v>1</v>
      </c>
      <c r="G1091">
        <v>0.26100000000000001</v>
      </c>
      <c r="H1091">
        <v>0</v>
      </c>
      <c r="I1091" t="s">
        <v>0</v>
      </c>
      <c r="J1091" t="s">
        <v>59</v>
      </c>
      <c r="K1091">
        <v>0</v>
      </c>
      <c r="L1091" t="s">
        <v>60</v>
      </c>
      <c r="M1091">
        <v>1</v>
      </c>
      <c r="N1091" t="s">
        <v>67</v>
      </c>
      <c r="O1091" s="2">
        <v>0.50763888888888886</v>
      </c>
      <c r="P1091">
        <f>-0.0058173976*3600</f>
        <v>-20.94263136</v>
      </c>
      <c r="Q1091">
        <f>-0.0047458632*3600</f>
        <v>-17.085107520000001</v>
      </c>
    </row>
    <row r="1092" spans="1:17" x14ac:dyDescent="0.3">
      <c r="A1092" s="4" t="s">
        <v>47</v>
      </c>
      <c r="B1092" s="5" t="s">
        <v>694</v>
      </c>
      <c r="C1092">
        <v>99.123693000000003</v>
      </c>
      <c r="D1092">
        <v>108.747382</v>
      </c>
      <c r="E1092">
        <v>1</v>
      </c>
      <c r="F1092">
        <v>1</v>
      </c>
      <c r="G1092">
        <v>0.26100000000000001</v>
      </c>
      <c r="H1092">
        <v>0</v>
      </c>
      <c r="I1092" t="s">
        <v>0</v>
      </c>
      <c r="J1092" t="s">
        <v>59</v>
      </c>
      <c r="K1092">
        <v>0</v>
      </c>
      <c r="L1092" t="s">
        <v>60</v>
      </c>
      <c r="M1092">
        <v>1</v>
      </c>
      <c r="N1092" t="s">
        <v>67</v>
      </c>
      <c r="O1092" s="2">
        <v>0.50763888888888886</v>
      </c>
      <c r="P1092">
        <f>-0.0057799799*3600</f>
        <v>-20.807927639999999</v>
      </c>
      <c r="Q1092">
        <f>-0.0047161847*3600</f>
        <v>-16.978264920000001</v>
      </c>
    </row>
    <row r="1093" spans="1:17" x14ac:dyDescent="0.3">
      <c r="A1093" s="4" t="s">
        <v>47</v>
      </c>
      <c r="B1093" s="5" t="s">
        <v>695</v>
      </c>
      <c r="C1093">
        <v>99.124435000000005</v>
      </c>
      <c r="D1093">
        <v>108.74748599999999</v>
      </c>
      <c r="E1093">
        <v>1</v>
      </c>
      <c r="F1093">
        <v>1</v>
      </c>
      <c r="G1093">
        <v>0.26100000000000001</v>
      </c>
      <c r="H1093">
        <v>0</v>
      </c>
      <c r="I1093" t="s">
        <v>0</v>
      </c>
      <c r="J1093" t="s">
        <v>59</v>
      </c>
      <c r="K1093">
        <v>0</v>
      </c>
      <c r="L1093" t="s">
        <v>60</v>
      </c>
      <c r="M1093">
        <v>1</v>
      </c>
      <c r="N1093" t="s">
        <v>67</v>
      </c>
      <c r="O1093" s="2">
        <v>0.50763888888888886</v>
      </c>
      <c r="P1093">
        <f>-0.0057552881*3600</f>
        <v>-20.719037160000003</v>
      </c>
      <c r="Q1093">
        <f>-0.00465046*3600</f>
        <v>-16.741656000000003</v>
      </c>
    </row>
    <row r="1094" spans="1:17" x14ac:dyDescent="0.3">
      <c r="A1094" s="4" t="s">
        <v>47</v>
      </c>
      <c r="B1094" s="5" t="s">
        <v>696</v>
      </c>
      <c r="C1094">
        <v>99.123530000000002</v>
      </c>
      <c r="D1094">
        <v>108.74736</v>
      </c>
      <c r="E1094">
        <v>1</v>
      </c>
      <c r="F1094">
        <v>1</v>
      </c>
      <c r="G1094">
        <v>0.26100000000000001</v>
      </c>
      <c r="H1094">
        <v>0</v>
      </c>
      <c r="I1094" t="s">
        <v>0</v>
      </c>
      <c r="J1094" t="s">
        <v>59</v>
      </c>
      <c r="K1094">
        <v>0</v>
      </c>
      <c r="L1094" t="s">
        <v>60</v>
      </c>
      <c r="M1094">
        <v>1</v>
      </c>
      <c r="N1094" t="s">
        <v>67</v>
      </c>
      <c r="O1094" s="2">
        <v>0.50763888888888886</v>
      </c>
      <c r="P1094">
        <f>-0.0058302315*3600</f>
        <v>-20.988833399999997</v>
      </c>
      <c r="Q1094">
        <f>-0.0047342698*3600</f>
        <v>-17.043371280000002</v>
      </c>
    </row>
    <row r="1095" spans="1:17" x14ac:dyDescent="0.3">
      <c r="A1095" s="4" t="s">
        <v>47</v>
      </c>
      <c r="B1095" s="5" t="s">
        <v>697</v>
      </c>
      <c r="C1095">
        <v>99.123345999999998</v>
      </c>
      <c r="D1095">
        <v>108.747332</v>
      </c>
      <c r="E1095">
        <v>1</v>
      </c>
      <c r="F1095">
        <v>1</v>
      </c>
      <c r="G1095">
        <v>0.26100000000000001</v>
      </c>
      <c r="H1095">
        <v>0</v>
      </c>
      <c r="I1095" t="s">
        <v>0</v>
      </c>
      <c r="J1095" t="s">
        <v>59</v>
      </c>
      <c r="K1095">
        <v>0</v>
      </c>
      <c r="L1095" t="s">
        <v>60</v>
      </c>
      <c r="M1095">
        <v>1</v>
      </c>
      <c r="N1095" t="s">
        <v>67</v>
      </c>
      <c r="O1095" s="2">
        <v>0.50763888888888886</v>
      </c>
      <c r="P1095">
        <f>-0.0058271863*3600</f>
        <v>-20.977870680000002</v>
      </c>
      <c r="Q1095">
        <f>-0.0047336202*3600</f>
        <v>-17.04103272</v>
      </c>
    </row>
    <row r="1096" spans="1:17" x14ac:dyDescent="0.3">
      <c r="A1096" s="4" t="s">
        <v>47</v>
      </c>
      <c r="B1096" s="5" t="s">
        <v>698</v>
      </c>
      <c r="C1096">
        <v>99.123965999999996</v>
      </c>
      <c r="D1096">
        <v>108.747399</v>
      </c>
      <c r="E1096">
        <v>1</v>
      </c>
      <c r="F1096">
        <v>1</v>
      </c>
      <c r="G1096">
        <v>0.26100000000000001</v>
      </c>
      <c r="H1096">
        <v>0</v>
      </c>
      <c r="I1096" t="s">
        <v>0</v>
      </c>
      <c r="J1096" t="s">
        <v>59</v>
      </c>
      <c r="K1096">
        <v>0</v>
      </c>
      <c r="L1096" t="s">
        <v>60</v>
      </c>
      <c r="M1096">
        <v>1</v>
      </c>
      <c r="N1096" t="s">
        <v>67</v>
      </c>
      <c r="O1096" s="2">
        <v>0.50763888888888886</v>
      </c>
      <c r="P1096">
        <f>-0.0058376797*3600</f>
        <v>-21.015646919999998</v>
      </c>
      <c r="Q1096">
        <f>-0.0047015806*3600</f>
        <v>-16.925690159999998</v>
      </c>
    </row>
    <row r="1097" spans="1:17" x14ac:dyDescent="0.3">
      <c r="A1097" s="4" t="s">
        <v>47</v>
      </c>
      <c r="B1097" s="5" t="s">
        <v>699</v>
      </c>
      <c r="C1097">
        <v>99.124329000000003</v>
      </c>
      <c r="D1097">
        <v>108.747388</v>
      </c>
      <c r="E1097">
        <v>1</v>
      </c>
      <c r="F1097">
        <v>1</v>
      </c>
      <c r="G1097">
        <v>0.26100000000000001</v>
      </c>
      <c r="H1097">
        <v>0</v>
      </c>
      <c r="I1097" t="s">
        <v>0</v>
      </c>
      <c r="J1097" t="s">
        <v>59</v>
      </c>
      <c r="K1097">
        <v>0</v>
      </c>
      <c r="L1097" t="s">
        <v>60</v>
      </c>
      <c r="M1097">
        <v>1</v>
      </c>
      <c r="N1097" t="s">
        <v>67</v>
      </c>
      <c r="O1097" s="2">
        <v>0.50763888888888886</v>
      </c>
      <c r="P1097">
        <f>-0.0058194761*3600</f>
        <v>-20.950113959999999</v>
      </c>
      <c r="Q1097">
        <f>-0.004748378*3600</f>
        <v>-17.094160800000001</v>
      </c>
    </row>
    <row r="1098" spans="1:17" x14ac:dyDescent="0.3">
      <c r="A1098" s="4" t="s">
        <v>47</v>
      </c>
      <c r="B1098" s="5" t="s">
        <v>700</v>
      </c>
      <c r="C1098">
        <v>99.124015999999997</v>
      </c>
      <c r="D1098">
        <v>108.747389</v>
      </c>
      <c r="E1098">
        <v>1</v>
      </c>
      <c r="F1098">
        <v>1</v>
      </c>
      <c r="G1098">
        <v>0.26100000000000001</v>
      </c>
      <c r="H1098">
        <v>0</v>
      </c>
      <c r="I1098" t="s">
        <v>0</v>
      </c>
      <c r="J1098" t="s">
        <v>59</v>
      </c>
      <c r="K1098">
        <v>0</v>
      </c>
      <c r="L1098" t="s">
        <v>60</v>
      </c>
      <c r="M1098">
        <v>1</v>
      </c>
      <c r="N1098" t="s">
        <v>67</v>
      </c>
      <c r="O1098" s="2">
        <v>0.50763888888888886</v>
      </c>
      <c r="P1098">
        <f>-0.0057970243*3600</f>
        <v>-20.869287480000001</v>
      </c>
      <c r="Q1098">
        <f>-0.0047444746*3600</f>
        <v>-17.080108559999999</v>
      </c>
    </row>
    <row r="1099" spans="1:17" x14ac:dyDescent="0.3">
      <c r="A1099" s="4" t="s">
        <v>47</v>
      </c>
      <c r="B1099" s="5" t="s">
        <v>701</v>
      </c>
      <c r="C1099">
        <v>99.123317999999998</v>
      </c>
      <c r="D1099">
        <v>108.74730599999999</v>
      </c>
      <c r="E1099">
        <v>1</v>
      </c>
      <c r="F1099">
        <v>1</v>
      </c>
      <c r="G1099">
        <v>0.26100000000000001</v>
      </c>
      <c r="H1099">
        <v>0</v>
      </c>
      <c r="I1099" t="s">
        <v>0</v>
      </c>
      <c r="J1099" t="s">
        <v>59</v>
      </c>
      <c r="K1099">
        <v>0</v>
      </c>
      <c r="L1099" t="s">
        <v>60</v>
      </c>
      <c r="M1099">
        <v>1</v>
      </c>
      <c r="N1099" t="s">
        <v>67</v>
      </c>
      <c r="O1099" s="2">
        <v>0.50763888888888886</v>
      </c>
      <c r="P1099">
        <f>-0.0058267299*3600</f>
        <v>-20.976227640000001</v>
      </c>
      <c r="Q1099">
        <f>-0.0047612027*3600</f>
        <v>-17.14032972</v>
      </c>
    </row>
    <row r="1100" spans="1:17" x14ac:dyDescent="0.3">
      <c r="A1100" s="4" t="s">
        <v>47</v>
      </c>
      <c r="B1100" s="5" t="s">
        <v>702</v>
      </c>
      <c r="C1100">
        <v>99.123238000000001</v>
      </c>
      <c r="D1100">
        <v>108.74735200000001</v>
      </c>
      <c r="E1100">
        <v>1</v>
      </c>
      <c r="F1100">
        <v>1</v>
      </c>
      <c r="G1100">
        <v>0.26100000000000001</v>
      </c>
      <c r="H1100">
        <v>0</v>
      </c>
      <c r="I1100" t="s">
        <v>0</v>
      </c>
      <c r="J1100" t="s">
        <v>59</v>
      </c>
      <c r="K1100">
        <v>0</v>
      </c>
      <c r="L1100" t="s">
        <v>60</v>
      </c>
      <c r="M1100">
        <v>1</v>
      </c>
      <c r="N1100" t="s">
        <v>67</v>
      </c>
      <c r="O1100" s="2">
        <v>0.50763888888888886</v>
      </c>
      <c r="P1100">
        <f>-0.0058056293*3600</f>
        <v>-20.900265480000002</v>
      </c>
      <c r="Q1100">
        <f>-0.0047269162*3600</f>
        <v>-17.016898320000003</v>
      </c>
    </row>
    <row r="1101" spans="1:17" x14ac:dyDescent="0.3">
      <c r="A1101" s="4" t="s">
        <v>47</v>
      </c>
      <c r="B1101" s="5" t="s">
        <v>703</v>
      </c>
      <c r="C1101">
        <v>99.123974000000004</v>
      </c>
      <c r="D1101">
        <v>108.74739599999999</v>
      </c>
      <c r="E1101">
        <v>1</v>
      </c>
      <c r="F1101">
        <v>1</v>
      </c>
      <c r="G1101">
        <v>0.26100000000000001</v>
      </c>
      <c r="H1101">
        <v>0</v>
      </c>
      <c r="I1101" t="s">
        <v>0</v>
      </c>
      <c r="J1101" t="s">
        <v>59</v>
      </c>
      <c r="K1101">
        <v>0</v>
      </c>
      <c r="L1101" t="s">
        <v>60</v>
      </c>
      <c r="M1101">
        <v>1</v>
      </c>
      <c r="N1101" t="s">
        <v>67</v>
      </c>
      <c r="O1101" s="2">
        <v>0.50763888888888886</v>
      </c>
      <c r="P1101">
        <f>-0.005802972*3600</f>
        <v>-20.8906992</v>
      </c>
      <c r="Q1101">
        <f>-0.0047127569*3600</f>
        <v>-16.96592484</v>
      </c>
    </row>
    <row r="1102" spans="1:17" x14ac:dyDescent="0.3">
      <c r="A1102" s="4" t="s">
        <v>47</v>
      </c>
      <c r="B1102" s="5" t="s">
        <v>704</v>
      </c>
      <c r="C1102">
        <v>99.123366000000004</v>
      </c>
      <c r="D1102">
        <v>108.74735200000001</v>
      </c>
      <c r="E1102">
        <v>1</v>
      </c>
      <c r="F1102">
        <v>1</v>
      </c>
      <c r="G1102">
        <v>0.26100000000000001</v>
      </c>
      <c r="H1102">
        <v>0</v>
      </c>
      <c r="I1102" t="s">
        <v>0</v>
      </c>
      <c r="J1102" t="s">
        <v>59</v>
      </c>
      <c r="K1102">
        <v>0</v>
      </c>
      <c r="L1102" t="s">
        <v>60</v>
      </c>
      <c r="M1102">
        <v>1</v>
      </c>
      <c r="N1102" t="s">
        <v>67</v>
      </c>
      <c r="O1102" s="2">
        <v>0.50763888888888886</v>
      </c>
      <c r="P1102">
        <f>-0.0057417903*3600</f>
        <v>-20.67044508</v>
      </c>
      <c r="Q1102">
        <f>-0.0047238158*3600</f>
        <v>-17.005736880000001</v>
      </c>
    </row>
    <row r="1103" spans="1:17" x14ac:dyDescent="0.3">
      <c r="A1103" s="4" t="s">
        <v>47</v>
      </c>
      <c r="B1103" s="5" t="s">
        <v>705</v>
      </c>
      <c r="C1103">
        <v>99.123237000000003</v>
      </c>
      <c r="D1103">
        <v>108.74739</v>
      </c>
      <c r="E1103">
        <v>1</v>
      </c>
      <c r="F1103">
        <v>1</v>
      </c>
      <c r="G1103">
        <v>0.26100000000000001</v>
      </c>
      <c r="H1103">
        <v>0</v>
      </c>
      <c r="I1103" t="s">
        <v>0</v>
      </c>
      <c r="J1103" t="s">
        <v>59</v>
      </c>
      <c r="K1103">
        <v>0</v>
      </c>
      <c r="L1103" t="s">
        <v>60</v>
      </c>
      <c r="M1103">
        <v>1</v>
      </c>
      <c r="N1103" t="s">
        <v>67</v>
      </c>
      <c r="O1103" s="2">
        <v>0.50763888888888886</v>
      </c>
      <c r="P1103">
        <f>-0.0058222536*3600</f>
        <v>-20.96011296</v>
      </c>
      <c r="Q1103">
        <f>-0.0046838418*3600</f>
        <v>-16.861830479999998</v>
      </c>
    </row>
    <row r="1104" spans="1:17" x14ac:dyDescent="0.3">
      <c r="A1104" s="4" t="s">
        <v>47</v>
      </c>
      <c r="B1104" s="5" t="s">
        <v>706</v>
      </c>
      <c r="C1104">
        <v>99.124300000000005</v>
      </c>
      <c r="D1104">
        <v>108.747356</v>
      </c>
      <c r="E1104">
        <v>1</v>
      </c>
      <c r="F1104">
        <v>1</v>
      </c>
      <c r="G1104">
        <v>0.26100000000000001</v>
      </c>
      <c r="H1104">
        <v>0</v>
      </c>
      <c r="I1104" t="s">
        <v>0</v>
      </c>
      <c r="J1104" t="s">
        <v>59</v>
      </c>
      <c r="K1104">
        <v>0</v>
      </c>
      <c r="L1104" t="s">
        <v>60</v>
      </c>
      <c r="M1104">
        <v>1</v>
      </c>
      <c r="N1104" t="s">
        <v>67</v>
      </c>
      <c r="O1104" s="2">
        <v>0.50763888888888886</v>
      </c>
      <c r="P1104">
        <f>-0.0057573019*3600</f>
        <v>-20.72628684</v>
      </c>
      <c r="Q1104">
        <f>-0.0047583957*3600</f>
        <v>-17.130224519999999</v>
      </c>
    </row>
    <row r="1105" spans="1:17" x14ac:dyDescent="0.3">
      <c r="A1105" s="4" t="s">
        <v>47</v>
      </c>
      <c r="B1105" s="5" t="s">
        <v>707</v>
      </c>
      <c r="C1105">
        <v>99.123303000000007</v>
      </c>
      <c r="D1105">
        <v>108.747401</v>
      </c>
      <c r="E1105">
        <v>1</v>
      </c>
      <c r="F1105">
        <v>1</v>
      </c>
      <c r="G1105">
        <v>0.26100000000000001</v>
      </c>
      <c r="H1105">
        <v>0</v>
      </c>
      <c r="I1105" t="s">
        <v>0</v>
      </c>
      <c r="J1105" t="s">
        <v>59</v>
      </c>
      <c r="K1105">
        <v>0</v>
      </c>
      <c r="L1105" t="s">
        <v>60</v>
      </c>
      <c r="M1105">
        <v>1</v>
      </c>
      <c r="N1105" t="s">
        <v>67</v>
      </c>
      <c r="O1105" s="2">
        <v>0.50763888888888886</v>
      </c>
      <c r="P1105">
        <f>-0.0057898912*3600</f>
        <v>-20.843608320000001</v>
      </c>
      <c r="Q1105">
        <f>-0.0046714323*3600</f>
        <v>-16.817156279999999</v>
      </c>
    </row>
    <row r="1106" spans="1:17" x14ac:dyDescent="0.3">
      <c r="A1106" s="4" t="s">
        <v>47</v>
      </c>
      <c r="B1106" s="5" t="s">
        <v>708</v>
      </c>
      <c r="C1106">
        <v>99.124330999999998</v>
      </c>
      <c r="D1106">
        <v>108.747237</v>
      </c>
      <c r="E1106">
        <v>1</v>
      </c>
      <c r="F1106">
        <v>1</v>
      </c>
      <c r="G1106">
        <v>0.26100000000000001</v>
      </c>
      <c r="H1106">
        <v>0</v>
      </c>
      <c r="I1106" t="s">
        <v>0</v>
      </c>
      <c r="J1106" t="s">
        <v>59</v>
      </c>
      <c r="K1106">
        <v>0</v>
      </c>
      <c r="L1106" t="s">
        <v>60</v>
      </c>
      <c r="M1106">
        <v>1</v>
      </c>
      <c r="N1106" t="s">
        <v>67</v>
      </c>
      <c r="O1106" s="2">
        <v>0.50763888888888886</v>
      </c>
      <c r="P1106">
        <f>-0.005689861*3600</f>
        <v>-20.483499600000002</v>
      </c>
      <c r="Q1106">
        <f>-0.0048841679*3600</f>
        <v>-17.58300444</v>
      </c>
    </row>
    <row r="1107" spans="1:17" x14ac:dyDescent="0.3">
      <c r="A1107" s="4" t="s">
        <v>47</v>
      </c>
      <c r="B1107" s="5" t="s">
        <v>709</v>
      </c>
      <c r="C1107">
        <v>99.123934000000006</v>
      </c>
      <c r="D1107">
        <v>108.74735</v>
      </c>
      <c r="E1107">
        <v>1</v>
      </c>
      <c r="F1107">
        <v>1</v>
      </c>
      <c r="G1107">
        <v>0.26100000000000001</v>
      </c>
      <c r="H1107">
        <v>0</v>
      </c>
      <c r="I1107" t="s">
        <v>0</v>
      </c>
      <c r="J1107" t="s">
        <v>59</v>
      </c>
      <c r="K1107">
        <v>0</v>
      </c>
      <c r="L1107" t="s">
        <v>60</v>
      </c>
      <c r="M1107">
        <v>1</v>
      </c>
      <c r="N1107" t="s">
        <v>67</v>
      </c>
      <c r="O1107" s="2">
        <v>0.50763888888888886</v>
      </c>
      <c r="P1107">
        <f>-0.0057515964*3600</f>
        <v>-20.705747039999999</v>
      </c>
      <c r="Q1107">
        <f>-0.0047487866*3600</f>
        <v>-17.09563176</v>
      </c>
    </row>
    <row r="1108" spans="1:17" x14ac:dyDescent="0.3">
      <c r="A1108" s="4" t="s">
        <v>47</v>
      </c>
      <c r="B1108" s="5" t="s">
        <v>710</v>
      </c>
      <c r="C1108">
        <v>99.124589999999998</v>
      </c>
      <c r="D1108">
        <v>108.747393</v>
      </c>
      <c r="E1108">
        <v>1</v>
      </c>
      <c r="F1108">
        <v>1</v>
      </c>
      <c r="G1108">
        <v>0.26100000000000001</v>
      </c>
      <c r="H1108">
        <v>0</v>
      </c>
      <c r="I1108" t="s">
        <v>0</v>
      </c>
      <c r="J1108" t="s">
        <v>59</v>
      </c>
      <c r="K1108">
        <v>0</v>
      </c>
      <c r="L1108" t="s">
        <v>60</v>
      </c>
      <c r="M1108">
        <v>1</v>
      </c>
      <c r="N1108" t="s">
        <v>67</v>
      </c>
      <c r="O1108" s="2">
        <v>0.50763888888888886</v>
      </c>
      <c r="P1108">
        <f>-0.005766058*3600</f>
        <v>-20.757808799999999</v>
      </c>
      <c r="Q1108">
        <f>-0.0047175336*3600</f>
        <v>-16.983120959999997</v>
      </c>
    </row>
    <row r="1109" spans="1:17" x14ac:dyDescent="0.3">
      <c r="A1109" s="4" t="s">
        <v>47</v>
      </c>
      <c r="B1109" s="5" t="s">
        <v>711</v>
      </c>
      <c r="C1109">
        <v>99.123841999999996</v>
      </c>
      <c r="D1109">
        <v>108.747418</v>
      </c>
      <c r="E1109">
        <v>1</v>
      </c>
      <c r="F1109">
        <v>1</v>
      </c>
      <c r="G1109">
        <v>0.26100000000000001</v>
      </c>
      <c r="H1109">
        <v>0</v>
      </c>
      <c r="I1109" t="s">
        <v>0</v>
      </c>
      <c r="J1109" t="s">
        <v>59</v>
      </c>
      <c r="K1109">
        <v>0</v>
      </c>
      <c r="L1109" t="s">
        <v>60</v>
      </c>
      <c r="M1109">
        <v>1</v>
      </c>
      <c r="N1109" t="s">
        <v>67</v>
      </c>
      <c r="O1109" s="2">
        <v>0.50763888888888886</v>
      </c>
      <c r="P1109">
        <f>-0.0056998525*3600</f>
        <v>-20.519469000000001</v>
      </c>
      <c r="Q1109">
        <f>-0.0046834287*3600</f>
        <v>-16.860343319999998</v>
      </c>
    </row>
    <row r="1110" spans="1:17" x14ac:dyDescent="0.3">
      <c r="A1110" s="4" t="s">
        <v>47</v>
      </c>
      <c r="B1110" s="5" t="s">
        <v>712</v>
      </c>
      <c r="C1110">
        <v>99.123740999999995</v>
      </c>
      <c r="D1110">
        <v>108.747319</v>
      </c>
      <c r="E1110">
        <v>1</v>
      </c>
      <c r="F1110">
        <v>1</v>
      </c>
      <c r="G1110">
        <v>0.26100000000000001</v>
      </c>
      <c r="H1110">
        <v>0</v>
      </c>
      <c r="I1110" t="s">
        <v>0</v>
      </c>
      <c r="J1110" t="s">
        <v>59</v>
      </c>
      <c r="K1110">
        <v>0</v>
      </c>
      <c r="L1110" t="s">
        <v>60</v>
      </c>
      <c r="M1110">
        <v>1</v>
      </c>
      <c r="N1110" t="s">
        <v>67</v>
      </c>
      <c r="O1110" s="2">
        <v>0.50763888888888886</v>
      </c>
      <c r="P1110">
        <f>-0.0057654609*3600</f>
        <v>-20.75565924</v>
      </c>
      <c r="Q1110">
        <f>-0.0047601064*3600</f>
        <v>-17.136383040000002</v>
      </c>
    </row>
    <row r="1111" spans="1:17" x14ac:dyDescent="0.3">
      <c r="A1111" s="4" t="s">
        <v>47</v>
      </c>
      <c r="B1111" s="5" t="s">
        <v>713</v>
      </c>
      <c r="C1111">
        <v>99.124041000000005</v>
      </c>
      <c r="D1111">
        <v>108.747336</v>
      </c>
      <c r="E1111">
        <v>1</v>
      </c>
      <c r="F1111">
        <v>1</v>
      </c>
      <c r="G1111">
        <v>0.26100000000000001</v>
      </c>
      <c r="H1111">
        <v>0</v>
      </c>
      <c r="I1111" t="s">
        <v>0</v>
      </c>
      <c r="J1111" t="s">
        <v>59</v>
      </c>
      <c r="K1111">
        <v>0</v>
      </c>
      <c r="L1111" t="s">
        <v>60</v>
      </c>
      <c r="M1111">
        <v>1</v>
      </c>
      <c r="N1111" t="s">
        <v>67</v>
      </c>
      <c r="O1111" s="2">
        <v>0.50763888888888886</v>
      </c>
      <c r="P1111">
        <f>-0.0057170099*3600</f>
        <v>-20.581235639999999</v>
      </c>
      <c r="Q1111">
        <f>-0.0047384516*3600</f>
        <v>-17.058425759999999</v>
      </c>
    </row>
    <row r="1112" spans="1:17" x14ac:dyDescent="0.3">
      <c r="A1112" s="4" t="s">
        <v>47</v>
      </c>
      <c r="B1112" s="5" t="s">
        <v>714</v>
      </c>
      <c r="C1112">
        <v>99.123868999999999</v>
      </c>
      <c r="D1112">
        <v>108.74735</v>
      </c>
      <c r="E1112">
        <v>1</v>
      </c>
      <c r="F1112">
        <v>1</v>
      </c>
      <c r="G1112">
        <v>0.26100000000000001</v>
      </c>
      <c r="H1112">
        <v>0</v>
      </c>
      <c r="I1112" t="s">
        <v>0</v>
      </c>
      <c r="J1112" t="s">
        <v>59</v>
      </c>
      <c r="K1112">
        <v>0</v>
      </c>
      <c r="L1112" t="s">
        <v>60</v>
      </c>
      <c r="M1112">
        <v>1</v>
      </c>
      <c r="N1112" t="s">
        <v>67</v>
      </c>
      <c r="O1112" s="2">
        <v>0.50763888888888886</v>
      </c>
      <c r="P1112">
        <f>-0.0057728069*3600</f>
        <v>-20.782104839999999</v>
      </c>
      <c r="Q1112">
        <f>-0.0047329333*3600</f>
        <v>-17.038559879999998</v>
      </c>
    </row>
    <row r="1113" spans="1:17" x14ac:dyDescent="0.3">
      <c r="A1113" s="4" t="s">
        <v>47</v>
      </c>
      <c r="B1113" s="5" t="s">
        <v>715</v>
      </c>
      <c r="C1113">
        <v>99.123799000000005</v>
      </c>
      <c r="D1113">
        <v>108.747208</v>
      </c>
      <c r="E1113">
        <v>1</v>
      </c>
      <c r="F1113">
        <v>1</v>
      </c>
      <c r="G1113">
        <v>0.26100000000000001</v>
      </c>
      <c r="H1113">
        <v>0</v>
      </c>
      <c r="I1113" t="s">
        <v>0</v>
      </c>
      <c r="J1113" t="s">
        <v>59</v>
      </c>
      <c r="K1113">
        <v>0</v>
      </c>
      <c r="L1113" t="s">
        <v>60</v>
      </c>
      <c r="M1113">
        <v>1</v>
      </c>
      <c r="N1113" t="s">
        <v>67</v>
      </c>
      <c r="O1113" s="2">
        <v>0.50763888888888886</v>
      </c>
      <c r="P1113">
        <f>-0.005760346*3600</f>
        <v>-20.737245600000001</v>
      </c>
      <c r="Q1113">
        <f>-0.0048897673*3600</f>
        <v>-17.603162279999999</v>
      </c>
    </row>
    <row r="1114" spans="1:17" x14ac:dyDescent="0.3">
      <c r="A1114" s="4" t="s">
        <v>47</v>
      </c>
      <c r="B1114" s="5" t="s">
        <v>716</v>
      </c>
      <c r="C1114">
        <v>99.123660000000001</v>
      </c>
      <c r="D1114">
        <v>108.74728500000001</v>
      </c>
      <c r="E1114">
        <v>1</v>
      </c>
      <c r="F1114">
        <v>1</v>
      </c>
      <c r="G1114">
        <v>0.26100000000000001</v>
      </c>
      <c r="H1114">
        <v>0</v>
      </c>
      <c r="I1114" t="s">
        <v>0</v>
      </c>
      <c r="J1114" t="s">
        <v>59</v>
      </c>
      <c r="K1114">
        <v>0</v>
      </c>
      <c r="L1114" t="s">
        <v>60</v>
      </c>
      <c r="M1114">
        <v>1</v>
      </c>
      <c r="N1114" t="s">
        <v>67</v>
      </c>
      <c r="O1114" s="2">
        <v>0.50763888888888886</v>
      </c>
      <c r="P1114">
        <f>-0.0057137267*3600</f>
        <v>-20.56941612</v>
      </c>
      <c r="Q1114">
        <f>-0.0047807244*3600</f>
        <v>-17.210607840000002</v>
      </c>
    </row>
    <row r="1115" spans="1:17" x14ac:dyDescent="0.3">
      <c r="A1115" s="4" t="s">
        <v>47</v>
      </c>
      <c r="B1115" s="5" t="s">
        <v>717</v>
      </c>
      <c r="C1115">
        <v>99.124848</v>
      </c>
      <c r="D1115">
        <v>108.74740300000001</v>
      </c>
      <c r="E1115">
        <v>1</v>
      </c>
      <c r="F1115">
        <v>1</v>
      </c>
      <c r="G1115">
        <v>0.26100000000000001</v>
      </c>
      <c r="H1115">
        <v>0</v>
      </c>
      <c r="I1115" t="s">
        <v>0</v>
      </c>
      <c r="J1115" t="s">
        <v>59</v>
      </c>
      <c r="K1115">
        <v>0</v>
      </c>
      <c r="L1115" t="s">
        <v>60</v>
      </c>
      <c r="M1115">
        <v>1</v>
      </c>
      <c r="N1115" t="s">
        <v>67</v>
      </c>
      <c r="O1115" s="2">
        <v>0.50763888888888886</v>
      </c>
      <c r="P1115">
        <f>-0.0057866642*3600</f>
        <v>-20.831991119999998</v>
      </c>
      <c r="Q1115">
        <f>-0.004682505*3600</f>
        <v>-16.857018</v>
      </c>
    </row>
    <row r="1116" spans="1:17" x14ac:dyDescent="0.3">
      <c r="A1116" s="4" t="s">
        <v>47</v>
      </c>
      <c r="B1116" s="5" t="s">
        <v>718</v>
      </c>
      <c r="C1116">
        <v>99.123763999999994</v>
      </c>
      <c r="D1116">
        <v>108.747286</v>
      </c>
      <c r="E1116">
        <v>1</v>
      </c>
      <c r="F1116">
        <v>1</v>
      </c>
      <c r="G1116">
        <v>0.26100000000000001</v>
      </c>
      <c r="H1116">
        <v>0</v>
      </c>
      <c r="I1116" t="s">
        <v>0</v>
      </c>
      <c r="J1116" t="s">
        <v>59</v>
      </c>
      <c r="K1116">
        <v>0</v>
      </c>
      <c r="L1116" t="s">
        <v>60</v>
      </c>
      <c r="M1116">
        <v>1</v>
      </c>
      <c r="N1116" t="s">
        <v>67</v>
      </c>
      <c r="O1116" s="2">
        <v>0.50763888888888886</v>
      </c>
      <c r="P1116">
        <f>-0.0057421275*3600</f>
        <v>-20.671659000000002</v>
      </c>
      <c r="Q1116">
        <f>-0.0047783738*3600</f>
        <v>-17.202145680000001</v>
      </c>
    </row>
    <row r="1117" spans="1:17" x14ac:dyDescent="0.3">
      <c r="A1117" s="4" t="s">
        <v>47</v>
      </c>
      <c r="B1117" s="5" t="s">
        <v>719</v>
      </c>
      <c r="C1117">
        <v>99.123844000000005</v>
      </c>
      <c r="D1117">
        <v>108.747241</v>
      </c>
      <c r="E1117">
        <v>1</v>
      </c>
      <c r="F1117">
        <v>1</v>
      </c>
      <c r="G1117">
        <v>0.26100000000000001</v>
      </c>
      <c r="H1117">
        <v>0</v>
      </c>
      <c r="I1117" t="s">
        <v>0</v>
      </c>
      <c r="J1117" t="s">
        <v>59</v>
      </c>
      <c r="K1117">
        <v>0</v>
      </c>
      <c r="L1117" t="s">
        <v>60</v>
      </c>
      <c r="M1117">
        <v>1</v>
      </c>
      <c r="N1117" t="s">
        <v>67</v>
      </c>
      <c r="O1117" s="2">
        <v>0.50763888888888886</v>
      </c>
      <c r="P1117">
        <f>-0.0058083435*3600</f>
        <v>-20.910036600000002</v>
      </c>
      <c r="Q1117">
        <f>-0.0048040239*3600</f>
        <v>-17.294486039999999</v>
      </c>
    </row>
    <row r="1118" spans="1:17" x14ac:dyDescent="0.3">
      <c r="A1118" s="4" t="s">
        <v>47</v>
      </c>
      <c r="B1118" s="5" t="s">
        <v>720</v>
      </c>
      <c r="C1118">
        <v>99.124382999999995</v>
      </c>
      <c r="D1118">
        <v>108.747326</v>
      </c>
      <c r="E1118">
        <v>1</v>
      </c>
      <c r="F1118">
        <v>1</v>
      </c>
      <c r="G1118">
        <v>0.26100000000000001</v>
      </c>
      <c r="H1118">
        <v>0</v>
      </c>
      <c r="I1118" t="s">
        <v>0</v>
      </c>
      <c r="J1118" t="s">
        <v>59</v>
      </c>
      <c r="K1118">
        <v>0</v>
      </c>
      <c r="L1118" t="s">
        <v>60</v>
      </c>
      <c r="M1118">
        <v>1</v>
      </c>
      <c r="N1118" t="s">
        <v>67</v>
      </c>
      <c r="O1118" s="2">
        <v>0.50763888888888886</v>
      </c>
      <c r="P1118">
        <f>-0.0058217641*3600</f>
        <v>-20.958350759999998</v>
      </c>
      <c r="Q1118">
        <f>-0.0046789904*3600</f>
        <v>-16.844365440000001</v>
      </c>
    </row>
    <row r="1119" spans="1:17" x14ac:dyDescent="0.3">
      <c r="A1119" s="4" t="s">
        <v>47</v>
      </c>
      <c r="B1119" s="5" t="s">
        <v>721</v>
      </c>
      <c r="C1119">
        <v>99.123615000000001</v>
      </c>
      <c r="D1119">
        <v>108.747315</v>
      </c>
      <c r="E1119">
        <v>1</v>
      </c>
      <c r="F1119">
        <v>1</v>
      </c>
      <c r="G1119">
        <v>0.26100000000000001</v>
      </c>
      <c r="H1119">
        <v>0</v>
      </c>
      <c r="I1119" t="s">
        <v>0</v>
      </c>
      <c r="J1119" t="s">
        <v>59</v>
      </c>
      <c r="K1119">
        <v>0</v>
      </c>
      <c r="L1119" t="s">
        <v>60</v>
      </c>
      <c r="M1119">
        <v>1</v>
      </c>
      <c r="N1119" t="s">
        <v>67</v>
      </c>
      <c r="O1119" s="2">
        <v>0.50763888888888886</v>
      </c>
      <c r="P1119">
        <f>-0.0057632077*3600</f>
        <v>-20.74754772</v>
      </c>
      <c r="Q1119">
        <f>-0.0047290522*3600</f>
        <v>-17.024587920000002</v>
      </c>
    </row>
    <row r="1120" spans="1:17" x14ac:dyDescent="0.3">
      <c r="A1120" s="4" t="s">
        <v>47</v>
      </c>
      <c r="B1120" s="5" t="s">
        <v>722</v>
      </c>
      <c r="C1120">
        <v>99.123990000000006</v>
      </c>
      <c r="D1120">
        <v>108.747333</v>
      </c>
      <c r="E1120">
        <v>1</v>
      </c>
      <c r="F1120">
        <v>1</v>
      </c>
      <c r="G1120">
        <v>0.26100000000000001</v>
      </c>
      <c r="H1120">
        <v>0</v>
      </c>
      <c r="I1120" t="s">
        <v>0</v>
      </c>
      <c r="J1120" t="s">
        <v>59</v>
      </c>
      <c r="K1120">
        <v>0</v>
      </c>
      <c r="L1120" t="s">
        <v>60</v>
      </c>
      <c r="M1120">
        <v>1</v>
      </c>
      <c r="N1120" t="s">
        <v>67</v>
      </c>
      <c r="O1120" s="2">
        <v>0.50763888888888886</v>
      </c>
      <c r="P1120">
        <f>-0.0057402044*3600</f>
        <v>-20.664735839999999</v>
      </c>
      <c r="Q1120">
        <f>-0.0047129634*3600</f>
        <v>-16.966668240000001</v>
      </c>
    </row>
    <row r="1121" spans="1:17" x14ac:dyDescent="0.3">
      <c r="A1121" s="4" t="s">
        <v>47</v>
      </c>
      <c r="B1121" s="5" t="s">
        <v>723</v>
      </c>
      <c r="C1121">
        <v>99.123728999999997</v>
      </c>
      <c r="D1121">
        <v>108.747281</v>
      </c>
      <c r="E1121">
        <v>1</v>
      </c>
      <c r="F1121">
        <v>1</v>
      </c>
      <c r="G1121">
        <v>0.26100000000000001</v>
      </c>
      <c r="H1121">
        <v>0</v>
      </c>
      <c r="I1121" t="s">
        <v>0</v>
      </c>
      <c r="J1121" t="s">
        <v>59</v>
      </c>
      <c r="K1121">
        <v>0</v>
      </c>
      <c r="L1121" t="s">
        <v>60</v>
      </c>
      <c r="M1121">
        <v>1</v>
      </c>
      <c r="N1121" t="s">
        <v>67</v>
      </c>
      <c r="O1121" s="2">
        <v>0.50763888888888886</v>
      </c>
      <c r="P1121">
        <f>-0.0057828797*3600</f>
        <v>-20.818366919999999</v>
      </c>
      <c r="Q1121">
        <f>-0.0047462102*3600</f>
        <v>-17.086356720000001</v>
      </c>
    </row>
    <row r="1122" spans="1:17" x14ac:dyDescent="0.3">
      <c r="A1122" s="4" t="s">
        <v>47</v>
      </c>
      <c r="B1122" s="5" t="s">
        <v>724</v>
      </c>
      <c r="C1122">
        <v>99.124285</v>
      </c>
      <c r="D1122">
        <v>108.747203</v>
      </c>
      <c r="E1122">
        <v>1</v>
      </c>
      <c r="F1122">
        <v>1</v>
      </c>
      <c r="G1122">
        <v>0.26100000000000001</v>
      </c>
      <c r="H1122">
        <v>0</v>
      </c>
      <c r="I1122" t="s">
        <v>0</v>
      </c>
      <c r="J1122" t="s">
        <v>59</v>
      </c>
      <c r="K1122">
        <v>0</v>
      </c>
      <c r="L1122" t="s">
        <v>60</v>
      </c>
      <c r="M1122">
        <v>1</v>
      </c>
      <c r="N1122" t="s">
        <v>67</v>
      </c>
      <c r="O1122" s="2">
        <v>0.50763888888888886</v>
      </c>
      <c r="P1122">
        <f>-0.0059017996*3600</f>
        <v>-21.24647856</v>
      </c>
      <c r="Q1122">
        <f>-0.0048272404*3600</f>
        <v>-17.37806544</v>
      </c>
    </row>
    <row r="1123" spans="1:17" x14ac:dyDescent="0.3">
      <c r="A1123" s="4" t="s">
        <v>47</v>
      </c>
      <c r="B1123" s="5" t="s">
        <v>725</v>
      </c>
      <c r="C1123">
        <v>99.124087000000003</v>
      </c>
      <c r="D1123">
        <v>108.74725599999999</v>
      </c>
      <c r="E1123">
        <v>1</v>
      </c>
      <c r="F1123">
        <v>1</v>
      </c>
      <c r="G1123">
        <v>0.26100000000000001</v>
      </c>
      <c r="H1123">
        <v>0</v>
      </c>
      <c r="I1123" t="s">
        <v>0</v>
      </c>
      <c r="J1123" t="s">
        <v>59</v>
      </c>
      <c r="K1123">
        <v>0</v>
      </c>
      <c r="L1123" t="s">
        <v>60</v>
      </c>
      <c r="M1123">
        <v>1</v>
      </c>
      <c r="N1123" t="s">
        <v>67</v>
      </c>
      <c r="O1123" s="2">
        <v>0.50763888888888886</v>
      </c>
      <c r="P1123">
        <f>-0.0058507373*3600</f>
        <v>-21.06265428</v>
      </c>
      <c r="Q1123">
        <f>-0.0047601924*3600</f>
        <v>-17.13669264</v>
      </c>
    </row>
    <row r="1124" spans="1:17" x14ac:dyDescent="0.3">
      <c r="A1124" s="4" t="s">
        <v>47</v>
      </c>
      <c r="B1124" s="5" t="s">
        <v>726</v>
      </c>
      <c r="C1124">
        <v>99.123845000000003</v>
      </c>
      <c r="D1124">
        <v>108.747151</v>
      </c>
      <c r="E1124">
        <v>1</v>
      </c>
      <c r="F1124">
        <v>1</v>
      </c>
      <c r="G1124">
        <v>0.26100000000000001</v>
      </c>
      <c r="H1124">
        <v>0</v>
      </c>
      <c r="I1124" t="s">
        <v>0</v>
      </c>
      <c r="J1124" t="s">
        <v>59</v>
      </c>
      <c r="K1124">
        <v>0</v>
      </c>
      <c r="L1124" t="s">
        <v>60</v>
      </c>
      <c r="M1124">
        <v>1</v>
      </c>
      <c r="N1124" t="s">
        <v>67</v>
      </c>
      <c r="O1124" s="2">
        <v>0.50763888888888886</v>
      </c>
      <c r="P1124">
        <f>-0.0058017278*3600</f>
        <v>-20.886220080000001</v>
      </c>
      <c r="Q1124">
        <f>-0.0048768942*3600</f>
        <v>-17.55681912</v>
      </c>
    </row>
    <row r="1125" spans="1:17" x14ac:dyDescent="0.3">
      <c r="A1125" s="4" t="s">
        <v>47</v>
      </c>
      <c r="B1125" s="5" t="s">
        <v>727</v>
      </c>
      <c r="C1125">
        <v>99.123991000000004</v>
      </c>
      <c r="D1125">
        <v>108.74731</v>
      </c>
      <c r="E1125">
        <v>1</v>
      </c>
      <c r="F1125">
        <v>1</v>
      </c>
      <c r="G1125">
        <v>0.26100000000000001</v>
      </c>
      <c r="H1125">
        <v>0</v>
      </c>
      <c r="I1125" t="s">
        <v>0</v>
      </c>
      <c r="J1125" t="s">
        <v>59</v>
      </c>
      <c r="K1125">
        <v>0</v>
      </c>
      <c r="L1125" t="s">
        <v>60</v>
      </c>
      <c r="M1125">
        <v>1</v>
      </c>
      <c r="N1125" t="s">
        <v>67</v>
      </c>
      <c r="O1125" s="2">
        <v>0.50763888888888886</v>
      </c>
      <c r="P1125">
        <f>-0.005828091*3600</f>
        <v>-20.981127599999997</v>
      </c>
      <c r="Q1125">
        <f>-0.0046988157*3600</f>
        <v>-16.915736519999999</v>
      </c>
    </row>
    <row r="1126" spans="1:17" x14ac:dyDescent="0.3">
      <c r="A1126" s="4" t="s">
        <v>47</v>
      </c>
      <c r="B1126" s="6" t="s">
        <v>728</v>
      </c>
      <c r="C1126">
        <v>299.12336399999998</v>
      </c>
      <c r="D1126">
        <v>291.13375600000001</v>
      </c>
      <c r="E1126">
        <v>8.0365000000000002</v>
      </c>
      <c r="F1126">
        <v>7.9572000000000003</v>
      </c>
      <c r="G1126">
        <v>0.26100000000000001</v>
      </c>
      <c r="H1126">
        <v>0</v>
      </c>
      <c r="I1126" t="s">
        <v>0</v>
      </c>
      <c r="J1126" t="s">
        <v>59</v>
      </c>
      <c r="K1126">
        <v>3.4000000000000002E-2</v>
      </c>
      <c r="L1126" t="s">
        <v>60</v>
      </c>
      <c r="M1126">
        <v>1</v>
      </c>
      <c r="N1126" t="s">
        <v>53</v>
      </c>
      <c r="O1126" s="2">
        <v>0.50972222222222219</v>
      </c>
      <c r="P1126">
        <f>0.0039340111*3600</f>
        <v>14.16243996</v>
      </c>
      <c r="Q1126">
        <f>0.0042335673*3600</f>
        <v>15.240842280000001</v>
      </c>
    </row>
    <row r="1127" spans="1:17" x14ac:dyDescent="0.3">
      <c r="A1127" s="4" t="s">
        <v>47</v>
      </c>
      <c r="B1127" s="6" t="s">
        <v>729</v>
      </c>
      <c r="C1127">
        <v>299.12399399999998</v>
      </c>
      <c r="D1127">
        <v>291.23254200000002</v>
      </c>
      <c r="E1127">
        <v>1</v>
      </c>
      <c r="F1127">
        <v>1</v>
      </c>
      <c r="G1127">
        <v>0.26100000000000001</v>
      </c>
      <c r="H1127">
        <v>0</v>
      </c>
      <c r="I1127" t="s">
        <v>0</v>
      </c>
      <c r="J1127" t="s">
        <v>59</v>
      </c>
      <c r="K1127">
        <v>0</v>
      </c>
      <c r="L1127" t="s">
        <v>60</v>
      </c>
      <c r="M1127">
        <v>1</v>
      </c>
      <c r="N1127" t="s">
        <v>67</v>
      </c>
      <c r="O1127" s="2">
        <v>0.50972222222222219</v>
      </c>
      <c r="P1127">
        <f>0.0039702231*3600</f>
        <v>14.292803159999998</v>
      </c>
      <c r="Q1127">
        <f>0.0043431755*3600</f>
        <v>15.635431800000001</v>
      </c>
    </row>
    <row r="1128" spans="1:17" x14ac:dyDescent="0.3">
      <c r="A1128" s="4" t="s">
        <v>47</v>
      </c>
      <c r="B1128" s="6" t="s">
        <v>730</v>
      </c>
      <c r="C1128">
        <v>299.12343600000003</v>
      </c>
      <c r="D1128">
        <v>291.23254400000002</v>
      </c>
      <c r="E1128">
        <v>1</v>
      </c>
      <c r="F1128">
        <v>1</v>
      </c>
      <c r="G1128">
        <v>0.26100000000000001</v>
      </c>
      <c r="H1128">
        <v>0</v>
      </c>
      <c r="I1128" t="s">
        <v>0</v>
      </c>
      <c r="J1128" t="s">
        <v>59</v>
      </c>
      <c r="K1128">
        <v>0</v>
      </c>
      <c r="L1128" t="s">
        <v>60</v>
      </c>
      <c r="M1128">
        <v>1</v>
      </c>
      <c r="N1128" t="s">
        <v>67</v>
      </c>
      <c r="O1128" s="2">
        <v>0.50972222222222219</v>
      </c>
      <c r="P1128">
        <f>0.0041389312*3600</f>
        <v>14.90015232</v>
      </c>
      <c r="Q1128">
        <f>0.0043360069*3600</f>
        <v>15.609624839999999</v>
      </c>
    </row>
    <row r="1129" spans="1:17" x14ac:dyDescent="0.3">
      <c r="A1129" s="4" t="s">
        <v>47</v>
      </c>
      <c r="B1129" s="6" t="s">
        <v>731</v>
      </c>
      <c r="C1129">
        <v>299.12410999999997</v>
      </c>
      <c r="D1129">
        <v>291.23271899999997</v>
      </c>
      <c r="E1129">
        <v>1</v>
      </c>
      <c r="F1129">
        <v>1</v>
      </c>
      <c r="G1129">
        <v>0.26100000000000001</v>
      </c>
      <c r="H1129">
        <v>0</v>
      </c>
      <c r="I1129" t="s">
        <v>0</v>
      </c>
      <c r="J1129" t="s">
        <v>59</v>
      </c>
      <c r="K1129">
        <v>0</v>
      </c>
      <c r="L1129" t="s">
        <v>60</v>
      </c>
      <c r="M1129">
        <v>1</v>
      </c>
      <c r="N1129" t="s">
        <v>67</v>
      </c>
      <c r="O1129" s="2">
        <v>0.50972222222222219</v>
      </c>
      <c r="P1129">
        <f>0.0042306172*3600</f>
        <v>15.23022192</v>
      </c>
      <c r="Q1129">
        <f>0.0044976387*3600</f>
        <v>16.191499319999998</v>
      </c>
    </row>
    <row r="1130" spans="1:17" x14ac:dyDescent="0.3">
      <c r="A1130" s="4" t="s">
        <v>47</v>
      </c>
      <c r="B1130" s="6" t="s">
        <v>732</v>
      </c>
      <c r="C1130">
        <v>299.12391600000001</v>
      </c>
      <c r="D1130">
        <v>291.23272900000001</v>
      </c>
      <c r="E1130">
        <v>1</v>
      </c>
      <c r="F1130">
        <v>1</v>
      </c>
      <c r="G1130">
        <v>0.26100000000000001</v>
      </c>
      <c r="H1130">
        <v>0</v>
      </c>
      <c r="I1130" t="s">
        <v>0</v>
      </c>
      <c r="J1130" t="s">
        <v>59</v>
      </c>
      <c r="K1130">
        <v>0</v>
      </c>
      <c r="L1130" t="s">
        <v>60</v>
      </c>
      <c r="M1130">
        <v>1</v>
      </c>
      <c r="N1130" t="s">
        <v>67</v>
      </c>
      <c r="O1130" s="2">
        <v>0.50972222222222219</v>
      </c>
      <c r="P1130">
        <f>0.0041281569*3600</f>
        <v>14.86136484</v>
      </c>
      <c r="Q1130">
        <f>0.0045124321*3600</f>
        <v>16.244755559999998</v>
      </c>
    </row>
    <row r="1131" spans="1:17" x14ac:dyDescent="0.3">
      <c r="A1131" s="4" t="s">
        <v>47</v>
      </c>
      <c r="B1131" s="6" t="s">
        <v>733</v>
      </c>
      <c r="C1131">
        <v>299.12391200000002</v>
      </c>
      <c r="D1131">
        <v>291.23261300000001</v>
      </c>
      <c r="E1131">
        <v>1</v>
      </c>
      <c r="F1131">
        <v>1</v>
      </c>
      <c r="G1131">
        <v>0.26100000000000001</v>
      </c>
      <c r="H1131">
        <v>0</v>
      </c>
      <c r="I1131" t="s">
        <v>0</v>
      </c>
      <c r="J1131" t="s">
        <v>59</v>
      </c>
      <c r="K1131">
        <v>0</v>
      </c>
      <c r="L1131" t="s">
        <v>60</v>
      </c>
      <c r="M1131">
        <v>1</v>
      </c>
      <c r="N1131" t="s">
        <v>67</v>
      </c>
      <c r="O1131" s="2">
        <v>0.50972222222222219</v>
      </c>
      <c r="P1131">
        <f>0.0041302981*3600</f>
        <v>14.869073159999999</v>
      </c>
      <c r="Q1131">
        <f>0.0044121317*3600</f>
        <v>15.883674120000002</v>
      </c>
    </row>
    <row r="1132" spans="1:17" x14ac:dyDescent="0.3">
      <c r="A1132" s="4" t="s">
        <v>47</v>
      </c>
      <c r="B1132" s="6" t="s">
        <v>734</v>
      </c>
      <c r="C1132">
        <v>299.12338899999997</v>
      </c>
      <c r="D1132">
        <v>291.23257599999999</v>
      </c>
      <c r="E1132">
        <v>1</v>
      </c>
      <c r="F1132">
        <v>1</v>
      </c>
      <c r="G1132">
        <v>0.26100000000000001</v>
      </c>
      <c r="H1132">
        <v>0</v>
      </c>
      <c r="I1132" t="s">
        <v>0</v>
      </c>
      <c r="J1132" t="s">
        <v>59</v>
      </c>
      <c r="K1132">
        <v>0</v>
      </c>
      <c r="L1132" t="s">
        <v>60</v>
      </c>
      <c r="M1132">
        <v>1</v>
      </c>
      <c r="N1132" t="s">
        <v>67</v>
      </c>
      <c r="O1132" s="2">
        <v>0.50972222222222219</v>
      </c>
      <c r="P1132">
        <f>0.0041210123*3600</f>
        <v>14.83564428</v>
      </c>
      <c r="Q1132">
        <f>0.0043737724*3600</f>
        <v>15.74558064</v>
      </c>
    </row>
    <row r="1133" spans="1:17" x14ac:dyDescent="0.3">
      <c r="A1133" s="4" t="s">
        <v>47</v>
      </c>
      <c r="B1133" s="6" t="s">
        <v>735</v>
      </c>
      <c r="C1133">
        <v>299.12346200000002</v>
      </c>
      <c r="D1133">
        <v>291.23268300000001</v>
      </c>
      <c r="E1133">
        <v>1</v>
      </c>
      <c r="F1133">
        <v>1</v>
      </c>
      <c r="G1133">
        <v>0.26100000000000001</v>
      </c>
      <c r="H1133">
        <v>0</v>
      </c>
      <c r="I1133" t="s">
        <v>0</v>
      </c>
      <c r="J1133" t="s">
        <v>59</v>
      </c>
      <c r="K1133">
        <v>0</v>
      </c>
      <c r="L1133" t="s">
        <v>60</v>
      </c>
      <c r="M1133">
        <v>1</v>
      </c>
      <c r="N1133" t="s">
        <v>67</v>
      </c>
      <c r="O1133" s="2">
        <v>0.50972222222222219</v>
      </c>
      <c r="P1133">
        <f>0.0041107923*3600</f>
        <v>14.79885228</v>
      </c>
      <c r="Q1133">
        <f>0.0044917166*3600</f>
        <v>16.17017976</v>
      </c>
    </row>
    <row r="1134" spans="1:17" x14ac:dyDescent="0.3">
      <c r="A1134" s="4" t="s">
        <v>47</v>
      </c>
      <c r="B1134" s="6" t="s">
        <v>736</v>
      </c>
      <c r="C1134">
        <v>299.12436200000002</v>
      </c>
      <c r="D1134">
        <v>291.23252100000002</v>
      </c>
      <c r="E1134">
        <v>1</v>
      </c>
      <c r="F1134">
        <v>1</v>
      </c>
      <c r="G1134">
        <v>0.26100000000000001</v>
      </c>
      <c r="H1134">
        <v>0</v>
      </c>
      <c r="I1134" t="s">
        <v>0</v>
      </c>
      <c r="J1134" t="s">
        <v>59</v>
      </c>
      <c r="K1134">
        <v>0</v>
      </c>
      <c r="L1134" t="s">
        <v>60</v>
      </c>
      <c r="M1134">
        <v>1</v>
      </c>
      <c r="N1134" t="s">
        <v>67</v>
      </c>
      <c r="O1134" s="2">
        <v>0.50972222222222219</v>
      </c>
      <c r="P1134">
        <f>0.0041039478*3600</f>
        <v>14.774212080000002</v>
      </c>
      <c r="Q1134">
        <f>0.0043179481*3600</f>
        <v>15.544613159999999</v>
      </c>
    </row>
    <row r="1135" spans="1:17" x14ac:dyDescent="0.3">
      <c r="A1135" s="4" t="s">
        <v>47</v>
      </c>
      <c r="B1135" s="6" t="s">
        <v>737</v>
      </c>
      <c r="C1135">
        <v>299.12403799999998</v>
      </c>
      <c r="D1135">
        <v>291.23248699999999</v>
      </c>
      <c r="E1135">
        <v>1</v>
      </c>
      <c r="F1135">
        <v>1</v>
      </c>
      <c r="G1135">
        <v>0.26100000000000001</v>
      </c>
      <c r="H1135">
        <v>0</v>
      </c>
      <c r="I1135" t="s">
        <v>0</v>
      </c>
      <c r="J1135" t="s">
        <v>59</v>
      </c>
      <c r="K1135">
        <v>0</v>
      </c>
      <c r="L1135" t="s">
        <v>60</v>
      </c>
      <c r="M1135">
        <v>1</v>
      </c>
      <c r="N1135" t="s">
        <v>67</v>
      </c>
      <c r="O1135" s="2">
        <v>0.50972222222222219</v>
      </c>
      <c r="P1135">
        <f>0.0041710391*3600</f>
        <v>15.01574076</v>
      </c>
      <c r="Q1135">
        <f>0.004275215*3600</f>
        <v>15.390773999999999</v>
      </c>
    </row>
    <row r="1136" spans="1:17" x14ac:dyDescent="0.3">
      <c r="A1136" s="4" t="s">
        <v>47</v>
      </c>
      <c r="B1136" s="6" t="s">
        <v>738</v>
      </c>
      <c r="C1136">
        <v>299.123627</v>
      </c>
      <c r="D1136">
        <v>291.23248100000001</v>
      </c>
      <c r="E1136">
        <v>1</v>
      </c>
      <c r="F1136">
        <v>1</v>
      </c>
      <c r="G1136">
        <v>0.26100000000000001</v>
      </c>
      <c r="H1136">
        <v>0</v>
      </c>
      <c r="I1136" t="s">
        <v>0</v>
      </c>
      <c r="J1136" t="s">
        <v>59</v>
      </c>
      <c r="K1136">
        <v>0</v>
      </c>
      <c r="L1136" t="s">
        <v>60</v>
      </c>
      <c r="M1136">
        <v>1</v>
      </c>
      <c r="N1136" t="s">
        <v>67</v>
      </c>
      <c r="O1136" s="2">
        <v>0.50972222222222219</v>
      </c>
      <c r="P1136">
        <f>0.004123648*3600</f>
        <v>14.845132799999998</v>
      </c>
      <c r="Q1136">
        <f>0.0042936398*3600</f>
        <v>15.457103280000002</v>
      </c>
    </row>
    <row r="1137" spans="1:17" x14ac:dyDescent="0.3">
      <c r="A1137" s="4" t="s">
        <v>47</v>
      </c>
      <c r="B1137" s="6" t="s">
        <v>739</v>
      </c>
      <c r="C1137">
        <v>299.12321200000002</v>
      </c>
      <c r="D1137">
        <v>291.23244</v>
      </c>
      <c r="E1137">
        <v>1</v>
      </c>
      <c r="F1137">
        <v>1</v>
      </c>
      <c r="G1137">
        <v>0.26100000000000001</v>
      </c>
      <c r="H1137">
        <v>0</v>
      </c>
      <c r="I1137" t="s">
        <v>0</v>
      </c>
      <c r="J1137" t="s">
        <v>59</v>
      </c>
      <c r="K1137">
        <v>0</v>
      </c>
      <c r="L1137" t="s">
        <v>60</v>
      </c>
      <c r="M1137">
        <v>1</v>
      </c>
      <c r="N1137" t="s">
        <v>67</v>
      </c>
      <c r="O1137" s="2">
        <v>0.50972222222222219</v>
      </c>
      <c r="P1137">
        <f>0.0040559395*3600</f>
        <v>14.601382200000002</v>
      </c>
      <c r="Q1137">
        <f>0.004243369*3600</f>
        <v>15.276128400000001</v>
      </c>
    </row>
    <row r="1138" spans="1:17" x14ac:dyDescent="0.3">
      <c r="A1138" s="4" t="s">
        <v>47</v>
      </c>
      <c r="B1138" s="6" t="s">
        <v>740</v>
      </c>
      <c r="C1138">
        <v>299.12342999999998</v>
      </c>
      <c r="D1138">
        <v>291.23247099999998</v>
      </c>
      <c r="E1138">
        <v>1</v>
      </c>
      <c r="F1138">
        <v>1</v>
      </c>
      <c r="G1138">
        <v>0.26100000000000001</v>
      </c>
      <c r="H1138">
        <v>0</v>
      </c>
      <c r="I1138" t="s">
        <v>0</v>
      </c>
      <c r="J1138" t="s">
        <v>59</v>
      </c>
      <c r="K1138">
        <v>0</v>
      </c>
      <c r="L1138" t="s">
        <v>60</v>
      </c>
      <c r="M1138">
        <v>1</v>
      </c>
      <c r="N1138" t="s">
        <v>67</v>
      </c>
      <c r="O1138" s="2">
        <v>0.50972222222222219</v>
      </c>
      <c r="P1138">
        <f>0.0041958636*3600</f>
        <v>15.105108960000001</v>
      </c>
      <c r="Q1138">
        <f>0.0042830617*3600</f>
        <v>15.419022120000001</v>
      </c>
    </row>
    <row r="1139" spans="1:17" x14ac:dyDescent="0.3">
      <c r="A1139" s="4" t="s">
        <v>47</v>
      </c>
      <c r="B1139" s="6" t="s">
        <v>741</v>
      </c>
      <c r="C1139">
        <v>299.123626</v>
      </c>
      <c r="D1139">
        <v>291.23255399999999</v>
      </c>
      <c r="E1139">
        <v>1</v>
      </c>
      <c r="F1139">
        <v>1</v>
      </c>
      <c r="G1139">
        <v>0.26100000000000001</v>
      </c>
      <c r="H1139">
        <v>0</v>
      </c>
      <c r="I1139" t="s">
        <v>0</v>
      </c>
      <c r="J1139" t="s">
        <v>59</v>
      </c>
      <c r="K1139">
        <v>0</v>
      </c>
      <c r="L1139" t="s">
        <v>60</v>
      </c>
      <c r="M1139">
        <v>1</v>
      </c>
      <c r="N1139" t="s">
        <v>67</v>
      </c>
      <c r="O1139" s="2">
        <v>0.50972222222222219</v>
      </c>
      <c r="P1139">
        <f>0.0042105366*3600</f>
        <v>15.15793176</v>
      </c>
      <c r="Q1139">
        <f>0.004350653*3600</f>
        <v>15.6623508</v>
      </c>
    </row>
    <row r="1140" spans="1:17" x14ac:dyDescent="0.3">
      <c r="A1140" s="4" t="s">
        <v>47</v>
      </c>
      <c r="B1140" s="6" t="s">
        <v>742</v>
      </c>
      <c r="C1140">
        <v>299.12369000000001</v>
      </c>
      <c r="D1140">
        <v>291.23252400000001</v>
      </c>
      <c r="E1140">
        <v>1</v>
      </c>
      <c r="F1140">
        <v>1</v>
      </c>
      <c r="G1140">
        <v>0.26100000000000001</v>
      </c>
      <c r="H1140">
        <v>0</v>
      </c>
      <c r="I1140" t="s">
        <v>0</v>
      </c>
      <c r="J1140" t="s">
        <v>59</v>
      </c>
      <c r="K1140">
        <v>0</v>
      </c>
      <c r="L1140" t="s">
        <v>60</v>
      </c>
      <c r="M1140">
        <v>1</v>
      </c>
      <c r="N1140" t="s">
        <v>67</v>
      </c>
      <c r="O1140" s="2">
        <v>0.50972222222222219</v>
      </c>
      <c r="P1140">
        <f>0.0041924387*3600</f>
        <v>15.092779320000002</v>
      </c>
      <c r="Q1140">
        <f>0.0043246677*3600</f>
        <v>15.568803719999998</v>
      </c>
    </row>
    <row r="1141" spans="1:17" x14ac:dyDescent="0.3">
      <c r="A1141" s="4" t="s">
        <v>47</v>
      </c>
      <c r="B1141" s="6" t="s">
        <v>743</v>
      </c>
      <c r="C1141">
        <v>299.12359099999998</v>
      </c>
      <c r="D1141">
        <v>291.23257100000001</v>
      </c>
      <c r="E1141">
        <v>1</v>
      </c>
      <c r="F1141">
        <v>1</v>
      </c>
      <c r="G1141">
        <v>0.26100000000000001</v>
      </c>
      <c r="H1141">
        <v>0</v>
      </c>
      <c r="I1141" t="s">
        <v>0</v>
      </c>
      <c r="J1141" t="s">
        <v>59</v>
      </c>
      <c r="K1141">
        <v>0</v>
      </c>
      <c r="L1141" t="s">
        <v>60</v>
      </c>
      <c r="M1141">
        <v>1</v>
      </c>
      <c r="N1141" t="s">
        <v>67</v>
      </c>
      <c r="O1141" s="2">
        <v>0.50972222222222219</v>
      </c>
      <c r="P1141">
        <f>0.0042462516*3600</f>
        <v>15.286505759999999</v>
      </c>
      <c r="Q1141">
        <f>0.0043660074*3600</f>
        <v>15.717626640000001</v>
      </c>
    </row>
    <row r="1142" spans="1:17" x14ac:dyDescent="0.3">
      <c r="A1142" s="4" t="s">
        <v>47</v>
      </c>
      <c r="B1142" s="6" t="s">
        <v>744</v>
      </c>
      <c r="C1142">
        <v>299.12376</v>
      </c>
      <c r="D1142">
        <v>291.23254600000001</v>
      </c>
      <c r="E1142">
        <v>1</v>
      </c>
      <c r="F1142">
        <v>1</v>
      </c>
      <c r="G1142">
        <v>0.26100000000000001</v>
      </c>
      <c r="H1142">
        <v>0</v>
      </c>
      <c r="I1142" t="s">
        <v>0</v>
      </c>
      <c r="J1142" t="s">
        <v>59</v>
      </c>
      <c r="K1142">
        <v>0</v>
      </c>
      <c r="L1142" t="s">
        <v>60</v>
      </c>
      <c r="M1142">
        <v>1</v>
      </c>
      <c r="N1142" t="s">
        <v>67</v>
      </c>
      <c r="O1142" s="2">
        <v>0.50972222222222219</v>
      </c>
      <c r="P1142">
        <f>0.0042068488*3600</f>
        <v>15.144655680000001</v>
      </c>
      <c r="Q1142">
        <f>0.0043189053*3600</f>
        <v>15.54805908</v>
      </c>
    </row>
    <row r="1143" spans="1:17" x14ac:dyDescent="0.3">
      <c r="A1143" s="4" t="s">
        <v>47</v>
      </c>
      <c r="B1143" s="6" t="s">
        <v>745</v>
      </c>
      <c r="C1143">
        <v>299.12366800000001</v>
      </c>
      <c r="D1143">
        <v>291.23254300000002</v>
      </c>
      <c r="E1143">
        <v>1</v>
      </c>
      <c r="F1143">
        <v>1</v>
      </c>
      <c r="G1143">
        <v>0.26100000000000001</v>
      </c>
      <c r="H1143">
        <v>0</v>
      </c>
      <c r="I1143" t="s">
        <v>0</v>
      </c>
      <c r="J1143" t="s">
        <v>59</v>
      </c>
      <c r="K1143">
        <v>0</v>
      </c>
      <c r="L1143" t="s">
        <v>60</v>
      </c>
      <c r="M1143">
        <v>1</v>
      </c>
      <c r="N1143" t="s">
        <v>67</v>
      </c>
      <c r="O1143" s="2">
        <v>0.50972222222222219</v>
      </c>
      <c r="P1143">
        <f>0.0041835103*3600</f>
        <v>15.060637080000001</v>
      </c>
      <c r="Q1143">
        <f>0.004347549*3600</f>
        <v>15.651176400000001</v>
      </c>
    </row>
    <row r="1144" spans="1:17" x14ac:dyDescent="0.3">
      <c r="A1144" s="4" t="s">
        <v>47</v>
      </c>
      <c r="B1144" s="6" t="s">
        <v>746</v>
      </c>
      <c r="C1144">
        <v>299.12446899999998</v>
      </c>
      <c r="D1144">
        <v>291.232662</v>
      </c>
      <c r="E1144">
        <v>1</v>
      </c>
      <c r="F1144">
        <v>1</v>
      </c>
      <c r="G1144">
        <v>0.26100000000000001</v>
      </c>
      <c r="H1144">
        <v>0</v>
      </c>
      <c r="I1144" t="s">
        <v>0</v>
      </c>
      <c r="J1144" t="s">
        <v>59</v>
      </c>
      <c r="K1144">
        <v>0</v>
      </c>
      <c r="L1144" t="s">
        <v>60</v>
      </c>
      <c r="M1144">
        <v>1</v>
      </c>
      <c r="N1144" t="s">
        <v>67</v>
      </c>
      <c r="O1144" s="2">
        <v>0.50972222222222219</v>
      </c>
      <c r="P1144">
        <f>0.0042364163*3600</f>
        <v>15.251098680000002</v>
      </c>
      <c r="Q1144">
        <f>0.0044288469*3600</f>
        <v>15.943848839999999</v>
      </c>
    </row>
    <row r="1145" spans="1:17" x14ac:dyDescent="0.3">
      <c r="A1145" s="4" t="s">
        <v>47</v>
      </c>
      <c r="B1145" s="6" t="s">
        <v>747</v>
      </c>
      <c r="C1145">
        <v>299.12383499999999</v>
      </c>
      <c r="D1145">
        <v>291.23247199999997</v>
      </c>
      <c r="E1145">
        <v>1</v>
      </c>
      <c r="F1145">
        <v>1</v>
      </c>
      <c r="G1145">
        <v>0.26100000000000001</v>
      </c>
      <c r="H1145">
        <v>0</v>
      </c>
      <c r="I1145" t="s">
        <v>0</v>
      </c>
      <c r="J1145" t="s">
        <v>59</v>
      </c>
      <c r="K1145">
        <v>0</v>
      </c>
      <c r="L1145" t="s">
        <v>60</v>
      </c>
      <c r="M1145">
        <v>1</v>
      </c>
      <c r="N1145" t="s">
        <v>67</v>
      </c>
      <c r="O1145" s="2">
        <v>0.50972222222222219</v>
      </c>
      <c r="P1145">
        <f>0.0042219964*3600</f>
        <v>15.199187039999998</v>
      </c>
      <c r="Q1145">
        <f>0.0042509189*3600</f>
        <v>15.303308040000001</v>
      </c>
    </row>
    <row r="1146" spans="1:17" x14ac:dyDescent="0.3">
      <c r="A1146" s="4" t="s">
        <v>47</v>
      </c>
      <c r="B1146" s="6" t="s">
        <v>748</v>
      </c>
      <c r="C1146">
        <v>299.124011</v>
      </c>
      <c r="D1146">
        <v>291.23269699999997</v>
      </c>
      <c r="E1146">
        <v>1</v>
      </c>
      <c r="F1146">
        <v>1</v>
      </c>
      <c r="G1146">
        <v>0.26100000000000001</v>
      </c>
      <c r="H1146">
        <v>0</v>
      </c>
      <c r="I1146" t="s">
        <v>0</v>
      </c>
      <c r="J1146" t="s">
        <v>59</v>
      </c>
      <c r="K1146">
        <v>0</v>
      </c>
      <c r="L1146" t="s">
        <v>60</v>
      </c>
      <c r="M1146">
        <v>1</v>
      </c>
      <c r="N1146" t="s">
        <v>67</v>
      </c>
      <c r="O1146" s="2">
        <v>0.50972222222222219</v>
      </c>
      <c r="P1146">
        <f>0.0042273455*3600</f>
        <v>15.218443800000001</v>
      </c>
      <c r="Q1146">
        <f>0.0044892474*3600</f>
        <v>16.161290640000001</v>
      </c>
    </row>
    <row r="1147" spans="1:17" x14ac:dyDescent="0.3">
      <c r="A1147" s="4" t="s">
        <v>47</v>
      </c>
      <c r="B1147" s="6" t="s">
        <v>749</v>
      </c>
      <c r="C1147">
        <v>299.12393200000002</v>
      </c>
      <c r="D1147">
        <v>291.232643</v>
      </c>
      <c r="E1147">
        <v>1</v>
      </c>
      <c r="F1147">
        <v>1</v>
      </c>
      <c r="G1147">
        <v>0.26100000000000001</v>
      </c>
      <c r="H1147">
        <v>0</v>
      </c>
      <c r="I1147" t="s">
        <v>0</v>
      </c>
      <c r="J1147" t="s">
        <v>59</v>
      </c>
      <c r="K1147">
        <v>0</v>
      </c>
      <c r="L1147" t="s">
        <v>60</v>
      </c>
      <c r="M1147">
        <v>1</v>
      </c>
      <c r="N1147" t="s">
        <v>67</v>
      </c>
      <c r="O1147" s="2">
        <v>0.50972222222222219</v>
      </c>
      <c r="P1147">
        <f>0.0041449827*3600</f>
        <v>14.921937720000001</v>
      </c>
      <c r="Q1147">
        <f>0.0044324386*3600</f>
        <v>15.956778959999999</v>
      </c>
    </row>
    <row r="1148" spans="1:17" x14ac:dyDescent="0.3">
      <c r="A1148" s="4" t="s">
        <v>47</v>
      </c>
      <c r="B1148" s="6" t="s">
        <v>750</v>
      </c>
      <c r="C1148">
        <v>299.12357500000002</v>
      </c>
      <c r="D1148">
        <v>291.23256300000003</v>
      </c>
      <c r="E1148">
        <v>1</v>
      </c>
      <c r="F1148">
        <v>1</v>
      </c>
      <c r="G1148">
        <v>0.26100000000000001</v>
      </c>
      <c r="H1148">
        <v>0</v>
      </c>
      <c r="I1148" t="s">
        <v>0</v>
      </c>
      <c r="J1148" t="s">
        <v>59</v>
      </c>
      <c r="K1148">
        <v>0</v>
      </c>
      <c r="L1148" t="s">
        <v>60</v>
      </c>
      <c r="M1148">
        <v>1</v>
      </c>
      <c r="N1148" t="s">
        <v>67</v>
      </c>
      <c r="O1148" s="2">
        <v>0.50972222222222219</v>
      </c>
      <c r="P1148">
        <f>0.0042239399*3600</f>
        <v>15.206183640000001</v>
      </c>
      <c r="Q1148">
        <f>0.0043626894*3600</f>
        <v>15.705681839999999</v>
      </c>
    </row>
    <row r="1149" spans="1:17" x14ac:dyDescent="0.3">
      <c r="A1149" s="4" t="s">
        <v>47</v>
      </c>
      <c r="B1149" s="6" t="s">
        <v>751</v>
      </c>
      <c r="C1149">
        <v>299.12386299999997</v>
      </c>
      <c r="D1149">
        <v>291.23259000000002</v>
      </c>
      <c r="E1149">
        <v>1</v>
      </c>
      <c r="F1149">
        <v>1</v>
      </c>
      <c r="G1149">
        <v>0.26100000000000001</v>
      </c>
      <c r="H1149">
        <v>0</v>
      </c>
      <c r="I1149" t="s">
        <v>0</v>
      </c>
      <c r="J1149" t="s">
        <v>59</v>
      </c>
      <c r="K1149">
        <v>0</v>
      </c>
      <c r="L1149" t="s">
        <v>60</v>
      </c>
      <c r="M1149">
        <v>1</v>
      </c>
      <c r="N1149" t="s">
        <v>67</v>
      </c>
      <c r="O1149" s="2">
        <v>0.50972222222222219</v>
      </c>
      <c r="P1149">
        <f>0.004336524*3600</f>
        <v>15.611486399999999</v>
      </c>
      <c r="Q1149">
        <f>0.0043707249*3600</f>
        <v>15.73460964</v>
      </c>
    </row>
    <row r="1150" spans="1:17" x14ac:dyDescent="0.3">
      <c r="A1150" s="4" t="s">
        <v>47</v>
      </c>
      <c r="B1150" s="6" t="s">
        <v>752</v>
      </c>
      <c r="C1150">
        <v>299.12368300000003</v>
      </c>
      <c r="D1150">
        <v>291.23251299999998</v>
      </c>
      <c r="E1150">
        <v>1</v>
      </c>
      <c r="F1150">
        <v>1</v>
      </c>
      <c r="G1150">
        <v>0.26100000000000001</v>
      </c>
      <c r="H1150">
        <v>0</v>
      </c>
      <c r="I1150" t="s">
        <v>0</v>
      </c>
      <c r="J1150" t="s">
        <v>59</v>
      </c>
      <c r="K1150">
        <v>0</v>
      </c>
      <c r="L1150" t="s">
        <v>60</v>
      </c>
      <c r="M1150">
        <v>1</v>
      </c>
      <c r="N1150" t="s">
        <v>67</v>
      </c>
      <c r="O1150" s="2">
        <v>0.50972222222222219</v>
      </c>
      <c r="P1150">
        <f>0.004263119*3600</f>
        <v>15.347228400000001</v>
      </c>
      <c r="Q1150">
        <f>0.004315897*3600</f>
        <v>15.537229200000001</v>
      </c>
    </row>
    <row r="1151" spans="1:17" x14ac:dyDescent="0.3">
      <c r="A1151" s="4" t="s">
        <v>47</v>
      </c>
      <c r="B1151" s="6" t="s">
        <v>753</v>
      </c>
      <c r="C1151">
        <v>299.12396200000001</v>
      </c>
      <c r="D1151">
        <v>291.23262899999997</v>
      </c>
      <c r="E1151">
        <v>1</v>
      </c>
      <c r="F1151">
        <v>1</v>
      </c>
      <c r="G1151">
        <v>0.26100000000000001</v>
      </c>
      <c r="H1151">
        <v>0</v>
      </c>
      <c r="I1151" t="s">
        <v>0</v>
      </c>
      <c r="J1151" t="s">
        <v>59</v>
      </c>
      <c r="K1151">
        <v>0</v>
      </c>
      <c r="L1151" t="s">
        <v>60</v>
      </c>
      <c r="M1151">
        <v>1</v>
      </c>
      <c r="N1151" t="s">
        <v>67</v>
      </c>
      <c r="O1151" s="2">
        <v>0.50972222222222219</v>
      </c>
      <c r="P1151">
        <f>0.0042868758*3600</f>
        <v>15.432752880000001</v>
      </c>
      <c r="Q1151">
        <f>0.0044085547*3600</f>
        <v>15.87079692</v>
      </c>
    </row>
    <row r="1152" spans="1:17" x14ac:dyDescent="0.3">
      <c r="A1152" s="4" t="s">
        <v>47</v>
      </c>
      <c r="B1152" s="6" t="s">
        <v>754</v>
      </c>
      <c r="C1152">
        <v>299.12382400000001</v>
      </c>
      <c r="D1152">
        <v>291.23248999999998</v>
      </c>
      <c r="E1152">
        <v>1</v>
      </c>
      <c r="F1152">
        <v>1</v>
      </c>
      <c r="G1152">
        <v>0.26100000000000001</v>
      </c>
      <c r="H1152">
        <v>0</v>
      </c>
      <c r="I1152" t="s">
        <v>0</v>
      </c>
      <c r="J1152" t="s">
        <v>59</v>
      </c>
      <c r="K1152">
        <v>0</v>
      </c>
      <c r="L1152" t="s">
        <v>60</v>
      </c>
      <c r="M1152">
        <v>1</v>
      </c>
      <c r="N1152" t="s">
        <v>67</v>
      </c>
      <c r="O1152" s="2">
        <v>0.50972222222222219</v>
      </c>
      <c r="P1152">
        <f>0.004237345*3600</f>
        <v>15.254441999999999</v>
      </c>
      <c r="Q1152">
        <f>0.0042831698*3600</f>
        <v>15.41941128</v>
      </c>
    </row>
    <row r="1153" spans="1:17" x14ac:dyDescent="0.3">
      <c r="A1153" s="4" t="s">
        <v>47</v>
      </c>
      <c r="B1153" s="6" t="s">
        <v>755</v>
      </c>
      <c r="C1153">
        <v>299.123696</v>
      </c>
      <c r="D1153">
        <v>291.232527</v>
      </c>
      <c r="E1153">
        <v>1</v>
      </c>
      <c r="F1153">
        <v>1</v>
      </c>
      <c r="G1153">
        <v>0.26100000000000001</v>
      </c>
      <c r="H1153">
        <v>0</v>
      </c>
      <c r="I1153" t="s">
        <v>0</v>
      </c>
      <c r="J1153" t="s">
        <v>59</v>
      </c>
      <c r="K1153">
        <v>0</v>
      </c>
      <c r="L1153" t="s">
        <v>60</v>
      </c>
      <c r="M1153">
        <v>1</v>
      </c>
      <c r="N1153" t="s">
        <v>67</v>
      </c>
      <c r="O1153" s="2">
        <v>0.50972222222222219</v>
      </c>
      <c r="P1153">
        <f>0.0042249317*3600</f>
        <v>15.209754120000001</v>
      </c>
      <c r="Q1153">
        <f>0.0043267754*3600</f>
        <v>15.57639144</v>
      </c>
    </row>
    <row r="1154" spans="1:17" x14ac:dyDescent="0.3">
      <c r="A1154" s="4" t="s">
        <v>47</v>
      </c>
      <c r="B1154" s="6" t="s">
        <v>756</v>
      </c>
      <c r="C1154">
        <v>299.12392599999998</v>
      </c>
      <c r="D1154">
        <v>291.23264999999998</v>
      </c>
      <c r="E1154">
        <v>1</v>
      </c>
      <c r="F1154">
        <v>1</v>
      </c>
      <c r="G1154">
        <v>0.26100000000000001</v>
      </c>
      <c r="H1154">
        <v>0</v>
      </c>
      <c r="I1154" t="s">
        <v>0</v>
      </c>
      <c r="J1154" t="s">
        <v>59</v>
      </c>
      <c r="K1154">
        <v>0</v>
      </c>
      <c r="L1154" t="s">
        <v>60</v>
      </c>
      <c r="M1154">
        <v>1</v>
      </c>
      <c r="N1154" t="s">
        <v>67</v>
      </c>
      <c r="O1154" s="2">
        <v>0.50972222222222219</v>
      </c>
      <c r="P1154">
        <f>0.0042880216*3600</f>
        <v>15.43687776</v>
      </c>
      <c r="Q1154">
        <f>0.0044412733*3600</f>
        <v>15.988583879999998</v>
      </c>
    </row>
    <row r="1155" spans="1:17" x14ac:dyDescent="0.3">
      <c r="A1155" s="4" t="s">
        <v>47</v>
      </c>
      <c r="B1155" s="6" t="s">
        <v>757</v>
      </c>
      <c r="C1155">
        <v>299.124123</v>
      </c>
      <c r="D1155">
        <v>291.23271</v>
      </c>
      <c r="E1155">
        <v>1</v>
      </c>
      <c r="F1155">
        <v>1</v>
      </c>
      <c r="G1155">
        <v>0.26100000000000001</v>
      </c>
      <c r="H1155">
        <v>0</v>
      </c>
      <c r="I1155" t="s">
        <v>0</v>
      </c>
      <c r="J1155" t="s">
        <v>59</v>
      </c>
      <c r="K1155">
        <v>0</v>
      </c>
      <c r="L1155" t="s">
        <v>60</v>
      </c>
      <c r="M1155">
        <v>1</v>
      </c>
      <c r="N1155" t="s">
        <v>67</v>
      </c>
      <c r="O1155" s="2">
        <v>0.50972222222222219</v>
      </c>
      <c r="P1155">
        <f>0.0043277726*3600</f>
        <v>15.57998136</v>
      </c>
      <c r="Q1155">
        <f>0.0045138664*3600</f>
        <v>16.249919040000002</v>
      </c>
    </row>
    <row r="1156" spans="1:17" x14ac:dyDescent="0.3">
      <c r="A1156" s="4" t="s">
        <v>47</v>
      </c>
      <c r="B1156" s="6" t="s">
        <v>758</v>
      </c>
      <c r="C1156">
        <v>299.12391100000002</v>
      </c>
      <c r="D1156">
        <v>291.23279100000002</v>
      </c>
      <c r="E1156">
        <v>1</v>
      </c>
      <c r="F1156">
        <v>1</v>
      </c>
      <c r="G1156">
        <v>0.26100000000000001</v>
      </c>
      <c r="H1156">
        <v>0</v>
      </c>
      <c r="I1156" t="s">
        <v>0</v>
      </c>
      <c r="J1156" t="s">
        <v>59</v>
      </c>
      <c r="K1156">
        <v>0</v>
      </c>
      <c r="L1156" t="s">
        <v>60</v>
      </c>
      <c r="M1156">
        <v>1</v>
      </c>
      <c r="N1156" t="s">
        <v>67</v>
      </c>
      <c r="O1156" s="2">
        <v>0.50972222222222219</v>
      </c>
      <c r="P1156">
        <f>0.0043028268*3600</f>
        <v>15.490176480000001</v>
      </c>
      <c r="Q1156">
        <f>0.0045768414*3600</f>
        <v>16.476629039999999</v>
      </c>
    </row>
    <row r="1157" spans="1:17" x14ac:dyDescent="0.3">
      <c r="A1157" s="4" t="s">
        <v>47</v>
      </c>
      <c r="B1157" s="6" t="s">
        <v>759</v>
      </c>
      <c r="C1157">
        <v>299.123289</v>
      </c>
      <c r="D1157">
        <v>291.23265600000002</v>
      </c>
      <c r="E1157">
        <v>1</v>
      </c>
      <c r="F1157">
        <v>1</v>
      </c>
      <c r="G1157">
        <v>0.26100000000000001</v>
      </c>
      <c r="H1157">
        <v>0</v>
      </c>
      <c r="I1157" t="s">
        <v>0</v>
      </c>
      <c r="J1157" t="s">
        <v>59</v>
      </c>
      <c r="K1157">
        <v>0</v>
      </c>
      <c r="L1157" t="s">
        <v>60</v>
      </c>
      <c r="M1157">
        <v>1</v>
      </c>
      <c r="N1157" t="s">
        <v>67</v>
      </c>
      <c r="O1157" s="2">
        <v>0.50972222222222219</v>
      </c>
      <c r="P1157">
        <f>0.0042120901*3600</f>
        <v>15.163524360000002</v>
      </c>
      <c r="Q1157">
        <f>0.0044703519*3600</f>
        <v>16.093266839999998</v>
      </c>
    </row>
    <row r="1158" spans="1:17" x14ac:dyDescent="0.3">
      <c r="A1158" s="4" t="s">
        <v>47</v>
      </c>
      <c r="B1158" s="6" t="s">
        <v>760</v>
      </c>
      <c r="C1158">
        <v>299.12336099999999</v>
      </c>
      <c r="D1158">
        <v>291.23252400000001</v>
      </c>
      <c r="E1158">
        <v>1</v>
      </c>
      <c r="F1158">
        <v>1</v>
      </c>
      <c r="G1158">
        <v>0.26100000000000001</v>
      </c>
      <c r="H1158">
        <v>0</v>
      </c>
      <c r="I1158" t="s">
        <v>0</v>
      </c>
      <c r="J1158" t="s">
        <v>59</v>
      </c>
      <c r="K1158">
        <v>0</v>
      </c>
      <c r="L1158" t="s">
        <v>60</v>
      </c>
      <c r="M1158">
        <v>1</v>
      </c>
      <c r="N1158" t="s">
        <v>67</v>
      </c>
      <c r="O1158" s="2">
        <v>0.50972222222222219</v>
      </c>
      <c r="P1158">
        <f>0.0042396891*3600</f>
        <v>15.26288076</v>
      </c>
      <c r="Q1158">
        <f>0.0043394873*3600</f>
        <v>15.62215428</v>
      </c>
    </row>
    <row r="1159" spans="1:17" x14ac:dyDescent="0.3">
      <c r="A1159" s="4" t="s">
        <v>47</v>
      </c>
      <c r="B1159" s="6" t="s">
        <v>761</v>
      </c>
      <c r="C1159">
        <v>299.12386700000002</v>
      </c>
      <c r="D1159">
        <v>291.23274300000003</v>
      </c>
      <c r="E1159">
        <v>1</v>
      </c>
      <c r="F1159">
        <v>1</v>
      </c>
      <c r="G1159">
        <v>0.26100000000000001</v>
      </c>
      <c r="H1159">
        <v>0</v>
      </c>
      <c r="I1159" t="s">
        <v>0</v>
      </c>
      <c r="J1159" t="s">
        <v>59</v>
      </c>
      <c r="K1159">
        <v>0</v>
      </c>
      <c r="L1159" t="s">
        <v>60</v>
      </c>
      <c r="M1159">
        <v>1</v>
      </c>
      <c r="N1159" t="s">
        <v>67</v>
      </c>
      <c r="O1159" s="2">
        <v>0.50972222222222219</v>
      </c>
      <c r="P1159">
        <f>0.0042995181*3600</f>
        <v>15.478265159999999</v>
      </c>
      <c r="Q1159">
        <f>0.0045423449*3600</f>
        <v>16.352441640000002</v>
      </c>
    </row>
    <row r="1160" spans="1:17" x14ac:dyDescent="0.3">
      <c r="A1160" s="4" t="s">
        <v>47</v>
      </c>
      <c r="B1160" s="6" t="s">
        <v>762</v>
      </c>
      <c r="C1160">
        <v>299.12377400000003</v>
      </c>
      <c r="D1160">
        <v>291.232687</v>
      </c>
      <c r="E1160">
        <v>1</v>
      </c>
      <c r="F1160">
        <v>1</v>
      </c>
      <c r="G1160">
        <v>0.26100000000000001</v>
      </c>
      <c r="H1160">
        <v>0</v>
      </c>
      <c r="I1160" t="s">
        <v>0</v>
      </c>
      <c r="J1160" t="s">
        <v>59</v>
      </c>
      <c r="K1160">
        <v>0</v>
      </c>
      <c r="L1160" t="s">
        <v>60</v>
      </c>
      <c r="M1160">
        <v>1</v>
      </c>
      <c r="N1160" t="s">
        <v>67</v>
      </c>
      <c r="O1160" s="2">
        <v>0.50972222222222219</v>
      </c>
      <c r="P1160">
        <f>0.0043210515*3600</f>
        <v>15.5557854</v>
      </c>
      <c r="Q1160">
        <f>0.0044559395*3600</f>
        <v>16.041382199999997</v>
      </c>
    </row>
    <row r="1161" spans="1:17" x14ac:dyDescent="0.3">
      <c r="A1161" s="4" t="s">
        <v>47</v>
      </c>
      <c r="B1161" s="6" t="s">
        <v>763</v>
      </c>
      <c r="C1161">
        <v>299.123941</v>
      </c>
      <c r="D1161">
        <v>291.23264799999998</v>
      </c>
      <c r="E1161">
        <v>1</v>
      </c>
      <c r="F1161">
        <v>1</v>
      </c>
      <c r="G1161">
        <v>0.26100000000000001</v>
      </c>
      <c r="H1161">
        <v>0</v>
      </c>
      <c r="I1161" t="s">
        <v>0</v>
      </c>
      <c r="J1161" t="s">
        <v>59</v>
      </c>
      <c r="K1161">
        <v>0</v>
      </c>
      <c r="L1161" t="s">
        <v>60</v>
      </c>
      <c r="M1161">
        <v>1</v>
      </c>
      <c r="N1161" t="s">
        <v>67</v>
      </c>
      <c r="O1161" s="2">
        <v>0.50972222222222219</v>
      </c>
      <c r="P1161">
        <f>0.0043724941*3600</f>
        <v>15.740978759999999</v>
      </c>
      <c r="Q1161">
        <f>0.004421779*3600</f>
        <v>15.9184044</v>
      </c>
    </row>
    <row r="1162" spans="1:17" x14ac:dyDescent="0.3">
      <c r="A1162" s="4" t="s">
        <v>47</v>
      </c>
      <c r="B1162" s="6" t="s">
        <v>764</v>
      </c>
      <c r="C1162">
        <v>299.12472200000002</v>
      </c>
      <c r="D1162">
        <v>291.23279400000001</v>
      </c>
      <c r="E1162">
        <v>1</v>
      </c>
      <c r="F1162">
        <v>1</v>
      </c>
      <c r="G1162">
        <v>0.26100000000000001</v>
      </c>
      <c r="H1162">
        <v>0</v>
      </c>
      <c r="I1162" t="s">
        <v>0</v>
      </c>
      <c r="J1162" t="s">
        <v>59</v>
      </c>
      <c r="K1162">
        <v>0</v>
      </c>
      <c r="L1162" t="s">
        <v>60</v>
      </c>
      <c r="M1162">
        <v>1</v>
      </c>
      <c r="N1162" t="s">
        <v>67</v>
      </c>
      <c r="O1162" s="2">
        <v>0.50972222222222219</v>
      </c>
      <c r="P1162">
        <f>0.0044345363*3600</f>
        <v>15.96433068</v>
      </c>
      <c r="Q1162">
        <f>0.0045409845*3600</f>
        <v>16.347544200000002</v>
      </c>
    </row>
    <row r="1163" spans="1:17" x14ac:dyDescent="0.3">
      <c r="A1163" s="4" t="s">
        <v>47</v>
      </c>
      <c r="B1163" s="6" t="s">
        <v>765</v>
      </c>
      <c r="C1163">
        <v>299.12405100000001</v>
      </c>
      <c r="D1163">
        <v>291.23279500000001</v>
      </c>
      <c r="E1163">
        <v>1</v>
      </c>
      <c r="F1163">
        <v>1</v>
      </c>
      <c r="G1163">
        <v>0.26100000000000001</v>
      </c>
      <c r="H1163">
        <v>0</v>
      </c>
      <c r="I1163" t="s">
        <v>0</v>
      </c>
      <c r="J1163" t="s">
        <v>59</v>
      </c>
      <c r="K1163">
        <v>0</v>
      </c>
      <c r="L1163" t="s">
        <v>60</v>
      </c>
      <c r="M1163">
        <v>1</v>
      </c>
      <c r="N1163" t="s">
        <v>67</v>
      </c>
      <c r="O1163" s="2">
        <v>0.50972222222222219</v>
      </c>
      <c r="P1163">
        <f>0.0043894022*3600</f>
        <v>15.801847919999998</v>
      </c>
      <c r="Q1163">
        <f>0.0045686736*3600</f>
        <v>16.44722496</v>
      </c>
    </row>
    <row r="1164" spans="1:17" x14ac:dyDescent="0.3">
      <c r="A1164" s="4" t="s">
        <v>47</v>
      </c>
      <c r="B1164" s="6" t="s">
        <v>766</v>
      </c>
      <c r="C1164">
        <v>299.12383</v>
      </c>
      <c r="D1164">
        <v>291.23280899999997</v>
      </c>
      <c r="E1164">
        <v>1</v>
      </c>
      <c r="F1164">
        <v>1</v>
      </c>
      <c r="G1164">
        <v>0.26100000000000001</v>
      </c>
      <c r="H1164">
        <v>0</v>
      </c>
      <c r="I1164" t="s">
        <v>0</v>
      </c>
      <c r="J1164" t="s">
        <v>59</v>
      </c>
      <c r="K1164">
        <v>0</v>
      </c>
      <c r="L1164" t="s">
        <v>60</v>
      </c>
      <c r="M1164">
        <v>1</v>
      </c>
      <c r="N1164" t="s">
        <v>67</v>
      </c>
      <c r="O1164" s="2">
        <v>0.50972222222222219</v>
      </c>
      <c r="P1164">
        <f>0.0043971673*3600</f>
        <v>15.829802280000001</v>
      </c>
      <c r="Q1164">
        <f>0.0046163302*3600</f>
        <v>16.618788720000001</v>
      </c>
    </row>
    <row r="1165" spans="1:17" x14ac:dyDescent="0.3">
      <c r="A1165" s="4" t="s">
        <v>47</v>
      </c>
      <c r="B1165" s="6" t="s">
        <v>767</v>
      </c>
      <c r="C1165">
        <v>299.12421699999999</v>
      </c>
      <c r="D1165">
        <v>291.23298199999999</v>
      </c>
      <c r="E1165">
        <v>1</v>
      </c>
      <c r="F1165">
        <v>1</v>
      </c>
      <c r="G1165">
        <v>0.26100000000000001</v>
      </c>
      <c r="H1165">
        <v>0</v>
      </c>
      <c r="I1165" t="s">
        <v>0</v>
      </c>
      <c r="J1165" t="s">
        <v>59</v>
      </c>
      <c r="K1165">
        <v>0</v>
      </c>
      <c r="L1165" t="s">
        <v>60</v>
      </c>
      <c r="M1165">
        <v>1</v>
      </c>
      <c r="N1165" t="s">
        <v>67</v>
      </c>
      <c r="O1165" s="2">
        <v>0.50972222222222219</v>
      </c>
      <c r="P1165">
        <f>0.0043958379*3600</f>
        <v>15.825016440000001</v>
      </c>
      <c r="Q1165">
        <f>0.004750425*3600</f>
        <v>17.10153</v>
      </c>
    </row>
    <row r="1166" spans="1:17" x14ac:dyDescent="0.3">
      <c r="A1166" s="4" t="s">
        <v>47</v>
      </c>
      <c r="B1166" s="6" t="s">
        <v>768</v>
      </c>
      <c r="C1166">
        <v>299.12429100000003</v>
      </c>
      <c r="D1166">
        <v>291.23289199999999</v>
      </c>
      <c r="E1166">
        <v>1</v>
      </c>
      <c r="F1166">
        <v>1</v>
      </c>
      <c r="G1166">
        <v>0.26100000000000001</v>
      </c>
      <c r="H1166">
        <v>0</v>
      </c>
      <c r="I1166" t="s">
        <v>0</v>
      </c>
      <c r="J1166" t="s">
        <v>59</v>
      </c>
      <c r="K1166">
        <v>0</v>
      </c>
      <c r="L1166" t="s">
        <v>60</v>
      </c>
      <c r="M1166">
        <v>1</v>
      </c>
      <c r="N1166" t="s">
        <v>67</v>
      </c>
      <c r="O1166" s="2">
        <v>0.50972222222222219</v>
      </c>
      <c r="P1166">
        <f>0.0045238621*3600</f>
        <v>16.285903559999998</v>
      </c>
      <c r="Q1166">
        <f>0.0046963405*3600</f>
        <v>16.9068258</v>
      </c>
    </row>
    <row r="1167" spans="1:17" x14ac:dyDescent="0.3">
      <c r="A1167" s="4" t="s">
        <v>47</v>
      </c>
      <c r="B1167" s="6" t="s">
        <v>769</v>
      </c>
      <c r="C1167">
        <v>299.12415900000002</v>
      </c>
      <c r="D1167">
        <v>291.23289799999998</v>
      </c>
      <c r="E1167">
        <v>1</v>
      </c>
      <c r="F1167">
        <v>1</v>
      </c>
      <c r="G1167">
        <v>0.26100000000000001</v>
      </c>
      <c r="H1167">
        <v>0</v>
      </c>
      <c r="I1167" t="s">
        <v>0</v>
      </c>
      <c r="J1167" t="s">
        <v>59</v>
      </c>
      <c r="K1167">
        <v>0</v>
      </c>
      <c r="L1167" t="s">
        <v>60</v>
      </c>
      <c r="M1167">
        <v>1</v>
      </c>
      <c r="N1167" t="s">
        <v>67</v>
      </c>
      <c r="O1167" s="2">
        <v>0.50972222222222219</v>
      </c>
      <c r="P1167">
        <f>0.0044748341*3600</f>
        <v>16.109402760000002</v>
      </c>
      <c r="Q1167">
        <f>0.0046800733*3600</f>
        <v>16.848263880000001</v>
      </c>
    </row>
    <row r="1168" spans="1:17" x14ac:dyDescent="0.3">
      <c r="A1168" s="4" t="s">
        <v>47</v>
      </c>
      <c r="B1168" s="6" t="s">
        <v>770</v>
      </c>
      <c r="C1168">
        <v>299.12408199999999</v>
      </c>
      <c r="D1168">
        <v>291.232799</v>
      </c>
      <c r="E1168">
        <v>1</v>
      </c>
      <c r="F1168">
        <v>1</v>
      </c>
      <c r="G1168">
        <v>0.26100000000000001</v>
      </c>
      <c r="H1168">
        <v>0</v>
      </c>
      <c r="I1168" t="s">
        <v>0</v>
      </c>
      <c r="J1168" t="s">
        <v>59</v>
      </c>
      <c r="K1168">
        <v>0</v>
      </c>
      <c r="L1168" t="s">
        <v>60</v>
      </c>
      <c r="M1168">
        <v>1</v>
      </c>
      <c r="N1168" t="s">
        <v>67</v>
      </c>
      <c r="O1168" s="2">
        <v>0.50972222222222219</v>
      </c>
      <c r="P1168">
        <f>0.0043364486*3600</f>
        <v>15.61121496</v>
      </c>
      <c r="Q1168">
        <f>0.0045639518*3600</f>
        <v>16.430226480000002</v>
      </c>
    </row>
    <row r="1169" spans="1:17" x14ac:dyDescent="0.3">
      <c r="A1169" s="4" t="s">
        <v>47</v>
      </c>
      <c r="B1169" s="6" t="s">
        <v>771</v>
      </c>
      <c r="C1169">
        <v>299.12436600000001</v>
      </c>
      <c r="D1169">
        <v>291.23277100000001</v>
      </c>
      <c r="E1169">
        <v>1</v>
      </c>
      <c r="F1169">
        <v>1</v>
      </c>
      <c r="G1169">
        <v>0.26100000000000001</v>
      </c>
      <c r="H1169">
        <v>0</v>
      </c>
      <c r="I1169" t="s">
        <v>0</v>
      </c>
      <c r="J1169" t="s">
        <v>59</v>
      </c>
      <c r="K1169">
        <v>0</v>
      </c>
      <c r="L1169" t="s">
        <v>60</v>
      </c>
      <c r="M1169">
        <v>1</v>
      </c>
      <c r="N1169" t="s">
        <v>67</v>
      </c>
      <c r="O1169" s="2">
        <v>0.50972222222222219</v>
      </c>
      <c r="P1169">
        <f>0.0043483706*3600</f>
        <v>15.65413416</v>
      </c>
      <c r="Q1169">
        <f>0.0045255146*3600</f>
        <v>16.291852559999999</v>
      </c>
    </row>
    <row r="1170" spans="1:17" x14ac:dyDescent="0.3">
      <c r="A1170" s="4" t="s">
        <v>47</v>
      </c>
      <c r="B1170" s="6" t="s">
        <v>772</v>
      </c>
      <c r="C1170">
        <v>299.12403899999998</v>
      </c>
      <c r="D1170">
        <v>291.23266799999999</v>
      </c>
      <c r="E1170">
        <v>1</v>
      </c>
      <c r="F1170">
        <v>1</v>
      </c>
      <c r="G1170">
        <v>0.26100000000000001</v>
      </c>
      <c r="H1170">
        <v>0</v>
      </c>
      <c r="I1170" t="s">
        <v>0</v>
      </c>
      <c r="J1170" t="s">
        <v>59</v>
      </c>
      <c r="K1170">
        <v>0</v>
      </c>
      <c r="L1170" t="s">
        <v>60</v>
      </c>
      <c r="M1170">
        <v>1</v>
      </c>
      <c r="N1170" t="s">
        <v>67</v>
      </c>
      <c r="O1170" s="2">
        <v>0.50972222222222219</v>
      </c>
      <c r="P1170">
        <f>0.0044270039*3600</f>
        <v>15.937214040000001</v>
      </c>
      <c r="Q1170">
        <f>0.0044519956*3600</f>
        <v>16.027184159999997</v>
      </c>
    </row>
    <row r="1171" spans="1:17" x14ac:dyDescent="0.3">
      <c r="A1171" s="4" t="s">
        <v>47</v>
      </c>
      <c r="B1171" s="6" t="s">
        <v>773</v>
      </c>
      <c r="C1171">
        <v>299.12501500000002</v>
      </c>
      <c r="D1171">
        <v>291.23282</v>
      </c>
      <c r="E1171">
        <v>1</v>
      </c>
      <c r="F1171">
        <v>1</v>
      </c>
      <c r="G1171">
        <v>0.26100000000000001</v>
      </c>
      <c r="H1171">
        <v>0</v>
      </c>
      <c r="I1171" t="s">
        <v>0</v>
      </c>
      <c r="J1171" t="s">
        <v>59</v>
      </c>
      <c r="K1171">
        <v>0</v>
      </c>
      <c r="L1171" t="s">
        <v>60</v>
      </c>
      <c r="M1171">
        <v>1</v>
      </c>
      <c r="N1171" t="s">
        <v>67</v>
      </c>
      <c r="O1171" s="2">
        <v>0.50972222222222219</v>
      </c>
      <c r="P1171">
        <f>0.0044071221*3600</f>
        <v>15.86563956</v>
      </c>
      <c r="Q1171">
        <f>0.0045865486*3600</f>
        <v>16.511574960000001</v>
      </c>
    </row>
    <row r="1172" spans="1:17" x14ac:dyDescent="0.3">
      <c r="A1172" s="4" t="s">
        <v>47</v>
      </c>
      <c r="B1172" s="6" t="s">
        <v>774</v>
      </c>
      <c r="C1172">
        <v>299.12389300000001</v>
      </c>
      <c r="D1172">
        <v>291.23294299999998</v>
      </c>
      <c r="E1172">
        <v>1</v>
      </c>
      <c r="F1172">
        <v>1</v>
      </c>
      <c r="G1172">
        <v>0.26100000000000001</v>
      </c>
      <c r="H1172">
        <v>0</v>
      </c>
      <c r="I1172" t="s">
        <v>0</v>
      </c>
      <c r="J1172" t="s">
        <v>59</v>
      </c>
      <c r="K1172">
        <v>0</v>
      </c>
      <c r="L1172" t="s">
        <v>60</v>
      </c>
      <c r="M1172">
        <v>1</v>
      </c>
      <c r="N1172" t="s">
        <v>67</v>
      </c>
      <c r="O1172" s="2">
        <v>0.50972222222222219</v>
      </c>
      <c r="P1172">
        <f>0.0044136288*3600</f>
        <v>15.889063679999998</v>
      </c>
      <c r="Q1172">
        <f>0.0047161883*3600</f>
        <v>16.97827788</v>
      </c>
    </row>
    <row r="1173" spans="1:17" x14ac:dyDescent="0.3">
      <c r="A1173" s="4" t="s">
        <v>47</v>
      </c>
      <c r="B1173" s="6" t="s">
        <v>775</v>
      </c>
      <c r="C1173">
        <v>299.12412999999998</v>
      </c>
      <c r="D1173">
        <v>291.23286000000002</v>
      </c>
      <c r="E1173">
        <v>1</v>
      </c>
      <c r="F1173">
        <v>1</v>
      </c>
      <c r="G1173">
        <v>0.26100000000000001</v>
      </c>
      <c r="H1173">
        <v>0</v>
      </c>
      <c r="I1173" t="s">
        <v>0</v>
      </c>
      <c r="J1173" t="s">
        <v>59</v>
      </c>
      <c r="K1173">
        <v>0</v>
      </c>
      <c r="L1173" t="s">
        <v>60</v>
      </c>
      <c r="M1173">
        <v>1</v>
      </c>
      <c r="N1173" t="s">
        <v>67</v>
      </c>
      <c r="O1173" s="2">
        <v>0.50972222222222219</v>
      </c>
      <c r="P1173">
        <f>0.004487484*3600</f>
        <v>16.154942399999999</v>
      </c>
      <c r="Q1173">
        <f>0.0046302465*3600</f>
        <v>16.668887399999999</v>
      </c>
    </row>
    <row r="1174" spans="1:17" x14ac:dyDescent="0.3">
      <c r="A1174" s="4" t="s">
        <v>47</v>
      </c>
      <c r="B1174" s="6" t="s">
        <v>776</v>
      </c>
      <c r="C1174">
        <v>299.12475499999999</v>
      </c>
      <c r="D1174">
        <v>291.23272500000002</v>
      </c>
      <c r="E1174">
        <v>1</v>
      </c>
      <c r="F1174">
        <v>1</v>
      </c>
      <c r="G1174">
        <v>0.26100000000000001</v>
      </c>
      <c r="H1174">
        <v>0</v>
      </c>
      <c r="I1174" t="s">
        <v>0</v>
      </c>
      <c r="J1174" t="s">
        <v>59</v>
      </c>
      <c r="K1174">
        <v>0</v>
      </c>
      <c r="L1174" t="s">
        <v>60</v>
      </c>
      <c r="M1174">
        <v>1</v>
      </c>
      <c r="N1174" t="s">
        <v>67</v>
      </c>
      <c r="O1174" s="2">
        <v>0.50972222222222219</v>
      </c>
      <c r="P1174">
        <f>0.0043983731*3600</f>
        <v>15.83414316</v>
      </c>
      <c r="Q1174">
        <f>0.0044812225*3600</f>
        <v>16.132400999999998</v>
      </c>
    </row>
    <row r="1175" spans="1:17" x14ac:dyDescent="0.3">
      <c r="A1175" s="4" t="s">
        <v>47</v>
      </c>
      <c r="B1175" s="6" t="s">
        <v>777</v>
      </c>
      <c r="C1175">
        <v>299.12376</v>
      </c>
      <c r="D1175">
        <v>291.23253699999998</v>
      </c>
      <c r="E1175">
        <v>1</v>
      </c>
      <c r="F1175">
        <v>1</v>
      </c>
      <c r="G1175">
        <v>0.26100000000000001</v>
      </c>
      <c r="H1175">
        <v>0</v>
      </c>
      <c r="I1175" t="s">
        <v>0</v>
      </c>
      <c r="J1175" t="s">
        <v>59</v>
      </c>
      <c r="K1175">
        <v>0</v>
      </c>
      <c r="L1175" t="s">
        <v>60</v>
      </c>
      <c r="M1175">
        <v>1</v>
      </c>
      <c r="N1175" t="s">
        <v>67</v>
      </c>
      <c r="O1175" s="2">
        <v>0.50972222222222219</v>
      </c>
      <c r="P1175">
        <f>0.0041351448*3600</f>
        <v>14.886521279999998</v>
      </c>
      <c r="Q1175">
        <f>0.0043092842*3600</f>
        <v>15.513423120000001</v>
      </c>
    </row>
    <row r="1176" spans="1:17" x14ac:dyDescent="0.3">
      <c r="A1176" s="4" t="s">
        <v>47</v>
      </c>
      <c r="B1176" s="5" t="s">
        <v>778</v>
      </c>
      <c r="C1176">
        <v>98.827693999999994</v>
      </c>
      <c r="D1176">
        <v>104.95025</v>
      </c>
      <c r="E1176">
        <v>19.6633</v>
      </c>
      <c r="F1176">
        <v>19.6004</v>
      </c>
      <c r="G1176">
        <v>0.26100000000000001</v>
      </c>
      <c r="H1176">
        <v>0</v>
      </c>
      <c r="I1176" t="s">
        <v>0</v>
      </c>
      <c r="J1176" t="s">
        <v>59</v>
      </c>
      <c r="K1176">
        <v>3.4000000000000002E-2</v>
      </c>
      <c r="L1176" t="s">
        <v>60</v>
      </c>
      <c r="M1176">
        <v>1</v>
      </c>
      <c r="N1176" t="s">
        <v>53</v>
      </c>
      <c r="O1176" s="2">
        <v>0.5131944444444444</v>
      </c>
      <c r="P1176">
        <f>-0.0063824806*3600</f>
        <v>-22.976930159999998</v>
      </c>
      <c r="Q1176">
        <f>-0.0050227342*3600</f>
        <v>-18.081843120000002</v>
      </c>
    </row>
    <row r="1177" spans="1:17" x14ac:dyDescent="0.3">
      <c r="A1177" s="4" t="s">
        <v>47</v>
      </c>
      <c r="B1177" s="5" t="s">
        <v>779</v>
      </c>
      <c r="C1177">
        <v>98.827464000000006</v>
      </c>
      <c r="D1177">
        <v>104.997326</v>
      </c>
      <c r="E1177">
        <v>1</v>
      </c>
      <c r="F1177">
        <v>1</v>
      </c>
      <c r="G1177">
        <v>0.26100000000000001</v>
      </c>
      <c r="H1177">
        <v>0</v>
      </c>
      <c r="I1177" t="s">
        <v>0</v>
      </c>
      <c r="J1177" t="s">
        <v>59</v>
      </c>
      <c r="K1177">
        <v>0</v>
      </c>
      <c r="L1177" t="s">
        <v>60</v>
      </c>
      <c r="M1177">
        <v>1</v>
      </c>
      <c r="N1177" t="s">
        <v>67</v>
      </c>
      <c r="O1177" s="2">
        <v>0.5131944444444444</v>
      </c>
      <c r="P1177">
        <f>-0.0063753317*3600</f>
        <v>-22.95119412</v>
      </c>
      <c r="Q1177">
        <f>-0.0052078149*3600</f>
        <v>-18.748133639999999</v>
      </c>
    </row>
    <row r="1178" spans="1:17" x14ac:dyDescent="0.3">
      <c r="A1178" s="4" t="s">
        <v>47</v>
      </c>
      <c r="B1178" s="5" t="s">
        <v>780</v>
      </c>
      <c r="C1178">
        <v>98.827138000000005</v>
      </c>
      <c r="D1178">
        <v>104.99755500000001</v>
      </c>
      <c r="E1178">
        <v>1</v>
      </c>
      <c r="F1178">
        <v>1</v>
      </c>
      <c r="G1178">
        <v>0.26100000000000001</v>
      </c>
      <c r="H1178">
        <v>0</v>
      </c>
      <c r="I1178" t="s">
        <v>0</v>
      </c>
      <c r="J1178" t="s">
        <v>59</v>
      </c>
      <c r="K1178">
        <v>0</v>
      </c>
      <c r="L1178" t="s">
        <v>60</v>
      </c>
      <c r="M1178">
        <v>1</v>
      </c>
      <c r="N1178" t="s">
        <v>67</v>
      </c>
      <c r="O1178" s="2">
        <v>0.5131944444444444</v>
      </c>
      <c r="P1178">
        <f>-0.0062515432*3600</f>
        <v>-22.505555520000001</v>
      </c>
      <c r="Q1178">
        <f>-0.0049660072*3600</f>
        <v>-17.87762592</v>
      </c>
    </row>
    <row r="1179" spans="1:17" x14ac:dyDescent="0.3">
      <c r="A1179" s="4" t="s">
        <v>47</v>
      </c>
      <c r="B1179" s="5" t="s">
        <v>781</v>
      </c>
      <c r="C1179">
        <v>98.827357000000006</v>
      </c>
      <c r="D1179">
        <v>104.997471</v>
      </c>
      <c r="E1179">
        <v>1</v>
      </c>
      <c r="F1179">
        <v>1</v>
      </c>
      <c r="G1179">
        <v>0.26100000000000001</v>
      </c>
      <c r="H1179">
        <v>0</v>
      </c>
      <c r="I1179" t="s">
        <v>0</v>
      </c>
      <c r="J1179" t="s">
        <v>59</v>
      </c>
      <c r="K1179">
        <v>0</v>
      </c>
      <c r="L1179" t="s">
        <v>60</v>
      </c>
      <c r="M1179">
        <v>1</v>
      </c>
      <c r="N1179" t="s">
        <v>67</v>
      </c>
      <c r="O1179" s="2">
        <v>0.5131944444444444</v>
      </c>
      <c r="P1179">
        <f>-0.0062514076*3600</f>
        <v>-22.505067359999998</v>
      </c>
      <c r="Q1179">
        <f>-0.0050601759*3600</f>
        <v>-18.21663324</v>
      </c>
    </row>
    <row r="1180" spans="1:17" x14ac:dyDescent="0.3">
      <c r="A1180" s="4" t="s">
        <v>47</v>
      </c>
      <c r="B1180" s="5" t="s">
        <v>782</v>
      </c>
      <c r="C1180">
        <v>98.827881000000005</v>
      </c>
      <c r="D1180">
        <v>104.997457</v>
      </c>
      <c r="E1180">
        <v>1</v>
      </c>
      <c r="F1180">
        <v>1</v>
      </c>
      <c r="G1180">
        <v>0.26100000000000001</v>
      </c>
      <c r="H1180">
        <v>0</v>
      </c>
      <c r="I1180" t="s">
        <v>0</v>
      </c>
      <c r="J1180" t="s">
        <v>59</v>
      </c>
      <c r="K1180">
        <v>0</v>
      </c>
      <c r="L1180" t="s">
        <v>60</v>
      </c>
      <c r="M1180">
        <v>1</v>
      </c>
      <c r="N1180" t="s">
        <v>67</v>
      </c>
      <c r="O1180" s="2">
        <v>0.5131944444444444</v>
      </c>
      <c r="P1180">
        <f>-0.0063666671*3600</f>
        <v>-22.920001559999999</v>
      </c>
      <c r="Q1180">
        <f>-0.0050950994*3600</f>
        <v>-18.342357839999998</v>
      </c>
    </row>
    <row r="1181" spans="1:17" x14ac:dyDescent="0.3">
      <c r="A1181" s="4" t="s">
        <v>47</v>
      </c>
      <c r="B1181" s="5" t="s">
        <v>783</v>
      </c>
      <c r="C1181">
        <v>98.828027000000006</v>
      </c>
      <c r="D1181">
        <v>104.99740799999999</v>
      </c>
      <c r="E1181">
        <v>1</v>
      </c>
      <c r="F1181">
        <v>1</v>
      </c>
      <c r="G1181">
        <v>0.26100000000000001</v>
      </c>
      <c r="H1181">
        <v>0</v>
      </c>
      <c r="I1181" t="s">
        <v>0</v>
      </c>
      <c r="J1181" t="s">
        <v>59</v>
      </c>
      <c r="K1181">
        <v>0</v>
      </c>
      <c r="L1181" t="s">
        <v>60</v>
      </c>
      <c r="M1181">
        <v>1</v>
      </c>
      <c r="N1181" t="s">
        <v>67</v>
      </c>
      <c r="O1181" s="2">
        <v>0.51388888888888895</v>
      </c>
      <c r="P1181">
        <f>-0.0066961408*3600</f>
        <v>-24.106106879999999</v>
      </c>
      <c r="Q1181">
        <f>-0.0051425691*3600</f>
        <v>-18.51324876</v>
      </c>
    </row>
    <row r="1182" spans="1:17" x14ac:dyDescent="0.3">
      <c r="A1182" s="4" t="s">
        <v>47</v>
      </c>
      <c r="B1182" s="5" t="s">
        <v>784</v>
      </c>
      <c r="C1182">
        <v>98.827724000000003</v>
      </c>
      <c r="D1182">
        <v>104.997494</v>
      </c>
      <c r="E1182">
        <v>1</v>
      </c>
      <c r="F1182">
        <v>1</v>
      </c>
      <c r="G1182">
        <v>0.26100000000000001</v>
      </c>
      <c r="H1182">
        <v>0</v>
      </c>
      <c r="I1182" t="s">
        <v>0</v>
      </c>
      <c r="J1182" t="s">
        <v>59</v>
      </c>
      <c r="K1182">
        <v>0</v>
      </c>
      <c r="L1182" t="s">
        <v>60</v>
      </c>
      <c r="M1182">
        <v>1</v>
      </c>
      <c r="N1182" t="s">
        <v>67</v>
      </c>
      <c r="O1182" s="2">
        <v>0.51388888888888895</v>
      </c>
      <c r="P1182">
        <f>-0.0065191336*3600</f>
        <v>-23.46888096</v>
      </c>
      <c r="Q1182">
        <f>-0.0050581557*3600</f>
        <v>-18.209360520000001</v>
      </c>
    </row>
    <row r="1183" spans="1:17" x14ac:dyDescent="0.3">
      <c r="A1183" s="4" t="s">
        <v>47</v>
      </c>
      <c r="B1183" s="5" t="s">
        <v>785</v>
      </c>
      <c r="C1183">
        <v>98.827906999999996</v>
      </c>
      <c r="D1183">
        <v>104.99744</v>
      </c>
      <c r="E1183">
        <v>1</v>
      </c>
      <c r="F1183">
        <v>1</v>
      </c>
      <c r="G1183">
        <v>0.26100000000000001</v>
      </c>
      <c r="H1183">
        <v>0</v>
      </c>
      <c r="I1183" t="s">
        <v>0</v>
      </c>
      <c r="J1183" t="s">
        <v>59</v>
      </c>
      <c r="K1183">
        <v>0</v>
      </c>
      <c r="L1183" t="s">
        <v>60</v>
      </c>
      <c r="M1183">
        <v>1</v>
      </c>
      <c r="N1183" t="s">
        <v>67</v>
      </c>
      <c r="O1183" s="2">
        <v>0.51388888888888895</v>
      </c>
      <c r="P1183">
        <f>-0.0064599905*3600</f>
        <v>-23.255965800000002</v>
      </c>
      <c r="Q1183">
        <f>-0.0051304665*3600</f>
        <v>-18.4696794</v>
      </c>
    </row>
    <row r="1184" spans="1:17" x14ac:dyDescent="0.3">
      <c r="A1184" s="4" t="s">
        <v>47</v>
      </c>
      <c r="B1184" s="5" t="s">
        <v>786</v>
      </c>
      <c r="C1184">
        <v>98.827932000000004</v>
      </c>
      <c r="D1184">
        <v>104.99741</v>
      </c>
      <c r="E1184">
        <v>1</v>
      </c>
      <c r="F1184">
        <v>1</v>
      </c>
      <c r="G1184">
        <v>0.26100000000000001</v>
      </c>
      <c r="H1184">
        <v>0</v>
      </c>
      <c r="I1184" t="s">
        <v>0</v>
      </c>
      <c r="J1184" t="s">
        <v>59</v>
      </c>
      <c r="K1184">
        <v>0</v>
      </c>
      <c r="L1184" t="s">
        <v>60</v>
      </c>
      <c r="M1184">
        <v>1</v>
      </c>
      <c r="N1184" t="s">
        <v>67</v>
      </c>
      <c r="O1184" s="2">
        <v>0.51388888888888895</v>
      </c>
      <c r="P1184">
        <f>-0.0065188293*3600</f>
        <v>-23.46778548</v>
      </c>
      <c r="Q1184">
        <f>-0.0051561303*3600</f>
        <v>-18.562069080000001</v>
      </c>
    </row>
    <row r="1185" spans="1:17" x14ac:dyDescent="0.3">
      <c r="A1185" s="4" t="s">
        <v>47</v>
      </c>
      <c r="B1185" s="5" t="s">
        <v>787</v>
      </c>
      <c r="C1185">
        <v>98.828061000000005</v>
      </c>
      <c r="D1185">
        <v>104.997545</v>
      </c>
      <c r="E1185">
        <v>1</v>
      </c>
      <c r="F1185">
        <v>1</v>
      </c>
      <c r="G1185">
        <v>0.26100000000000001</v>
      </c>
      <c r="H1185">
        <v>0</v>
      </c>
      <c r="I1185" t="s">
        <v>0</v>
      </c>
      <c r="J1185" t="s">
        <v>59</v>
      </c>
      <c r="K1185">
        <v>0</v>
      </c>
      <c r="L1185" t="s">
        <v>60</v>
      </c>
      <c r="M1185">
        <v>1</v>
      </c>
      <c r="N1185" t="s">
        <v>67</v>
      </c>
      <c r="O1185" s="2">
        <v>0.51388888888888895</v>
      </c>
      <c r="P1185">
        <f>-0.0064149014*3600</f>
        <v>-23.093645039999998</v>
      </c>
      <c r="Q1185">
        <f>-0.0050309272*3600</f>
        <v>-18.11133792</v>
      </c>
    </row>
    <row r="1186" spans="1:17" x14ac:dyDescent="0.3">
      <c r="A1186" s="4" t="s">
        <v>47</v>
      </c>
      <c r="B1186" s="5" t="s">
        <v>788</v>
      </c>
      <c r="C1186">
        <v>98.827343999999997</v>
      </c>
      <c r="D1186">
        <v>104.99745</v>
      </c>
      <c r="E1186">
        <v>1</v>
      </c>
      <c r="F1186">
        <v>1</v>
      </c>
      <c r="G1186">
        <v>0.26100000000000001</v>
      </c>
      <c r="H1186">
        <v>0</v>
      </c>
      <c r="I1186" t="s">
        <v>0</v>
      </c>
      <c r="J1186" t="s">
        <v>59</v>
      </c>
      <c r="K1186">
        <v>0</v>
      </c>
      <c r="L1186" t="s">
        <v>60</v>
      </c>
      <c r="M1186">
        <v>1</v>
      </c>
      <c r="N1186" t="s">
        <v>67</v>
      </c>
      <c r="O1186" s="2">
        <v>0.51388888888888895</v>
      </c>
      <c r="P1186">
        <f>-0.0064606403*3600</f>
        <v>-23.25830508</v>
      </c>
      <c r="Q1186">
        <f>-0.0050962295*3600</f>
        <v>-18.3464262</v>
      </c>
    </row>
    <row r="1187" spans="1:17" x14ac:dyDescent="0.3">
      <c r="A1187" s="4" t="s">
        <v>47</v>
      </c>
      <c r="B1187" s="5" t="s">
        <v>789</v>
      </c>
      <c r="C1187">
        <v>98.827314000000001</v>
      </c>
      <c r="D1187">
        <v>104.997569</v>
      </c>
      <c r="E1187">
        <v>1</v>
      </c>
      <c r="F1187">
        <v>1</v>
      </c>
      <c r="G1187">
        <v>0.26100000000000001</v>
      </c>
      <c r="H1187">
        <v>0</v>
      </c>
      <c r="I1187" t="s">
        <v>0</v>
      </c>
      <c r="J1187" t="s">
        <v>59</v>
      </c>
      <c r="K1187">
        <v>0</v>
      </c>
      <c r="L1187" t="s">
        <v>60</v>
      </c>
      <c r="M1187">
        <v>1</v>
      </c>
      <c r="N1187" t="s">
        <v>67</v>
      </c>
      <c r="O1187" s="2">
        <v>0.51388888888888895</v>
      </c>
      <c r="P1187">
        <f>-0.0063822325*3600</f>
        <v>-22.976036999999998</v>
      </c>
      <c r="Q1187">
        <f>-0.005009193*3600</f>
        <v>-18.033094800000001</v>
      </c>
    </row>
    <row r="1188" spans="1:17" x14ac:dyDescent="0.3">
      <c r="A1188" s="4" t="s">
        <v>47</v>
      </c>
      <c r="B1188" s="5" t="s">
        <v>790</v>
      </c>
      <c r="C1188">
        <v>98.827370000000002</v>
      </c>
      <c r="D1188">
        <v>104.997488</v>
      </c>
      <c r="E1188">
        <v>1</v>
      </c>
      <c r="F1188">
        <v>1</v>
      </c>
      <c r="G1188">
        <v>0.26100000000000001</v>
      </c>
      <c r="H1188">
        <v>0</v>
      </c>
      <c r="I1188" t="s">
        <v>0</v>
      </c>
      <c r="J1188" t="s">
        <v>59</v>
      </c>
      <c r="K1188">
        <v>0</v>
      </c>
      <c r="L1188" t="s">
        <v>60</v>
      </c>
      <c r="M1188">
        <v>1</v>
      </c>
      <c r="N1188" t="s">
        <v>67</v>
      </c>
      <c r="O1188" s="2">
        <v>0.51388888888888895</v>
      </c>
      <c r="P1188">
        <f>-0.0065178251*3600</f>
        <v>-23.464170360000001</v>
      </c>
      <c r="Q1188">
        <f>-0.0050905564*3600</f>
        <v>-18.32600304</v>
      </c>
    </row>
    <row r="1189" spans="1:17" x14ac:dyDescent="0.3">
      <c r="A1189" s="4" t="s">
        <v>47</v>
      </c>
      <c r="B1189" s="5" t="s">
        <v>791</v>
      </c>
      <c r="C1189">
        <v>98.827313000000004</v>
      </c>
      <c r="D1189">
        <v>104.99745799999999</v>
      </c>
      <c r="E1189">
        <v>1</v>
      </c>
      <c r="F1189">
        <v>1</v>
      </c>
      <c r="G1189">
        <v>0.26100000000000001</v>
      </c>
      <c r="H1189">
        <v>0</v>
      </c>
      <c r="I1189" t="s">
        <v>0</v>
      </c>
      <c r="J1189" t="s">
        <v>59</v>
      </c>
      <c r="K1189">
        <v>0</v>
      </c>
      <c r="L1189" t="s">
        <v>60</v>
      </c>
      <c r="M1189">
        <v>1</v>
      </c>
      <c r="N1189" t="s">
        <v>67</v>
      </c>
      <c r="O1189" s="2">
        <v>0.51388888888888895</v>
      </c>
      <c r="P1189">
        <f>-0.0064679885*3600</f>
        <v>-23.2847586</v>
      </c>
      <c r="Q1189">
        <f>-0.0051048222*3600</f>
        <v>-18.37735992</v>
      </c>
    </row>
    <row r="1190" spans="1:17" x14ac:dyDescent="0.3">
      <c r="A1190" s="4" t="s">
        <v>47</v>
      </c>
      <c r="B1190" s="5" t="s">
        <v>792</v>
      </c>
      <c r="C1190">
        <v>98.827188000000007</v>
      </c>
      <c r="D1190">
        <v>104.997495</v>
      </c>
      <c r="E1190">
        <v>1</v>
      </c>
      <c r="F1190">
        <v>1</v>
      </c>
      <c r="G1190">
        <v>0.26100000000000001</v>
      </c>
      <c r="H1190">
        <v>0</v>
      </c>
      <c r="I1190" t="s">
        <v>0</v>
      </c>
      <c r="J1190" t="s">
        <v>59</v>
      </c>
      <c r="K1190">
        <v>0</v>
      </c>
      <c r="L1190" t="s">
        <v>60</v>
      </c>
      <c r="M1190">
        <v>1</v>
      </c>
      <c r="N1190" t="s">
        <v>67</v>
      </c>
      <c r="O1190" s="2">
        <v>0.51388888888888895</v>
      </c>
      <c r="P1190">
        <f>-0.0064987251*3600</f>
        <v>-23.39541036</v>
      </c>
      <c r="Q1190">
        <f>-0.0050622697*3600</f>
        <v>-18.224170919999999</v>
      </c>
    </row>
    <row r="1191" spans="1:17" x14ac:dyDescent="0.3">
      <c r="A1191" s="4" t="s">
        <v>47</v>
      </c>
      <c r="B1191" s="5" t="s">
        <v>793</v>
      </c>
      <c r="C1191">
        <v>98.828218000000007</v>
      </c>
      <c r="D1191">
        <v>104.997365</v>
      </c>
      <c r="E1191">
        <v>1</v>
      </c>
      <c r="F1191">
        <v>1</v>
      </c>
      <c r="G1191">
        <v>0.26100000000000001</v>
      </c>
      <c r="H1191">
        <v>0</v>
      </c>
      <c r="I1191" t="s">
        <v>0</v>
      </c>
      <c r="J1191" t="s">
        <v>59</v>
      </c>
      <c r="K1191">
        <v>0</v>
      </c>
      <c r="L1191" t="s">
        <v>60</v>
      </c>
      <c r="M1191">
        <v>1</v>
      </c>
      <c r="N1191" t="s">
        <v>67</v>
      </c>
      <c r="O1191" s="2">
        <v>0.51388888888888895</v>
      </c>
      <c r="P1191">
        <f>-0.0064445224*3600</f>
        <v>-23.200280640000003</v>
      </c>
      <c r="Q1191">
        <f>-0.005206343*3600</f>
        <v>-18.742834800000001</v>
      </c>
    </row>
    <row r="1192" spans="1:17" x14ac:dyDescent="0.3">
      <c r="A1192" s="4" t="s">
        <v>47</v>
      </c>
      <c r="B1192" s="5" t="s">
        <v>794</v>
      </c>
      <c r="C1192">
        <v>98.827269000000001</v>
      </c>
      <c r="D1192">
        <v>104.99745299999999</v>
      </c>
      <c r="E1192">
        <v>1</v>
      </c>
      <c r="F1192">
        <v>1</v>
      </c>
      <c r="G1192">
        <v>0.26100000000000001</v>
      </c>
      <c r="H1192">
        <v>0</v>
      </c>
      <c r="I1192" t="s">
        <v>0</v>
      </c>
      <c r="J1192" t="s">
        <v>59</v>
      </c>
      <c r="K1192">
        <v>0</v>
      </c>
      <c r="L1192" t="s">
        <v>60</v>
      </c>
      <c r="M1192">
        <v>1</v>
      </c>
      <c r="N1192" t="s">
        <v>67</v>
      </c>
      <c r="O1192" s="2">
        <v>0.51388888888888895</v>
      </c>
      <c r="P1192">
        <f>-0.0064869754*3600</f>
        <v>-23.353111439999999</v>
      </c>
      <c r="Q1192">
        <f>-0.0051078293*3600</f>
        <v>-18.388185480000001</v>
      </c>
    </row>
    <row r="1193" spans="1:17" x14ac:dyDescent="0.3">
      <c r="A1193" s="4" t="s">
        <v>47</v>
      </c>
      <c r="B1193" s="5" t="s">
        <v>795</v>
      </c>
      <c r="C1193">
        <v>98.827157</v>
      </c>
      <c r="D1193">
        <v>104.99743700000001</v>
      </c>
      <c r="E1193">
        <v>1</v>
      </c>
      <c r="F1193">
        <v>1</v>
      </c>
      <c r="G1193">
        <v>0.26100000000000001</v>
      </c>
      <c r="H1193">
        <v>0</v>
      </c>
      <c r="I1193" t="s">
        <v>0</v>
      </c>
      <c r="J1193" t="s">
        <v>59</v>
      </c>
      <c r="K1193">
        <v>0</v>
      </c>
      <c r="L1193" t="s">
        <v>60</v>
      </c>
      <c r="M1193">
        <v>1</v>
      </c>
      <c r="N1193" t="s">
        <v>67</v>
      </c>
      <c r="O1193" s="2">
        <v>0.51388888888888895</v>
      </c>
      <c r="P1193">
        <f>-0.0064529473*3600</f>
        <v>-23.230610280000001</v>
      </c>
      <c r="Q1193">
        <f>-0.0051198361*3600</f>
        <v>-18.43140996</v>
      </c>
    </row>
    <row r="1194" spans="1:17" x14ac:dyDescent="0.3">
      <c r="A1194" s="4" t="s">
        <v>47</v>
      </c>
      <c r="B1194" s="5" t="s">
        <v>796</v>
      </c>
      <c r="C1194">
        <v>98.828136000000001</v>
      </c>
      <c r="D1194">
        <v>104.997468</v>
      </c>
      <c r="E1194">
        <v>1</v>
      </c>
      <c r="F1194">
        <v>1</v>
      </c>
      <c r="G1194">
        <v>0.26100000000000001</v>
      </c>
      <c r="H1194">
        <v>0</v>
      </c>
      <c r="I1194" t="s">
        <v>0</v>
      </c>
      <c r="J1194" t="s">
        <v>59</v>
      </c>
      <c r="K1194">
        <v>0</v>
      </c>
      <c r="L1194" t="s">
        <v>60</v>
      </c>
      <c r="M1194">
        <v>1</v>
      </c>
      <c r="N1194" t="s">
        <v>67</v>
      </c>
      <c r="O1194" s="2">
        <v>0.51388888888888895</v>
      </c>
      <c r="P1194">
        <f>-0.0064476393*3600</f>
        <v>-23.211501480000003</v>
      </c>
      <c r="Q1194">
        <f>-0.0051005118*3600</f>
        <v>-18.36184248</v>
      </c>
    </row>
    <row r="1195" spans="1:17" x14ac:dyDescent="0.3">
      <c r="A1195" s="4" t="s">
        <v>47</v>
      </c>
      <c r="B1195" s="5" t="s">
        <v>797</v>
      </c>
      <c r="C1195">
        <v>98.827432000000002</v>
      </c>
      <c r="D1195">
        <v>104.997472</v>
      </c>
      <c r="E1195">
        <v>1</v>
      </c>
      <c r="F1195">
        <v>1</v>
      </c>
      <c r="G1195">
        <v>0.26100000000000001</v>
      </c>
      <c r="H1195">
        <v>0</v>
      </c>
      <c r="I1195" t="s">
        <v>0</v>
      </c>
      <c r="J1195" t="s">
        <v>59</v>
      </c>
      <c r="K1195">
        <v>0</v>
      </c>
      <c r="L1195" t="s">
        <v>60</v>
      </c>
      <c r="M1195">
        <v>1</v>
      </c>
      <c r="N1195" t="s">
        <v>67</v>
      </c>
      <c r="O1195" s="2">
        <v>0.51388888888888895</v>
      </c>
      <c r="P1195">
        <f>-0.0064216164*3600</f>
        <v>-23.117819040000001</v>
      </c>
      <c r="Q1195">
        <f>-0.0050781194*3600</f>
        <v>-18.281229840000002</v>
      </c>
    </row>
    <row r="1196" spans="1:17" x14ac:dyDescent="0.3">
      <c r="A1196" s="4" t="s">
        <v>47</v>
      </c>
      <c r="B1196" s="5" t="s">
        <v>798</v>
      </c>
      <c r="C1196">
        <v>98.827870000000004</v>
      </c>
      <c r="D1196">
        <v>104.997502</v>
      </c>
      <c r="E1196">
        <v>1</v>
      </c>
      <c r="F1196">
        <v>1</v>
      </c>
      <c r="G1196">
        <v>0.26100000000000001</v>
      </c>
      <c r="H1196">
        <v>0</v>
      </c>
      <c r="I1196" t="s">
        <v>0</v>
      </c>
      <c r="J1196" t="s">
        <v>59</v>
      </c>
      <c r="K1196">
        <v>0</v>
      </c>
      <c r="L1196" t="s">
        <v>60</v>
      </c>
      <c r="M1196">
        <v>1</v>
      </c>
      <c r="N1196" t="s">
        <v>67</v>
      </c>
      <c r="O1196" s="2">
        <v>0.51388888888888895</v>
      </c>
      <c r="P1196">
        <f>-0.0064224368*3600</f>
        <v>-23.120772480000003</v>
      </c>
      <c r="Q1196">
        <f>-0.0050831724*3600</f>
        <v>-18.299420639999997</v>
      </c>
    </row>
    <row r="1197" spans="1:17" x14ac:dyDescent="0.3">
      <c r="A1197" s="4" t="s">
        <v>47</v>
      </c>
      <c r="B1197" s="5" t="s">
        <v>799</v>
      </c>
      <c r="C1197">
        <v>98.827352000000005</v>
      </c>
      <c r="D1197">
        <v>104.997556</v>
      </c>
      <c r="E1197">
        <v>1</v>
      </c>
      <c r="F1197">
        <v>1</v>
      </c>
      <c r="G1197">
        <v>0.26100000000000001</v>
      </c>
      <c r="H1197">
        <v>0</v>
      </c>
      <c r="I1197" t="s">
        <v>0</v>
      </c>
      <c r="J1197" t="s">
        <v>59</v>
      </c>
      <c r="K1197">
        <v>0</v>
      </c>
      <c r="L1197" t="s">
        <v>60</v>
      </c>
      <c r="M1197">
        <v>1</v>
      </c>
      <c r="N1197" t="s">
        <v>67</v>
      </c>
      <c r="O1197" s="2">
        <v>0.51388888888888895</v>
      </c>
      <c r="P1197">
        <f>-0.0064404909*3600</f>
        <v>-23.185767240000001</v>
      </c>
      <c r="Q1197">
        <f>-0.0050234548*3600</f>
        <v>-18.084437280000003</v>
      </c>
    </row>
    <row r="1198" spans="1:17" x14ac:dyDescent="0.3">
      <c r="A1198" s="4" t="s">
        <v>47</v>
      </c>
      <c r="B1198" s="5" t="s">
        <v>800</v>
      </c>
      <c r="C1198">
        <v>98.827775000000003</v>
      </c>
      <c r="D1198">
        <v>104.99755399999999</v>
      </c>
      <c r="E1198">
        <v>1</v>
      </c>
      <c r="F1198">
        <v>1</v>
      </c>
      <c r="G1198">
        <v>0.26100000000000001</v>
      </c>
      <c r="H1198">
        <v>0</v>
      </c>
      <c r="I1198" t="s">
        <v>0</v>
      </c>
      <c r="J1198" t="s">
        <v>59</v>
      </c>
      <c r="K1198">
        <v>0</v>
      </c>
      <c r="L1198" t="s">
        <v>60</v>
      </c>
      <c r="M1198">
        <v>1</v>
      </c>
      <c r="N1198" t="s">
        <v>67</v>
      </c>
      <c r="O1198" s="2">
        <v>0.51388888888888895</v>
      </c>
      <c r="P1198">
        <f>-0.0064271601*3600</f>
        <v>-23.13777636</v>
      </c>
      <c r="Q1198">
        <f>-0.0050122495*3600</f>
        <v>-18.044098199999997</v>
      </c>
    </row>
    <row r="1199" spans="1:17" x14ac:dyDescent="0.3">
      <c r="A1199" s="4" t="s">
        <v>47</v>
      </c>
      <c r="B1199" s="5" t="s">
        <v>801</v>
      </c>
      <c r="C1199">
        <v>98.827157999999997</v>
      </c>
      <c r="D1199">
        <v>104.997497</v>
      </c>
      <c r="E1199">
        <v>1</v>
      </c>
      <c r="F1199">
        <v>1</v>
      </c>
      <c r="G1199">
        <v>0.26100000000000001</v>
      </c>
      <c r="H1199">
        <v>0</v>
      </c>
      <c r="I1199" t="s">
        <v>0</v>
      </c>
      <c r="J1199" t="s">
        <v>59</v>
      </c>
      <c r="K1199">
        <v>0</v>
      </c>
      <c r="L1199" t="s">
        <v>60</v>
      </c>
      <c r="M1199">
        <v>1</v>
      </c>
      <c r="N1199" t="s">
        <v>67</v>
      </c>
      <c r="O1199" s="2">
        <v>0.51388888888888895</v>
      </c>
      <c r="P1199">
        <f>-0.0065426706*3600</f>
        <v>-23.553614159999999</v>
      </c>
      <c r="Q1199">
        <f>-0.0050638771*3600</f>
        <v>-18.229957559999999</v>
      </c>
    </row>
    <row r="1200" spans="1:17" x14ac:dyDescent="0.3">
      <c r="A1200" s="4" t="s">
        <v>47</v>
      </c>
      <c r="B1200" s="5" t="s">
        <v>802</v>
      </c>
      <c r="C1200">
        <v>98.827296000000004</v>
      </c>
      <c r="D1200">
        <v>104.99757700000001</v>
      </c>
      <c r="E1200">
        <v>1</v>
      </c>
      <c r="F1200">
        <v>1</v>
      </c>
      <c r="G1200">
        <v>0.26100000000000001</v>
      </c>
      <c r="H1200">
        <v>0</v>
      </c>
      <c r="I1200" t="s">
        <v>0</v>
      </c>
      <c r="J1200" t="s">
        <v>59</v>
      </c>
      <c r="K1200">
        <v>0</v>
      </c>
      <c r="L1200" t="s">
        <v>60</v>
      </c>
      <c r="M1200">
        <v>1</v>
      </c>
      <c r="N1200" t="s">
        <v>67</v>
      </c>
      <c r="O1200" s="2">
        <v>0.51388888888888895</v>
      </c>
      <c r="P1200">
        <f>-0.0065621375*3600</f>
        <v>-23.623694999999998</v>
      </c>
      <c r="Q1200">
        <f>-0.004984123*3600</f>
        <v>-17.942842800000001</v>
      </c>
    </row>
    <row r="1201" spans="1:17" x14ac:dyDescent="0.3">
      <c r="A1201" s="4" t="s">
        <v>47</v>
      </c>
      <c r="B1201" s="5" t="s">
        <v>803</v>
      </c>
      <c r="C1201">
        <v>98.827138000000005</v>
      </c>
      <c r="D1201">
        <v>104.99754900000001</v>
      </c>
      <c r="E1201">
        <v>1</v>
      </c>
      <c r="F1201">
        <v>1</v>
      </c>
      <c r="G1201">
        <v>0.26100000000000001</v>
      </c>
      <c r="H1201">
        <v>0</v>
      </c>
      <c r="I1201" t="s">
        <v>0</v>
      </c>
      <c r="J1201" t="s">
        <v>59</v>
      </c>
      <c r="K1201">
        <v>0</v>
      </c>
      <c r="L1201" t="s">
        <v>60</v>
      </c>
      <c r="M1201">
        <v>1</v>
      </c>
      <c r="N1201" t="s">
        <v>67</v>
      </c>
      <c r="O1201" s="2">
        <v>0.51388888888888895</v>
      </c>
      <c r="P1201">
        <f>-0.0066196697*3600</f>
        <v>-23.830810919999998</v>
      </c>
      <c r="Q1201">
        <f>-0.005025003*3600</f>
        <v>-18.090010800000002</v>
      </c>
    </row>
    <row r="1202" spans="1:17" x14ac:dyDescent="0.3">
      <c r="A1202" s="4" t="s">
        <v>47</v>
      </c>
      <c r="B1202" s="5" t="s">
        <v>804</v>
      </c>
      <c r="C1202">
        <v>98.828012000000001</v>
      </c>
      <c r="D1202">
        <v>104.99743599999999</v>
      </c>
      <c r="E1202">
        <v>1</v>
      </c>
      <c r="F1202">
        <v>1</v>
      </c>
      <c r="G1202">
        <v>0.26100000000000001</v>
      </c>
      <c r="H1202">
        <v>0</v>
      </c>
      <c r="I1202" t="s">
        <v>0</v>
      </c>
      <c r="J1202" t="s">
        <v>59</v>
      </c>
      <c r="K1202">
        <v>0</v>
      </c>
      <c r="L1202" t="s">
        <v>60</v>
      </c>
      <c r="M1202">
        <v>1</v>
      </c>
      <c r="N1202" t="s">
        <v>67</v>
      </c>
      <c r="O1202" s="2">
        <v>0.51388888888888895</v>
      </c>
      <c r="P1202">
        <f>-0.0065336023*3600</f>
        <v>-23.520968280000002</v>
      </c>
      <c r="Q1202">
        <f>-0.00513682*3600</f>
        <v>-18.492552</v>
      </c>
    </row>
    <row r="1203" spans="1:17" x14ac:dyDescent="0.3">
      <c r="A1203" s="4" t="s">
        <v>47</v>
      </c>
      <c r="B1203" s="5" t="s">
        <v>805</v>
      </c>
      <c r="C1203">
        <v>98.827543000000006</v>
      </c>
      <c r="D1203">
        <v>104.997467</v>
      </c>
      <c r="E1203">
        <v>1</v>
      </c>
      <c r="F1203">
        <v>1</v>
      </c>
      <c r="G1203">
        <v>0.26100000000000001</v>
      </c>
      <c r="H1203">
        <v>0</v>
      </c>
      <c r="I1203" t="s">
        <v>0</v>
      </c>
      <c r="J1203" t="s">
        <v>59</v>
      </c>
      <c r="K1203">
        <v>0</v>
      </c>
      <c r="L1203" t="s">
        <v>60</v>
      </c>
      <c r="M1203">
        <v>1</v>
      </c>
      <c r="N1203" t="s">
        <v>67</v>
      </c>
      <c r="O1203" s="2">
        <v>0.51388888888888895</v>
      </c>
      <c r="P1203">
        <f>-0.0065638045*3600</f>
        <v>-23.629696200000001</v>
      </c>
      <c r="Q1203">
        <f>-0.0051058113*3600</f>
        <v>-18.380920679999999</v>
      </c>
    </row>
    <row r="1204" spans="1:17" x14ac:dyDescent="0.3">
      <c r="A1204" s="4" t="s">
        <v>47</v>
      </c>
      <c r="B1204" s="5" t="s">
        <v>806</v>
      </c>
      <c r="C1204">
        <v>98.827100999999999</v>
      </c>
      <c r="D1204">
        <v>104.997472</v>
      </c>
      <c r="E1204">
        <v>1</v>
      </c>
      <c r="F1204">
        <v>1</v>
      </c>
      <c r="G1204">
        <v>0.26100000000000001</v>
      </c>
      <c r="H1204">
        <v>0</v>
      </c>
      <c r="I1204" t="s">
        <v>0</v>
      </c>
      <c r="J1204" t="s">
        <v>59</v>
      </c>
      <c r="K1204">
        <v>0</v>
      </c>
      <c r="L1204" t="s">
        <v>60</v>
      </c>
      <c r="M1204">
        <v>1</v>
      </c>
      <c r="N1204" t="s">
        <v>67</v>
      </c>
      <c r="O1204" s="2">
        <v>0.51388888888888895</v>
      </c>
      <c r="P1204">
        <f>-0.00654786*3600</f>
        <v>-23.572296000000001</v>
      </c>
      <c r="Q1204">
        <f>-0.005093404*3600</f>
        <v>-18.336254400000001</v>
      </c>
    </row>
    <row r="1205" spans="1:17" x14ac:dyDescent="0.3">
      <c r="A1205" s="4" t="s">
        <v>47</v>
      </c>
      <c r="B1205" s="5" t="s">
        <v>807</v>
      </c>
      <c r="C1205">
        <v>98.827357000000006</v>
      </c>
      <c r="D1205">
        <v>104.997469</v>
      </c>
      <c r="E1205">
        <v>1</v>
      </c>
      <c r="F1205">
        <v>1</v>
      </c>
      <c r="G1205">
        <v>0.26100000000000001</v>
      </c>
      <c r="H1205">
        <v>0</v>
      </c>
      <c r="I1205" t="s">
        <v>0</v>
      </c>
      <c r="J1205" t="s">
        <v>59</v>
      </c>
      <c r="K1205">
        <v>0</v>
      </c>
      <c r="L1205" t="s">
        <v>60</v>
      </c>
      <c r="M1205">
        <v>1</v>
      </c>
      <c r="N1205" t="s">
        <v>67</v>
      </c>
      <c r="O1205" s="2">
        <v>0.51388888888888895</v>
      </c>
      <c r="P1205">
        <f>-0.0064977878*3600</f>
        <v>-23.39203608</v>
      </c>
      <c r="Q1205">
        <f>-0.0050948044*3600</f>
        <v>-18.341295840000001</v>
      </c>
    </row>
    <row r="1206" spans="1:17" x14ac:dyDescent="0.3">
      <c r="A1206" s="4" t="s">
        <v>47</v>
      </c>
      <c r="B1206" s="5" t="s">
        <v>808</v>
      </c>
      <c r="C1206">
        <v>98.827136999999993</v>
      </c>
      <c r="D1206">
        <v>104.997455</v>
      </c>
      <c r="E1206">
        <v>1</v>
      </c>
      <c r="F1206">
        <v>1</v>
      </c>
      <c r="G1206">
        <v>0.26100000000000001</v>
      </c>
      <c r="H1206">
        <v>0</v>
      </c>
      <c r="I1206" t="s">
        <v>0</v>
      </c>
      <c r="J1206" t="s">
        <v>59</v>
      </c>
      <c r="K1206">
        <v>0</v>
      </c>
      <c r="L1206" t="s">
        <v>60</v>
      </c>
      <c r="M1206">
        <v>1</v>
      </c>
      <c r="N1206" t="s">
        <v>67</v>
      </c>
      <c r="O1206" s="2">
        <v>0.51388888888888895</v>
      </c>
      <c r="P1206">
        <f>-0.0065461835*3600</f>
        <v>-23.5662606</v>
      </c>
      <c r="Q1206">
        <f>-0.0051138831*3600</f>
        <v>-18.409979159999999</v>
      </c>
    </row>
    <row r="1207" spans="1:17" x14ac:dyDescent="0.3">
      <c r="A1207" s="4" t="s">
        <v>47</v>
      </c>
      <c r="B1207" s="5" t="s">
        <v>809</v>
      </c>
      <c r="C1207">
        <v>98.827475000000007</v>
      </c>
      <c r="D1207">
        <v>104.997508</v>
      </c>
      <c r="E1207">
        <v>1</v>
      </c>
      <c r="F1207">
        <v>1</v>
      </c>
      <c r="G1207">
        <v>0.26100000000000001</v>
      </c>
      <c r="H1207">
        <v>0</v>
      </c>
      <c r="I1207" t="s">
        <v>0</v>
      </c>
      <c r="J1207" t="s">
        <v>59</v>
      </c>
      <c r="K1207">
        <v>0</v>
      </c>
      <c r="L1207" t="s">
        <v>60</v>
      </c>
      <c r="M1207">
        <v>1</v>
      </c>
      <c r="N1207" t="s">
        <v>67</v>
      </c>
      <c r="O1207" s="2">
        <v>0.51388888888888895</v>
      </c>
      <c r="P1207">
        <f>-0.006482325*3600</f>
        <v>-23.336369999999999</v>
      </c>
      <c r="Q1207">
        <f>-0.0050693273*3600</f>
        <v>-18.249578279999998</v>
      </c>
    </row>
    <row r="1208" spans="1:17" x14ac:dyDescent="0.3">
      <c r="A1208" s="4" t="s">
        <v>47</v>
      </c>
      <c r="B1208" s="5" t="s">
        <v>810</v>
      </c>
      <c r="C1208">
        <v>98.827517999999998</v>
      </c>
      <c r="D1208">
        <v>104.99745900000001</v>
      </c>
      <c r="E1208">
        <v>1</v>
      </c>
      <c r="F1208">
        <v>1</v>
      </c>
      <c r="G1208">
        <v>0.26100000000000001</v>
      </c>
      <c r="H1208">
        <v>0</v>
      </c>
      <c r="I1208" t="s">
        <v>0</v>
      </c>
      <c r="J1208" t="s">
        <v>59</v>
      </c>
      <c r="K1208">
        <v>0</v>
      </c>
      <c r="L1208" t="s">
        <v>60</v>
      </c>
      <c r="M1208">
        <v>1</v>
      </c>
      <c r="N1208" t="s">
        <v>67</v>
      </c>
      <c r="O1208" s="2">
        <v>0.51388888888888895</v>
      </c>
      <c r="P1208">
        <f>-0.0064203223*3600</f>
        <v>-23.113160279999999</v>
      </c>
      <c r="Q1208">
        <f>-0.0051105436*3600</f>
        <v>-18.397956959999998</v>
      </c>
    </row>
    <row r="1209" spans="1:17" x14ac:dyDescent="0.3">
      <c r="A1209" s="4" t="s">
        <v>47</v>
      </c>
      <c r="B1209" s="5" t="s">
        <v>811</v>
      </c>
      <c r="C1209">
        <v>98.827213</v>
      </c>
      <c r="D1209">
        <v>104.997524</v>
      </c>
      <c r="E1209">
        <v>1</v>
      </c>
      <c r="F1209">
        <v>1</v>
      </c>
      <c r="G1209">
        <v>0.26100000000000001</v>
      </c>
      <c r="H1209">
        <v>0</v>
      </c>
      <c r="I1209" t="s">
        <v>0</v>
      </c>
      <c r="J1209" t="s">
        <v>59</v>
      </c>
      <c r="K1209">
        <v>0</v>
      </c>
      <c r="L1209" t="s">
        <v>60</v>
      </c>
      <c r="M1209">
        <v>1</v>
      </c>
      <c r="N1209" t="s">
        <v>67</v>
      </c>
      <c r="O1209" s="2">
        <v>0.51388888888888895</v>
      </c>
      <c r="P1209">
        <f>-0.0064988381*3600</f>
        <v>-23.39581716</v>
      </c>
      <c r="Q1209">
        <f>-0.0050379886*3600</f>
        <v>-18.136758960000002</v>
      </c>
    </row>
    <row r="1210" spans="1:17" x14ac:dyDescent="0.3">
      <c r="A1210" s="4" t="s">
        <v>47</v>
      </c>
      <c r="B1210" s="5" t="s">
        <v>812</v>
      </c>
      <c r="C1210">
        <v>98.827260999999993</v>
      </c>
      <c r="D1210">
        <v>104.99745900000001</v>
      </c>
      <c r="E1210">
        <v>1</v>
      </c>
      <c r="F1210">
        <v>1</v>
      </c>
      <c r="G1210">
        <v>0.26100000000000001</v>
      </c>
      <c r="H1210">
        <v>0</v>
      </c>
      <c r="I1210" t="s">
        <v>0</v>
      </c>
      <c r="J1210" t="s">
        <v>59</v>
      </c>
      <c r="K1210">
        <v>0</v>
      </c>
      <c r="L1210" t="s">
        <v>60</v>
      </c>
      <c r="M1210">
        <v>1</v>
      </c>
      <c r="N1210" t="s">
        <v>67</v>
      </c>
      <c r="O1210" s="2">
        <v>0.51388888888888895</v>
      </c>
      <c r="P1210">
        <f>-0.0065229475*3600</f>
        <v>-23.482610999999999</v>
      </c>
      <c r="Q1210">
        <f>-0.0051284884*3600</f>
        <v>-18.46255824</v>
      </c>
    </row>
    <row r="1211" spans="1:17" x14ac:dyDescent="0.3">
      <c r="A1211" s="4" t="s">
        <v>47</v>
      </c>
      <c r="B1211" s="5" t="s">
        <v>813</v>
      </c>
      <c r="C1211">
        <v>98.827726999999996</v>
      </c>
      <c r="D1211">
        <v>104.997388</v>
      </c>
      <c r="E1211">
        <v>1</v>
      </c>
      <c r="F1211">
        <v>1</v>
      </c>
      <c r="G1211">
        <v>0.26100000000000001</v>
      </c>
      <c r="H1211">
        <v>0</v>
      </c>
      <c r="I1211" t="s">
        <v>0</v>
      </c>
      <c r="J1211" t="s">
        <v>59</v>
      </c>
      <c r="K1211">
        <v>0</v>
      </c>
      <c r="L1211" t="s">
        <v>60</v>
      </c>
      <c r="M1211">
        <v>1</v>
      </c>
      <c r="N1211" t="s">
        <v>67</v>
      </c>
      <c r="O1211" s="2">
        <v>0.51388888888888895</v>
      </c>
      <c r="P1211">
        <f>-0.00644642*3600</f>
        <v>-23.207111999999999</v>
      </c>
      <c r="Q1211">
        <f>-0.0052077544*3600</f>
        <v>-18.747915840000001</v>
      </c>
    </row>
    <row r="1212" spans="1:17" x14ac:dyDescent="0.3">
      <c r="A1212" s="4" t="s">
        <v>47</v>
      </c>
      <c r="B1212" s="5" t="s">
        <v>814</v>
      </c>
      <c r="C1212">
        <v>98.827293999999995</v>
      </c>
      <c r="D1212">
        <v>104.997429</v>
      </c>
      <c r="E1212">
        <v>1</v>
      </c>
      <c r="F1212">
        <v>1</v>
      </c>
      <c r="G1212">
        <v>0.26100000000000001</v>
      </c>
      <c r="H1212">
        <v>0</v>
      </c>
      <c r="I1212" t="s">
        <v>0</v>
      </c>
      <c r="J1212" t="s">
        <v>59</v>
      </c>
      <c r="K1212">
        <v>0</v>
      </c>
      <c r="L1212" t="s">
        <v>60</v>
      </c>
      <c r="M1212">
        <v>1</v>
      </c>
      <c r="N1212" t="s">
        <v>67</v>
      </c>
      <c r="O1212" s="2">
        <v>0.51388888888888895</v>
      </c>
      <c r="P1212">
        <f>-0.0064677604*3600</f>
        <v>-23.283937439999999</v>
      </c>
      <c r="Q1212">
        <f>-0.0051138417*3600</f>
        <v>-18.409830119999999</v>
      </c>
    </row>
    <row r="1213" spans="1:17" x14ac:dyDescent="0.3">
      <c r="A1213" s="4" t="s">
        <v>47</v>
      </c>
      <c r="B1213" s="5" t="s">
        <v>815</v>
      </c>
      <c r="C1213">
        <v>98.828142</v>
      </c>
      <c r="D1213">
        <v>104.99744</v>
      </c>
      <c r="E1213">
        <v>1</v>
      </c>
      <c r="F1213">
        <v>1</v>
      </c>
      <c r="G1213">
        <v>0.26100000000000001</v>
      </c>
      <c r="H1213">
        <v>0</v>
      </c>
      <c r="I1213" t="s">
        <v>0</v>
      </c>
      <c r="J1213" t="s">
        <v>59</v>
      </c>
      <c r="K1213">
        <v>0</v>
      </c>
      <c r="L1213" t="s">
        <v>60</v>
      </c>
      <c r="M1213">
        <v>1</v>
      </c>
      <c r="N1213" t="s">
        <v>67</v>
      </c>
      <c r="O1213" s="2">
        <v>0.51388888888888895</v>
      </c>
      <c r="P1213">
        <f>-0.0065092216*3600</f>
        <v>-23.433197759999999</v>
      </c>
      <c r="Q1213">
        <f>-0.0051354931*3600</f>
        <v>-18.487775160000002</v>
      </c>
    </row>
    <row r="1214" spans="1:17" x14ac:dyDescent="0.3">
      <c r="A1214" s="4" t="s">
        <v>47</v>
      </c>
      <c r="B1214" s="5" t="s">
        <v>816</v>
      </c>
      <c r="C1214">
        <v>98.827315999999996</v>
      </c>
      <c r="D1214">
        <v>104.99750899999999</v>
      </c>
      <c r="E1214">
        <v>1</v>
      </c>
      <c r="F1214">
        <v>1</v>
      </c>
      <c r="G1214">
        <v>0.26100000000000001</v>
      </c>
      <c r="H1214">
        <v>0</v>
      </c>
      <c r="I1214" t="s">
        <v>0</v>
      </c>
      <c r="J1214" t="s">
        <v>59</v>
      </c>
      <c r="K1214">
        <v>0</v>
      </c>
      <c r="L1214" t="s">
        <v>60</v>
      </c>
      <c r="M1214">
        <v>1</v>
      </c>
      <c r="N1214" t="s">
        <v>67</v>
      </c>
      <c r="O1214" s="2">
        <v>0.51388888888888895</v>
      </c>
      <c r="P1214">
        <f>-0.0064332565*3600</f>
        <v>-23.159723400000001</v>
      </c>
      <c r="Q1214">
        <f>-0.0050750295*3600</f>
        <v>-18.270106200000001</v>
      </c>
    </row>
    <row r="1215" spans="1:17" x14ac:dyDescent="0.3">
      <c r="A1215" s="4" t="s">
        <v>47</v>
      </c>
      <c r="B1215" s="5" t="s">
        <v>817</v>
      </c>
      <c r="C1215">
        <v>98.827378999999993</v>
      </c>
      <c r="D1215">
        <v>104.997502</v>
      </c>
      <c r="E1215">
        <v>1</v>
      </c>
      <c r="F1215">
        <v>1</v>
      </c>
      <c r="G1215">
        <v>0.26100000000000001</v>
      </c>
      <c r="H1215">
        <v>0</v>
      </c>
      <c r="I1215" t="s">
        <v>0</v>
      </c>
      <c r="J1215" t="s">
        <v>59</v>
      </c>
      <c r="K1215">
        <v>0</v>
      </c>
      <c r="L1215" t="s">
        <v>60</v>
      </c>
      <c r="M1215">
        <v>1</v>
      </c>
      <c r="N1215" t="s">
        <v>67</v>
      </c>
      <c r="O1215" s="2">
        <v>0.51388888888888895</v>
      </c>
      <c r="P1215">
        <f>-0.0064589565*3600</f>
        <v>-23.252243399999998</v>
      </c>
      <c r="Q1215">
        <f>-0.0050864387*3600</f>
        <v>-18.311179320000001</v>
      </c>
    </row>
    <row r="1216" spans="1:17" x14ac:dyDescent="0.3">
      <c r="A1216" s="4" t="s">
        <v>47</v>
      </c>
      <c r="B1216" s="5" t="s">
        <v>818</v>
      </c>
      <c r="C1216">
        <v>98.827956</v>
      </c>
      <c r="D1216">
        <v>104.99746500000001</v>
      </c>
      <c r="E1216">
        <v>1</v>
      </c>
      <c r="F1216">
        <v>1</v>
      </c>
      <c r="G1216">
        <v>0.26100000000000001</v>
      </c>
      <c r="H1216">
        <v>0</v>
      </c>
      <c r="I1216" t="s">
        <v>0</v>
      </c>
      <c r="J1216" t="s">
        <v>59</v>
      </c>
      <c r="K1216">
        <v>0</v>
      </c>
      <c r="L1216" t="s">
        <v>60</v>
      </c>
      <c r="M1216">
        <v>1</v>
      </c>
      <c r="N1216" t="s">
        <v>67</v>
      </c>
      <c r="O1216" s="2">
        <v>0.51388888888888895</v>
      </c>
      <c r="P1216">
        <f>-0.0064343693*3600</f>
        <v>-23.163729480000001</v>
      </c>
      <c r="Q1216">
        <f>-0.0051049164*3600</f>
        <v>-18.37769904</v>
      </c>
    </row>
    <row r="1217" spans="1:17" x14ac:dyDescent="0.3">
      <c r="A1217" s="4" t="s">
        <v>47</v>
      </c>
      <c r="B1217" s="5" t="s">
        <v>819</v>
      </c>
      <c r="C1217">
        <v>98.827572000000004</v>
      </c>
      <c r="D1217">
        <v>104.997439</v>
      </c>
      <c r="E1217">
        <v>1</v>
      </c>
      <c r="F1217">
        <v>1</v>
      </c>
      <c r="G1217">
        <v>0.26100000000000001</v>
      </c>
      <c r="H1217">
        <v>0</v>
      </c>
      <c r="I1217" t="s">
        <v>0</v>
      </c>
      <c r="J1217" t="s">
        <v>59</v>
      </c>
      <c r="K1217">
        <v>0</v>
      </c>
      <c r="L1217" t="s">
        <v>60</v>
      </c>
      <c r="M1217">
        <v>1</v>
      </c>
      <c r="N1217" t="s">
        <v>67</v>
      </c>
      <c r="O1217" s="2">
        <v>0.51388888888888895</v>
      </c>
      <c r="P1217">
        <f>-0.0065043438*3600</f>
        <v>-23.41563768</v>
      </c>
      <c r="Q1217">
        <f>-0.0051434421*3600</f>
        <v>-18.516391560000002</v>
      </c>
    </row>
    <row r="1218" spans="1:17" x14ac:dyDescent="0.3">
      <c r="A1218" s="4" t="s">
        <v>47</v>
      </c>
      <c r="B1218" s="5" t="s">
        <v>820</v>
      </c>
      <c r="C1218">
        <v>98.827349999999996</v>
      </c>
      <c r="D1218">
        <v>104.997427</v>
      </c>
      <c r="E1218">
        <v>1</v>
      </c>
      <c r="F1218">
        <v>1</v>
      </c>
      <c r="G1218">
        <v>0.26100000000000001</v>
      </c>
      <c r="H1218">
        <v>0</v>
      </c>
      <c r="I1218" t="s">
        <v>0</v>
      </c>
      <c r="J1218" t="s">
        <v>59</v>
      </c>
      <c r="K1218">
        <v>0</v>
      </c>
      <c r="L1218" t="s">
        <v>60</v>
      </c>
      <c r="M1218">
        <v>1</v>
      </c>
      <c r="N1218" t="s">
        <v>67</v>
      </c>
      <c r="O1218" s="2">
        <v>0.51388888888888895</v>
      </c>
      <c r="P1218">
        <f>-0.0064625057*3600</f>
        <v>-23.26502052</v>
      </c>
      <c r="Q1218">
        <f>-0.0051627621*3600</f>
        <v>-18.58594356</v>
      </c>
    </row>
    <row r="1219" spans="1:17" x14ac:dyDescent="0.3">
      <c r="A1219" s="4" t="s">
        <v>47</v>
      </c>
      <c r="B1219" s="5" t="s">
        <v>821</v>
      </c>
      <c r="C1219">
        <v>98.827116000000004</v>
      </c>
      <c r="D1219">
        <v>104.997507</v>
      </c>
      <c r="E1219">
        <v>1</v>
      </c>
      <c r="F1219">
        <v>1</v>
      </c>
      <c r="G1219">
        <v>0.26100000000000001</v>
      </c>
      <c r="H1219">
        <v>0</v>
      </c>
      <c r="I1219" t="s">
        <v>0</v>
      </c>
      <c r="J1219" t="s">
        <v>59</v>
      </c>
      <c r="K1219">
        <v>0</v>
      </c>
      <c r="L1219" t="s">
        <v>60</v>
      </c>
      <c r="M1219">
        <v>1</v>
      </c>
      <c r="N1219" t="s">
        <v>67</v>
      </c>
      <c r="O1219" s="2">
        <v>0.51388888888888895</v>
      </c>
      <c r="P1219">
        <f>-0.0064181441*3600</f>
        <v>-23.105318759999999</v>
      </c>
      <c r="Q1219">
        <f>-0.0050957496*3600</f>
        <v>-18.344698560000001</v>
      </c>
    </row>
    <row r="1220" spans="1:17" x14ac:dyDescent="0.3">
      <c r="A1220" s="4" t="s">
        <v>47</v>
      </c>
      <c r="B1220" s="5" t="s">
        <v>822</v>
      </c>
      <c r="C1220">
        <v>98.827037000000004</v>
      </c>
      <c r="D1220">
        <v>104.997524</v>
      </c>
      <c r="E1220">
        <v>1</v>
      </c>
      <c r="F1220">
        <v>1</v>
      </c>
      <c r="G1220">
        <v>0.26100000000000001</v>
      </c>
      <c r="H1220">
        <v>0</v>
      </c>
      <c r="I1220" t="s">
        <v>0</v>
      </c>
      <c r="J1220" t="s">
        <v>59</v>
      </c>
      <c r="K1220">
        <v>0</v>
      </c>
      <c r="L1220" t="s">
        <v>60</v>
      </c>
      <c r="M1220">
        <v>1</v>
      </c>
      <c r="N1220" t="s">
        <v>67</v>
      </c>
      <c r="O1220" s="2">
        <v>0.51388888888888895</v>
      </c>
      <c r="P1220">
        <f>-0.0064364235*3600</f>
        <v>-23.171124599999999</v>
      </c>
      <c r="Q1220">
        <f>-0.0050743863*3600</f>
        <v>-18.267790680000001</v>
      </c>
    </row>
    <row r="1221" spans="1:17" x14ac:dyDescent="0.3">
      <c r="A1221" s="4" t="s">
        <v>47</v>
      </c>
      <c r="B1221" s="5" t="s">
        <v>823</v>
      </c>
      <c r="C1221">
        <v>98.827054000000004</v>
      </c>
      <c r="D1221">
        <v>104.997483</v>
      </c>
      <c r="E1221">
        <v>1</v>
      </c>
      <c r="F1221">
        <v>1</v>
      </c>
      <c r="G1221">
        <v>0.26100000000000001</v>
      </c>
      <c r="H1221">
        <v>0</v>
      </c>
      <c r="I1221" t="s">
        <v>0</v>
      </c>
      <c r="J1221" t="s">
        <v>59</v>
      </c>
      <c r="K1221">
        <v>0</v>
      </c>
      <c r="L1221" t="s">
        <v>60</v>
      </c>
      <c r="M1221">
        <v>1</v>
      </c>
      <c r="N1221" t="s">
        <v>67</v>
      </c>
      <c r="O1221" s="2">
        <v>0.51388888888888895</v>
      </c>
      <c r="P1221">
        <f>-0.0064322394*3600</f>
        <v>-23.15606184</v>
      </c>
      <c r="Q1221">
        <f>-0.0051056231*3600</f>
        <v>-18.380243159999999</v>
      </c>
    </row>
    <row r="1222" spans="1:17" x14ac:dyDescent="0.3">
      <c r="A1222" s="4" t="s">
        <v>47</v>
      </c>
      <c r="B1222" s="5" t="s">
        <v>824</v>
      </c>
      <c r="C1222">
        <v>98.827421999999999</v>
      </c>
      <c r="D1222">
        <v>104.9975</v>
      </c>
      <c r="E1222">
        <v>1</v>
      </c>
      <c r="F1222">
        <v>1</v>
      </c>
      <c r="G1222">
        <v>0.26100000000000001</v>
      </c>
      <c r="H1222">
        <v>0</v>
      </c>
      <c r="I1222" t="s">
        <v>0</v>
      </c>
      <c r="J1222" t="s">
        <v>59</v>
      </c>
      <c r="K1222">
        <v>0</v>
      </c>
      <c r="L1222" t="s">
        <v>60</v>
      </c>
      <c r="M1222">
        <v>1</v>
      </c>
      <c r="N1222" t="s">
        <v>67</v>
      </c>
      <c r="O1222" s="2">
        <v>0.51388888888888895</v>
      </c>
      <c r="P1222">
        <f>-0.0064889516*3600</f>
        <v>-23.360225759999999</v>
      </c>
      <c r="Q1222">
        <f>-0.005110711*3600</f>
        <v>-18.398559600000002</v>
      </c>
    </row>
    <row r="1223" spans="1:17" x14ac:dyDescent="0.3">
      <c r="A1223" s="4" t="s">
        <v>47</v>
      </c>
      <c r="B1223" s="5" t="s">
        <v>825</v>
      </c>
      <c r="C1223">
        <v>98.827006999999995</v>
      </c>
      <c r="D1223">
        <v>104.99761700000001</v>
      </c>
      <c r="E1223">
        <v>1</v>
      </c>
      <c r="F1223">
        <v>1</v>
      </c>
      <c r="G1223">
        <v>0.26100000000000001</v>
      </c>
      <c r="H1223">
        <v>0</v>
      </c>
      <c r="I1223" t="s">
        <v>0</v>
      </c>
      <c r="J1223" t="s">
        <v>59</v>
      </c>
      <c r="K1223">
        <v>0</v>
      </c>
      <c r="L1223" t="s">
        <v>60</v>
      </c>
      <c r="M1223">
        <v>1</v>
      </c>
      <c r="N1223" t="s">
        <v>67</v>
      </c>
      <c r="O1223" s="2">
        <v>0.51458333333333328</v>
      </c>
      <c r="P1223">
        <f>-0.0059165522*3600</f>
        <v>-21.29958792</v>
      </c>
      <c r="Q1223">
        <f>-0.0050495333*3600</f>
        <v>-18.17831988</v>
      </c>
    </row>
    <row r="1224" spans="1:17" x14ac:dyDescent="0.3">
      <c r="A1224" s="4" t="s">
        <v>47</v>
      </c>
      <c r="B1224" s="5" t="s">
        <v>826</v>
      </c>
      <c r="C1224">
        <v>98.827292999999997</v>
      </c>
      <c r="D1224">
        <v>104.997519</v>
      </c>
      <c r="E1224">
        <v>1</v>
      </c>
      <c r="F1224">
        <v>1</v>
      </c>
      <c r="G1224">
        <v>0.26100000000000001</v>
      </c>
      <c r="H1224">
        <v>0</v>
      </c>
      <c r="I1224" t="s">
        <v>0</v>
      </c>
      <c r="J1224" t="s">
        <v>59</v>
      </c>
      <c r="K1224">
        <v>0</v>
      </c>
      <c r="L1224" t="s">
        <v>60</v>
      </c>
      <c r="M1224">
        <v>1</v>
      </c>
      <c r="N1224" t="s">
        <v>67</v>
      </c>
      <c r="O1224" s="2">
        <v>0.51458333333333328</v>
      </c>
      <c r="P1224">
        <f>-0.0059263053*3600</f>
        <v>-21.33469908</v>
      </c>
      <c r="Q1224">
        <f>-0.0051472503*3600</f>
        <v>-18.530101079999998</v>
      </c>
    </row>
    <row r="1225" spans="1:17" x14ac:dyDescent="0.3">
      <c r="A1225" s="4" t="s">
        <v>47</v>
      </c>
      <c r="B1225" s="5" t="s">
        <v>827</v>
      </c>
      <c r="C1225">
        <v>98.827100000000002</v>
      </c>
      <c r="D1225">
        <v>104.997584</v>
      </c>
      <c r="E1225">
        <v>1</v>
      </c>
      <c r="F1225">
        <v>1</v>
      </c>
      <c r="G1225">
        <v>0.26100000000000001</v>
      </c>
      <c r="H1225">
        <v>0</v>
      </c>
      <c r="I1225" t="s">
        <v>0</v>
      </c>
      <c r="J1225" t="s">
        <v>59</v>
      </c>
      <c r="K1225">
        <v>0</v>
      </c>
      <c r="L1225" t="s">
        <v>60</v>
      </c>
      <c r="M1225">
        <v>1</v>
      </c>
      <c r="N1225" t="s">
        <v>67</v>
      </c>
      <c r="O1225" s="2">
        <v>0.51458333333333328</v>
      </c>
      <c r="P1225">
        <f>-0.0060845572*3600</f>
        <v>-21.904405919999999</v>
      </c>
      <c r="Q1225">
        <f>-0.0050932869*3600</f>
        <v>-18.335832839999998</v>
      </c>
    </row>
    <row r="1226" spans="1:17" x14ac:dyDescent="0.3">
      <c r="A1226" s="4" t="s">
        <v>47</v>
      </c>
      <c r="B1226" s="6" t="s">
        <v>828</v>
      </c>
      <c r="C1226">
        <v>298.827067</v>
      </c>
      <c r="D1226">
        <v>295.04537699999997</v>
      </c>
      <c r="E1226">
        <v>19.663399999999999</v>
      </c>
      <c r="F1226">
        <v>19.6004</v>
      </c>
      <c r="G1226">
        <v>0.26100000000000001</v>
      </c>
      <c r="H1226">
        <v>0</v>
      </c>
      <c r="I1226" t="s">
        <v>0</v>
      </c>
      <c r="J1226" t="s">
        <v>59</v>
      </c>
      <c r="K1226">
        <v>3.4000000000000002E-2</v>
      </c>
      <c r="L1226" t="s">
        <v>60</v>
      </c>
      <c r="M1226">
        <v>1</v>
      </c>
      <c r="N1226" t="s">
        <v>53</v>
      </c>
      <c r="O1226" s="2">
        <v>0.51458333333333328</v>
      </c>
      <c r="P1226">
        <f>0.0054948477*3600</f>
        <v>19.781451720000003</v>
      </c>
      <c r="Q1226">
        <f>0.0043456429*3600</f>
        <v>15.64431444</v>
      </c>
    </row>
    <row r="1227" spans="1:17" x14ac:dyDescent="0.3">
      <c r="A1227" s="4" t="s">
        <v>47</v>
      </c>
      <c r="B1227" s="6" t="s">
        <v>829</v>
      </c>
      <c r="C1227">
        <v>298.82655099999999</v>
      </c>
      <c r="D1227">
        <v>294.99829999999997</v>
      </c>
      <c r="E1227">
        <v>1</v>
      </c>
      <c r="F1227">
        <v>1</v>
      </c>
      <c r="G1227">
        <v>0.26100000000000001</v>
      </c>
      <c r="H1227">
        <v>0</v>
      </c>
      <c r="I1227" t="s">
        <v>0</v>
      </c>
      <c r="J1227" t="s">
        <v>59</v>
      </c>
      <c r="K1227">
        <v>0</v>
      </c>
      <c r="L1227" t="s">
        <v>60</v>
      </c>
      <c r="M1227">
        <v>1</v>
      </c>
      <c r="N1227" t="s">
        <v>67</v>
      </c>
      <c r="O1227" s="2">
        <v>0.51458333333333328</v>
      </c>
      <c r="P1227">
        <f>0.0054854491*3600</f>
        <v>19.74761676</v>
      </c>
      <c r="Q1227">
        <f>0.0045539728*3600</f>
        <v>16.394302079999999</v>
      </c>
    </row>
    <row r="1228" spans="1:17" x14ac:dyDescent="0.3">
      <c r="A1228" s="4" t="s">
        <v>47</v>
      </c>
      <c r="B1228" s="6" t="s">
        <v>830</v>
      </c>
      <c r="C1228">
        <v>298.826571</v>
      </c>
      <c r="D1228">
        <v>294.99825700000002</v>
      </c>
      <c r="E1228">
        <v>1</v>
      </c>
      <c r="F1228">
        <v>1</v>
      </c>
      <c r="G1228">
        <v>0.26100000000000001</v>
      </c>
      <c r="H1228">
        <v>0</v>
      </c>
      <c r="I1228" t="s">
        <v>0</v>
      </c>
      <c r="J1228" t="s">
        <v>59</v>
      </c>
      <c r="K1228">
        <v>0</v>
      </c>
      <c r="L1228" t="s">
        <v>60</v>
      </c>
      <c r="M1228">
        <v>1</v>
      </c>
      <c r="N1228" t="s">
        <v>67</v>
      </c>
      <c r="O1228" s="2">
        <v>0.51458333333333328</v>
      </c>
      <c r="P1228">
        <f>0.0054447709*3600</f>
        <v>19.60117524</v>
      </c>
      <c r="Q1228">
        <f>0.0045118714*3600</f>
        <v>16.242737039999998</v>
      </c>
    </row>
    <row r="1229" spans="1:17" x14ac:dyDescent="0.3">
      <c r="A1229" s="4" t="s">
        <v>47</v>
      </c>
      <c r="B1229" s="6" t="s">
        <v>831</v>
      </c>
      <c r="C1229">
        <v>298.8263</v>
      </c>
      <c r="D1229">
        <v>294.99824699999999</v>
      </c>
      <c r="E1229">
        <v>1</v>
      </c>
      <c r="F1229">
        <v>1</v>
      </c>
      <c r="G1229">
        <v>0.26100000000000001</v>
      </c>
      <c r="H1229">
        <v>0</v>
      </c>
      <c r="I1229" t="s">
        <v>0</v>
      </c>
      <c r="J1229" t="s">
        <v>59</v>
      </c>
      <c r="K1229">
        <v>0</v>
      </c>
      <c r="L1229" t="s">
        <v>60</v>
      </c>
      <c r="M1229">
        <v>1</v>
      </c>
      <c r="N1229" t="s">
        <v>67</v>
      </c>
      <c r="O1229" s="2">
        <v>0.51458333333333328</v>
      </c>
      <c r="P1229">
        <f>0.0054606662*3600</f>
        <v>19.65839832</v>
      </c>
      <c r="Q1229">
        <f>0.0044940467*3600</f>
        <v>16.178568119999998</v>
      </c>
    </row>
    <row r="1230" spans="1:17" x14ac:dyDescent="0.3">
      <c r="A1230" s="4" t="s">
        <v>47</v>
      </c>
      <c r="B1230" s="6" t="s">
        <v>832</v>
      </c>
      <c r="C1230">
        <v>298.82667400000003</v>
      </c>
      <c r="D1230">
        <v>294.99831599999999</v>
      </c>
      <c r="E1230">
        <v>1</v>
      </c>
      <c r="F1230">
        <v>1</v>
      </c>
      <c r="G1230">
        <v>0.26100000000000001</v>
      </c>
      <c r="H1230">
        <v>0</v>
      </c>
      <c r="I1230" t="s">
        <v>0</v>
      </c>
      <c r="J1230" t="s">
        <v>59</v>
      </c>
      <c r="K1230">
        <v>0</v>
      </c>
      <c r="L1230" t="s">
        <v>60</v>
      </c>
      <c r="M1230">
        <v>1</v>
      </c>
      <c r="N1230" t="s">
        <v>67</v>
      </c>
      <c r="O1230" s="2">
        <v>0.51458333333333328</v>
      </c>
      <c r="P1230">
        <f>0.0054632156*3600</f>
        <v>19.667576159999999</v>
      </c>
      <c r="Q1230">
        <f>0.0045729716*3600</f>
        <v>16.462697759999998</v>
      </c>
    </row>
    <row r="1231" spans="1:17" x14ac:dyDescent="0.3">
      <c r="A1231" s="4" t="s">
        <v>47</v>
      </c>
      <c r="B1231" s="6" t="s">
        <v>833</v>
      </c>
      <c r="C1231">
        <v>298.82623100000001</v>
      </c>
      <c r="D1231">
        <v>294.99828200000002</v>
      </c>
      <c r="E1231">
        <v>1</v>
      </c>
      <c r="F1231">
        <v>1</v>
      </c>
      <c r="G1231">
        <v>0.26100000000000001</v>
      </c>
      <c r="H1231">
        <v>0</v>
      </c>
      <c r="I1231" t="s">
        <v>0</v>
      </c>
      <c r="J1231" t="s">
        <v>59</v>
      </c>
      <c r="K1231">
        <v>0</v>
      </c>
      <c r="L1231" t="s">
        <v>60</v>
      </c>
      <c r="M1231">
        <v>1</v>
      </c>
      <c r="N1231" t="s">
        <v>67</v>
      </c>
      <c r="O1231" s="2">
        <v>0.51527777777777783</v>
      </c>
      <c r="P1231">
        <f>0.0055433719*3600</f>
        <v>19.956138840000001</v>
      </c>
      <c r="Q1231">
        <f>0.0045583209*3600</f>
        <v>16.409955240000002</v>
      </c>
    </row>
    <row r="1232" spans="1:17" x14ac:dyDescent="0.3">
      <c r="A1232" s="4" t="s">
        <v>47</v>
      </c>
      <c r="B1232" s="6" t="s">
        <v>834</v>
      </c>
      <c r="C1232">
        <v>298.82610699999998</v>
      </c>
      <c r="D1232">
        <v>294.99825600000003</v>
      </c>
      <c r="E1232">
        <v>1</v>
      </c>
      <c r="F1232">
        <v>1</v>
      </c>
      <c r="G1232">
        <v>0.26100000000000001</v>
      </c>
      <c r="H1232">
        <v>0</v>
      </c>
      <c r="I1232" t="s">
        <v>0</v>
      </c>
      <c r="J1232" t="s">
        <v>59</v>
      </c>
      <c r="K1232">
        <v>0</v>
      </c>
      <c r="L1232" t="s">
        <v>60</v>
      </c>
      <c r="M1232">
        <v>1</v>
      </c>
      <c r="N1232" t="s">
        <v>67</v>
      </c>
      <c r="O1232" s="2">
        <v>0.51527777777777783</v>
      </c>
      <c r="P1232">
        <f>0.0054961569*3600</f>
        <v>19.786164840000001</v>
      </c>
      <c r="Q1232">
        <f>0.0045050778*3600</f>
        <v>16.21828008</v>
      </c>
    </row>
    <row r="1233" spans="1:17" x14ac:dyDescent="0.3">
      <c r="A1233" s="4" t="s">
        <v>47</v>
      </c>
      <c r="B1233" s="6" t="s">
        <v>835</v>
      </c>
      <c r="C1233">
        <v>298.827156</v>
      </c>
      <c r="D1233">
        <v>294.998221</v>
      </c>
      <c r="E1233">
        <v>1</v>
      </c>
      <c r="F1233">
        <v>1</v>
      </c>
      <c r="G1233">
        <v>0.26100000000000001</v>
      </c>
      <c r="H1233">
        <v>0</v>
      </c>
      <c r="I1233" t="s">
        <v>0</v>
      </c>
      <c r="J1233" t="s">
        <v>59</v>
      </c>
      <c r="K1233">
        <v>0</v>
      </c>
      <c r="L1233" t="s">
        <v>60</v>
      </c>
      <c r="M1233">
        <v>1</v>
      </c>
      <c r="N1233" t="s">
        <v>67</v>
      </c>
      <c r="O1233" s="2">
        <v>0.51527777777777783</v>
      </c>
      <c r="P1233">
        <f>0.0056285435*3600</f>
        <v>20.262756600000003</v>
      </c>
      <c r="Q1233">
        <f>0.0045097302*3600</f>
        <v>16.235028719999999</v>
      </c>
    </row>
    <row r="1234" spans="1:17" x14ac:dyDescent="0.3">
      <c r="A1234" s="4" t="s">
        <v>47</v>
      </c>
      <c r="B1234" s="6" t="s">
        <v>836</v>
      </c>
      <c r="C1234">
        <v>298.82662800000003</v>
      </c>
      <c r="D1234">
        <v>294.998245</v>
      </c>
      <c r="E1234">
        <v>1</v>
      </c>
      <c r="F1234">
        <v>1</v>
      </c>
      <c r="G1234">
        <v>0.26100000000000001</v>
      </c>
      <c r="H1234">
        <v>0</v>
      </c>
      <c r="I1234" t="s">
        <v>0</v>
      </c>
      <c r="J1234" t="s">
        <v>59</v>
      </c>
      <c r="K1234">
        <v>0</v>
      </c>
      <c r="L1234" t="s">
        <v>60</v>
      </c>
      <c r="M1234">
        <v>1</v>
      </c>
      <c r="N1234" t="s">
        <v>67</v>
      </c>
      <c r="O1234" s="2">
        <v>0.51527777777777783</v>
      </c>
      <c r="P1234">
        <f>0.0055640366*3600</f>
        <v>20.030531759999999</v>
      </c>
      <c r="Q1234">
        <f>0.0044963966*3600</f>
        <v>16.187027759999999</v>
      </c>
    </row>
    <row r="1235" spans="1:17" x14ac:dyDescent="0.3">
      <c r="A1235" s="4" t="s">
        <v>47</v>
      </c>
      <c r="B1235" s="6" t="s">
        <v>837</v>
      </c>
      <c r="C1235">
        <v>298.82656800000001</v>
      </c>
      <c r="D1235">
        <v>294.99821900000001</v>
      </c>
      <c r="E1235">
        <v>1</v>
      </c>
      <c r="F1235">
        <v>1</v>
      </c>
      <c r="G1235">
        <v>0.26100000000000001</v>
      </c>
      <c r="H1235">
        <v>0</v>
      </c>
      <c r="I1235" t="s">
        <v>0</v>
      </c>
      <c r="J1235" t="s">
        <v>59</v>
      </c>
      <c r="K1235">
        <v>0</v>
      </c>
      <c r="L1235" t="s">
        <v>60</v>
      </c>
      <c r="M1235">
        <v>1</v>
      </c>
      <c r="N1235" t="s">
        <v>67</v>
      </c>
      <c r="O1235" s="2">
        <v>0.51527777777777783</v>
      </c>
      <c r="P1235">
        <f>0.0055568235*3600</f>
        <v>20.004564600000002</v>
      </c>
      <c r="Q1235">
        <f>0.004464042*3600</f>
        <v>16.070551199999997</v>
      </c>
    </row>
    <row r="1236" spans="1:17" x14ac:dyDescent="0.3">
      <c r="A1236" s="4" t="s">
        <v>47</v>
      </c>
      <c r="B1236" s="6" t="s">
        <v>838</v>
      </c>
      <c r="C1236">
        <v>298.82680800000003</v>
      </c>
      <c r="D1236">
        <v>294.99823600000002</v>
      </c>
      <c r="E1236">
        <v>1</v>
      </c>
      <c r="F1236">
        <v>1</v>
      </c>
      <c r="G1236">
        <v>0.26100000000000001</v>
      </c>
      <c r="H1236">
        <v>0</v>
      </c>
      <c r="I1236" t="s">
        <v>0</v>
      </c>
      <c r="J1236" t="s">
        <v>59</v>
      </c>
      <c r="K1236">
        <v>0</v>
      </c>
      <c r="L1236" t="s">
        <v>60</v>
      </c>
      <c r="M1236">
        <v>1</v>
      </c>
      <c r="N1236" t="s">
        <v>67</v>
      </c>
      <c r="O1236" s="2">
        <v>0.51527777777777783</v>
      </c>
      <c r="P1236">
        <f>0.005574304*3600</f>
        <v>20.067494400000001</v>
      </c>
      <c r="Q1236">
        <f>0.0045010775*3600</f>
        <v>16.203879000000001</v>
      </c>
    </row>
    <row r="1237" spans="1:17" x14ac:dyDescent="0.3">
      <c r="A1237" s="4" t="s">
        <v>47</v>
      </c>
      <c r="B1237" s="6" t="s">
        <v>839</v>
      </c>
      <c r="C1237">
        <v>298.82696800000002</v>
      </c>
      <c r="D1237">
        <v>294.99825399999997</v>
      </c>
      <c r="E1237">
        <v>1</v>
      </c>
      <c r="F1237">
        <v>1</v>
      </c>
      <c r="G1237">
        <v>0.26100000000000001</v>
      </c>
      <c r="H1237">
        <v>0</v>
      </c>
      <c r="I1237" t="s">
        <v>0</v>
      </c>
      <c r="J1237" t="s">
        <v>59</v>
      </c>
      <c r="K1237">
        <v>0</v>
      </c>
      <c r="L1237" t="s">
        <v>60</v>
      </c>
      <c r="M1237">
        <v>1</v>
      </c>
      <c r="N1237" t="s">
        <v>67</v>
      </c>
      <c r="O1237" s="2">
        <v>0.51527777777777783</v>
      </c>
      <c r="P1237">
        <f>0.0055842403*3600</f>
        <v>20.10326508</v>
      </c>
      <c r="Q1237">
        <f>0.0044988772*3600</f>
        <v>16.195957920000001</v>
      </c>
    </row>
    <row r="1238" spans="1:17" x14ac:dyDescent="0.3">
      <c r="A1238" s="4" t="s">
        <v>47</v>
      </c>
      <c r="B1238" s="6" t="s">
        <v>840</v>
      </c>
      <c r="C1238">
        <v>298.827091</v>
      </c>
      <c r="D1238">
        <v>294.99828400000001</v>
      </c>
      <c r="E1238">
        <v>1</v>
      </c>
      <c r="F1238">
        <v>1</v>
      </c>
      <c r="G1238">
        <v>0.26100000000000001</v>
      </c>
      <c r="H1238">
        <v>0</v>
      </c>
      <c r="I1238" t="s">
        <v>0</v>
      </c>
      <c r="J1238" t="s">
        <v>59</v>
      </c>
      <c r="K1238">
        <v>0</v>
      </c>
      <c r="L1238" t="s">
        <v>60</v>
      </c>
      <c r="M1238">
        <v>1</v>
      </c>
      <c r="N1238" t="s">
        <v>67</v>
      </c>
      <c r="O1238" s="2">
        <v>0.51527777777777783</v>
      </c>
      <c r="P1238">
        <f>0.0055692972*3600</f>
        <v>20.04946992</v>
      </c>
      <c r="Q1238">
        <f>0.0045561303*3600</f>
        <v>16.40206908</v>
      </c>
    </row>
    <row r="1239" spans="1:17" x14ac:dyDescent="0.3">
      <c r="A1239" s="4" t="s">
        <v>47</v>
      </c>
      <c r="B1239" s="6" t="s">
        <v>841</v>
      </c>
      <c r="C1239">
        <v>298.82703199999997</v>
      </c>
      <c r="D1239">
        <v>294.99828500000001</v>
      </c>
      <c r="E1239">
        <v>1</v>
      </c>
      <c r="F1239">
        <v>1</v>
      </c>
      <c r="G1239">
        <v>0.26100000000000001</v>
      </c>
      <c r="H1239">
        <v>0</v>
      </c>
      <c r="I1239" t="s">
        <v>0</v>
      </c>
      <c r="J1239" t="s">
        <v>59</v>
      </c>
      <c r="K1239">
        <v>0</v>
      </c>
      <c r="L1239" t="s">
        <v>60</v>
      </c>
      <c r="M1239">
        <v>1</v>
      </c>
      <c r="N1239" t="s">
        <v>67</v>
      </c>
      <c r="O1239" s="2">
        <v>0.51527777777777783</v>
      </c>
      <c r="P1239">
        <f>0.0056155694*3600</f>
        <v>20.21604984</v>
      </c>
      <c r="Q1239">
        <f>0.0045481907*3600</f>
        <v>16.37348652</v>
      </c>
    </row>
    <row r="1240" spans="1:17" x14ac:dyDescent="0.3">
      <c r="A1240" s="4" t="s">
        <v>47</v>
      </c>
      <c r="B1240" s="6" t="s">
        <v>842</v>
      </c>
      <c r="C1240">
        <v>298.82692400000002</v>
      </c>
      <c r="D1240">
        <v>294.99826400000001</v>
      </c>
      <c r="E1240">
        <v>1</v>
      </c>
      <c r="F1240">
        <v>1</v>
      </c>
      <c r="G1240">
        <v>0.26100000000000001</v>
      </c>
      <c r="H1240">
        <v>0</v>
      </c>
      <c r="I1240" t="s">
        <v>0</v>
      </c>
      <c r="J1240" t="s">
        <v>59</v>
      </c>
      <c r="K1240">
        <v>0</v>
      </c>
      <c r="L1240" t="s">
        <v>60</v>
      </c>
      <c r="M1240">
        <v>1</v>
      </c>
      <c r="N1240" t="s">
        <v>67</v>
      </c>
      <c r="O1240" s="2">
        <v>0.51527777777777783</v>
      </c>
      <c r="P1240">
        <f>0.0055736065*3600</f>
        <v>20.064983399999999</v>
      </c>
      <c r="Q1240">
        <f>0.0045224099*3600</f>
        <v>16.280675639999998</v>
      </c>
    </row>
    <row r="1241" spans="1:17" x14ac:dyDescent="0.3">
      <c r="A1241" s="4" t="s">
        <v>47</v>
      </c>
      <c r="B1241" s="6" t="s">
        <v>843</v>
      </c>
      <c r="C1241">
        <v>298.82687900000002</v>
      </c>
      <c r="D1241">
        <v>294.99826400000001</v>
      </c>
      <c r="E1241">
        <v>1</v>
      </c>
      <c r="F1241">
        <v>1</v>
      </c>
      <c r="G1241">
        <v>0.26100000000000001</v>
      </c>
      <c r="H1241">
        <v>0</v>
      </c>
      <c r="I1241" t="s">
        <v>0</v>
      </c>
      <c r="J1241" t="s">
        <v>59</v>
      </c>
      <c r="K1241">
        <v>0</v>
      </c>
      <c r="L1241" t="s">
        <v>60</v>
      </c>
      <c r="M1241">
        <v>1</v>
      </c>
      <c r="N1241" t="s">
        <v>67</v>
      </c>
      <c r="O1241" s="2">
        <v>0.51527777777777783</v>
      </c>
      <c r="P1241">
        <f>0.0055966267*3600</f>
        <v>20.14785612</v>
      </c>
      <c r="Q1241">
        <f>0.0045274448*3600</f>
        <v>16.298801279999999</v>
      </c>
    </row>
    <row r="1242" spans="1:17" x14ac:dyDescent="0.3">
      <c r="A1242" s="4" t="s">
        <v>47</v>
      </c>
      <c r="B1242" s="6" t="s">
        <v>844</v>
      </c>
      <c r="C1242">
        <v>298.82712800000002</v>
      </c>
      <c r="D1242">
        <v>294.99829699999998</v>
      </c>
      <c r="E1242">
        <v>1</v>
      </c>
      <c r="F1242">
        <v>1</v>
      </c>
      <c r="G1242">
        <v>0.26100000000000001</v>
      </c>
      <c r="H1242">
        <v>0</v>
      </c>
      <c r="I1242" t="s">
        <v>0</v>
      </c>
      <c r="J1242" t="s">
        <v>59</v>
      </c>
      <c r="K1242">
        <v>0</v>
      </c>
      <c r="L1242" t="s">
        <v>60</v>
      </c>
      <c r="M1242">
        <v>1</v>
      </c>
      <c r="N1242" t="s">
        <v>67</v>
      </c>
      <c r="O1242" s="2">
        <v>0.51527777777777783</v>
      </c>
      <c r="P1242">
        <f>0.0055898228*3600</f>
        <v>20.12336208</v>
      </c>
      <c r="Q1242">
        <f>0.0045494753*3600</f>
        <v>16.37811108</v>
      </c>
    </row>
    <row r="1243" spans="1:17" x14ac:dyDescent="0.3">
      <c r="A1243" s="4" t="s">
        <v>47</v>
      </c>
      <c r="B1243" s="6" t="s">
        <v>845</v>
      </c>
      <c r="C1243">
        <v>298.82724300000001</v>
      </c>
      <c r="D1243">
        <v>294.998267</v>
      </c>
      <c r="E1243">
        <v>1</v>
      </c>
      <c r="F1243">
        <v>1</v>
      </c>
      <c r="G1243">
        <v>0.26100000000000001</v>
      </c>
      <c r="H1243">
        <v>0</v>
      </c>
      <c r="I1243" t="s">
        <v>0</v>
      </c>
      <c r="J1243" t="s">
        <v>59</v>
      </c>
      <c r="K1243">
        <v>0</v>
      </c>
      <c r="L1243" t="s">
        <v>60</v>
      </c>
      <c r="M1243">
        <v>1</v>
      </c>
      <c r="N1243" t="s">
        <v>67</v>
      </c>
      <c r="O1243" s="2">
        <v>0.51527777777777783</v>
      </c>
      <c r="P1243">
        <f>0.0056320539*3600</f>
        <v>20.275394039999998</v>
      </c>
      <c r="Q1243">
        <f>0.0045282226*3600</f>
        <v>16.301601360000003</v>
      </c>
    </row>
    <row r="1244" spans="1:17" x14ac:dyDescent="0.3">
      <c r="A1244" s="4" t="s">
        <v>47</v>
      </c>
      <c r="B1244" s="6" t="s">
        <v>846</v>
      </c>
      <c r="C1244">
        <v>298.82706400000001</v>
      </c>
      <c r="D1244">
        <v>294.99828500000001</v>
      </c>
      <c r="E1244">
        <v>1</v>
      </c>
      <c r="F1244">
        <v>1</v>
      </c>
      <c r="G1244">
        <v>0.26100000000000001</v>
      </c>
      <c r="H1244">
        <v>0</v>
      </c>
      <c r="I1244" t="s">
        <v>0</v>
      </c>
      <c r="J1244" t="s">
        <v>59</v>
      </c>
      <c r="K1244">
        <v>0</v>
      </c>
      <c r="L1244" t="s">
        <v>60</v>
      </c>
      <c r="M1244">
        <v>1</v>
      </c>
      <c r="N1244" t="s">
        <v>67</v>
      </c>
      <c r="O1244" s="2">
        <v>0.51527777777777783</v>
      </c>
      <c r="P1244">
        <f>0.0056074139*3600</f>
        <v>20.186690040000002</v>
      </c>
      <c r="Q1244">
        <f>0.0045407233*3600</f>
        <v>16.34660388</v>
      </c>
    </row>
    <row r="1245" spans="1:17" x14ac:dyDescent="0.3">
      <c r="A1245" s="4" t="s">
        <v>47</v>
      </c>
      <c r="B1245" s="6" t="s">
        <v>847</v>
      </c>
      <c r="C1245">
        <v>298.82691799999998</v>
      </c>
      <c r="D1245">
        <v>294.99825600000003</v>
      </c>
      <c r="E1245">
        <v>1</v>
      </c>
      <c r="F1245">
        <v>1</v>
      </c>
      <c r="G1245">
        <v>0.26100000000000001</v>
      </c>
      <c r="H1245">
        <v>0</v>
      </c>
      <c r="I1245" t="s">
        <v>0</v>
      </c>
      <c r="J1245" t="s">
        <v>59</v>
      </c>
      <c r="K1245">
        <v>0</v>
      </c>
      <c r="L1245" t="s">
        <v>60</v>
      </c>
      <c r="M1245">
        <v>1</v>
      </c>
      <c r="N1245" t="s">
        <v>67</v>
      </c>
      <c r="O1245" s="2">
        <v>0.51527777777777783</v>
      </c>
      <c r="P1245">
        <f>0.0056454288*3600</f>
        <v>20.32354368</v>
      </c>
      <c r="Q1245">
        <f>0.0045388183*3600</f>
        <v>16.339745879999999</v>
      </c>
    </row>
    <row r="1246" spans="1:17" x14ac:dyDescent="0.3">
      <c r="A1246" s="4" t="s">
        <v>47</v>
      </c>
      <c r="B1246" s="6" t="s">
        <v>848</v>
      </c>
      <c r="C1246">
        <v>298.82770900000003</v>
      </c>
      <c r="D1246">
        <v>294.99837400000001</v>
      </c>
      <c r="E1246">
        <v>1</v>
      </c>
      <c r="F1246">
        <v>1</v>
      </c>
      <c r="G1246">
        <v>0.26100000000000001</v>
      </c>
      <c r="H1246">
        <v>0</v>
      </c>
      <c r="I1246" t="s">
        <v>0</v>
      </c>
      <c r="J1246" t="s">
        <v>59</v>
      </c>
      <c r="K1246">
        <v>0</v>
      </c>
      <c r="L1246" t="s">
        <v>60</v>
      </c>
      <c r="M1246">
        <v>1</v>
      </c>
      <c r="N1246" t="s">
        <v>67</v>
      </c>
      <c r="O1246" s="2">
        <v>0.51527777777777783</v>
      </c>
      <c r="P1246">
        <f>0.0056799332*3600</f>
        <v>20.447759519999998</v>
      </c>
      <c r="Q1246">
        <f>0.0046181976*3600</f>
        <v>16.625511360000001</v>
      </c>
    </row>
    <row r="1247" spans="1:17" x14ac:dyDescent="0.3">
      <c r="A1247" s="4" t="s">
        <v>47</v>
      </c>
      <c r="B1247" s="6" t="s">
        <v>849</v>
      </c>
      <c r="C1247">
        <v>298.82667300000003</v>
      </c>
      <c r="D1247">
        <v>294.99834399999997</v>
      </c>
      <c r="E1247">
        <v>1</v>
      </c>
      <c r="F1247">
        <v>1</v>
      </c>
      <c r="G1247">
        <v>0.26100000000000001</v>
      </c>
      <c r="H1247">
        <v>0</v>
      </c>
      <c r="I1247" t="s">
        <v>0</v>
      </c>
      <c r="J1247" t="s">
        <v>59</v>
      </c>
      <c r="K1247">
        <v>0</v>
      </c>
      <c r="L1247" t="s">
        <v>60</v>
      </c>
      <c r="M1247">
        <v>1</v>
      </c>
      <c r="N1247" t="s">
        <v>67</v>
      </c>
      <c r="O1247" s="2">
        <v>0.51527777777777783</v>
      </c>
      <c r="P1247">
        <f>0.0055810178*3600</f>
        <v>20.091664080000001</v>
      </c>
      <c r="Q1247">
        <f>0.0046324299*3600</f>
        <v>16.676747640000002</v>
      </c>
    </row>
    <row r="1248" spans="1:17" x14ac:dyDescent="0.3">
      <c r="A1248" s="4" t="s">
        <v>47</v>
      </c>
      <c r="B1248" s="6" t="s">
        <v>850</v>
      </c>
      <c r="C1248">
        <v>298.826885</v>
      </c>
      <c r="D1248">
        <v>294.99827099999999</v>
      </c>
      <c r="E1248">
        <v>1</v>
      </c>
      <c r="F1248">
        <v>1</v>
      </c>
      <c r="G1248">
        <v>0.26100000000000001</v>
      </c>
      <c r="H1248">
        <v>0</v>
      </c>
      <c r="I1248" t="s">
        <v>0</v>
      </c>
      <c r="J1248" t="s">
        <v>59</v>
      </c>
      <c r="K1248">
        <v>0</v>
      </c>
      <c r="L1248" t="s">
        <v>60</v>
      </c>
      <c r="M1248">
        <v>1</v>
      </c>
      <c r="N1248" t="s">
        <v>67</v>
      </c>
      <c r="O1248" s="2">
        <v>0.51527777777777783</v>
      </c>
      <c r="P1248">
        <f>0.0055905337*3600</f>
        <v>20.12592132</v>
      </c>
      <c r="Q1248">
        <f>0.004523952*3600</f>
        <v>16.286227200000003</v>
      </c>
    </row>
    <row r="1249" spans="1:17" x14ac:dyDescent="0.3">
      <c r="A1249" s="4" t="s">
        <v>47</v>
      </c>
      <c r="B1249" s="6" t="s">
        <v>851</v>
      </c>
      <c r="C1249">
        <v>298.826865</v>
      </c>
      <c r="D1249">
        <v>294.99820699999998</v>
      </c>
      <c r="E1249">
        <v>1</v>
      </c>
      <c r="F1249">
        <v>1</v>
      </c>
      <c r="G1249">
        <v>0.26100000000000001</v>
      </c>
      <c r="H1249">
        <v>0</v>
      </c>
      <c r="I1249" t="s">
        <v>0</v>
      </c>
      <c r="J1249" t="s">
        <v>59</v>
      </c>
      <c r="K1249">
        <v>0</v>
      </c>
      <c r="L1249" t="s">
        <v>60</v>
      </c>
      <c r="M1249">
        <v>1</v>
      </c>
      <c r="N1249" t="s">
        <v>67</v>
      </c>
      <c r="O1249" s="2">
        <v>0.51527777777777783</v>
      </c>
      <c r="P1249">
        <f>0.0056138199*3600</f>
        <v>20.20975164</v>
      </c>
      <c r="Q1249">
        <f>0.004480659*3600</f>
        <v>16.130372399999999</v>
      </c>
    </row>
    <row r="1250" spans="1:17" x14ac:dyDescent="0.3">
      <c r="A1250" s="4" t="s">
        <v>47</v>
      </c>
      <c r="B1250" s="6" t="s">
        <v>852</v>
      </c>
      <c r="C1250">
        <v>298.82700599999998</v>
      </c>
      <c r="D1250">
        <v>294.99837200000002</v>
      </c>
      <c r="E1250">
        <v>1</v>
      </c>
      <c r="F1250">
        <v>1</v>
      </c>
      <c r="G1250">
        <v>0.26100000000000001</v>
      </c>
      <c r="H1250">
        <v>0</v>
      </c>
      <c r="I1250" t="s">
        <v>0</v>
      </c>
      <c r="J1250" t="s">
        <v>59</v>
      </c>
      <c r="K1250">
        <v>0</v>
      </c>
      <c r="L1250" t="s">
        <v>60</v>
      </c>
      <c r="M1250">
        <v>1</v>
      </c>
      <c r="N1250" t="s">
        <v>67</v>
      </c>
      <c r="O1250" s="2">
        <v>0.51527777777777783</v>
      </c>
      <c r="P1250">
        <f>0.0055851515*3600</f>
        <v>20.106545399999998</v>
      </c>
      <c r="Q1250">
        <f>0.0046243547*3600</f>
        <v>16.647676919999999</v>
      </c>
    </row>
    <row r="1251" spans="1:17" x14ac:dyDescent="0.3">
      <c r="A1251" s="4" t="s">
        <v>47</v>
      </c>
      <c r="B1251" s="6" t="s">
        <v>853</v>
      </c>
      <c r="C1251">
        <v>298.82683700000001</v>
      </c>
      <c r="D1251">
        <v>294.99822899999998</v>
      </c>
      <c r="E1251">
        <v>1</v>
      </c>
      <c r="F1251">
        <v>1</v>
      </c>
      <c r="G1251">
        <v>0.26100000000000001</v>
      </c>
      <c r="H1251">
        <v>0</v>
      </c>
      <c r="I1251" t="s">
        <v>0</v>
      </c>
      <c r="J1251" t="s">
        <v>59</v>
      </c>
      <c r="K1251">
        <v>0</v>
      </c>
      <c r="L1251" t="s">
        <v>60</v>
      </c>
      <c r="M1251">
        <v>1</v>
      </c>
      <c r="N1251" t="s">
        <v>67</v>
      </c>
      <c r="O1251" s="2">
        <v>0.51527777777777783</v>
      </c>
      <c r="P1251">
        <f>0.0056294735*3600</f>
        <v>20.266104599999998</v>
      </c>
      <c r="Q1251">
        <f>0.0045035513*3600</f>
        <v>16.212784680000002</v>
      </c>
    </row>
    <row r="1252" spans="1:17" x14ac:dyDescent="0.3">
      <c r="A1252" s="4" t="s">
        <v>47</v>
      </c>
      <c r="B1252" s="6" t="s">
        <v>854</v>
      </c>
      <c r="C1252">
        <v>298.82725099999999</v>
      </c>
      <c r="D1252">
        <v>294.99833899999999</v>
      </c>
      <c r="E1252">
        <v>1</v>
      </c>
      <c r="F1252">
        <v>1</v>
      </c>
      <c r="G1252">
        <v>0.26100000000000001</v>
      </c>
      <c r="H1252">
        <v>0</v>
      </c>
      <c r="I1252" t="s">
        <v>0</v>
      </c>
      <c r="J1252" t="s">
        <v>59</v>
      </c>
      <c r="K1252">
        <v>0</v>
      </c>
      <c r="L1252" t="s">
        <v>60</v>
      </c>
      <c r="M1252">
        <v>1</v>
      </c>
      <c r="N1252" t="s">
        <v>67</v>
      </c>
      <c r="O1252" s="2">
        <v>0.51527777777777783</v>
      </c>
      <c r="P1252">
        <f>0.0056773782*3600</f>
        <v>20.43856152</v>
      </c>
      <c r="Q1252">
        <f>0.0046009083*3600</f>
        <v>16.56326988</v>
      </c>
    </row>
    <row r="1253" spans="1:17" x14ac:dyDescent="0.3">
      <c r="A1253" s="4" t="s">
        <v>47</v>
      </c>
      <c r="B1253" s="6" t="s">
        <v>855</v>
      </c>
      <c r="C1253">
        <v>298.826596</v>
      </c>
      <c r="D1253">
        <v>294.99832900000001</v>
      </c>
      <c r="E1253">
        <v>1</v>
      </c>
      <c r="F1253">
        <v>1</v>
      </c>
      <c r="G1253">
        <v>0.26100000000000001</v>
      </c>
      <c r="H1253">
        <v>0</v>
      </c>
      <c r="I1253" t="s">
        <v>0</v>
      </c>
      <c r="J1253" t="s">
        <v>59</v>
      </c>
      <c r="K1253">
        <v>0</v>
      </c>
      <c r="L1253" t="s">
        <v>60</v>
      </c>
      <c r="M1253">
        <v>1</v>
      </c>
      <c r="N1253" t="s">
        <v>67</v>
      </c>
      <c r="O1253" s="2">
        <v>0.51527777777777783</v>
      </c>
      <c r="P1253">
        <f>0.005565884*3600</f>
        <v>20.037182399999999</v>
      </c>
      <c r="Q1253">
        <f>0.0046098492*3600</f>
        <v>16.595457119999999</v>
      </c>
    </row>
    <row r="1254" spans="1:17" x14ac:dyDescent="0.3">
      <c r="A1254" s="4" t="s">
        <v>47</v>
      </c>
      <c r="B1254" s="6" t="s">
        <v>856</v>
      </c>
      <c r="C1254">
        <v>298.82710800000001</v>
      </c>
      <c r="D1254">
        <v>294.99820899999997</v>
      </c>
      <c r="E1254">
        <v>1</v>
      </c>
      <c r="F1254">
        <v>1</v>
      </c>
      <c r="G1254">
        <v>0.26100000000000001</v>
      </c>
      <c r="H1254">
        <v>0</v>
      </c>
      <c r="I1254" t="s">
        <v>0</v>
      </c>
      <c r="J1254" t="s">
        <v>59</v>
      </c>
      <c r="K1254">
        <v>0</v>
      </c>
      <c r="L1254" t="s">
        <v>60</v>
      </c>
      <c r="M1254">
        <v>1</v>
      </c>
      <c r="N1254" t="s">
        <v>67</v>
      </c>
      <c r="O1254" s="2">
        <v>0.51527777777777783</v>
      </c>
      <c r="P1254">
        <f>0.0056665854*3600</f>
        <v>20.39970744</v>
      </c>
      <c r="Q1254">
        <f>0.0044720293*3600</f>
        <v>16.099305480000002</v>
      </c>
    </row>
    <row r="1255" spans="1:17" x14ac:dyDescent="0.3">
      <c r="A1255" s="4" t="s">
        <v>47</v>
      </c>
      <c r="B1255" s="6" t="s">
        <v>857</v>
      </c>
      <c r="C1255">
        <v>298.82690200000002</v>
      </c>
      <c r="D1255">
        <v>294.99822799999998</v>
      </c>
      <c r="E1255">
        <v>1</v>
      </c>
      <c r="F1255">
        <v>1</v>
      </c>
      <c r="G1255">
        <v>0.26100000000000001</v>
      </c>
      <c r="H1255">
        <v>0</v>
      </c>
      <c r="I1255" t="s">
        <v>0</v>
      </c>
      <c r="J1255" t="s">
        <v>59</v>
      </c>
      <c r="K1255">
        <v>0</v>
      </c>
      <c r="L1255" t="s">
        <v>60</v>
      </c>
      <c r="M1255">
        <v>1</v>
      </c>
      <c r="N1255" t="s">
        <v>67</v>
      </c>
      <c r="O1255" s="2">
        <v>0.51527777777777783</v>
      </c>
      <c r="P1255">
        <f>0.0056188288*3600</f>
        <v>20.227783679999998</v>
      </c>
      <c r="Q1255">
        <f>0.0045014923*3600</f>
        <v>16.205372279999999</v>
      </c>
    </row>
    <row r="1256" spans="1:17" x14ac:dyDescent="0.3">
      <c r="A1256" s="4" t="s">
        <v>47</v>
      </c>
      <c r="B1256" s="6" t="s">
        <v>858</v>
      </c>
      <c r="C1256">
        <v>298.82729</v>
      </c>
      <c r="D1256">
        <v>294.99831599999999</v>
      </c>
      <c r="E1256">
        <v>1</v>
      </c>
      <c r="F1256">
        <v>1</v>
      </c>
      <c r="G1256">
        <v>0.26100000000000001</v>
      </c>
      <c r="H1256">
        <v>0</v>
      </c>
      <c r="I1256" t="s">
        <v>0</v>
      </c>
      <c r="J1256" t="s">
        <v>59</v>
      </c>
      <c r="K1256">
        <v>0</v>
      </c>
      <c r="L1256" t="s">
        <v>60</v>
      </c>
      <c r="M1256">
        <v>1</v>
      </c>
      <c r="N1256" t="s">
        <v>67</v>
      </c>
      <c r="O1256" s="2">
        <v>0.51527777777777783</v>
      </c>
      <c r="P1256">
        <f>0.005610263*3600</f>
        <v>20.196946799999999</v>
      </c>
      <c r="Q1256">
        <f>0.0045899299*3600</f>
        <v>16.52374764</v>
      </c>
    </row>
    <row r="1257" spans="1:17" x14ac:dyDescent="0.3">
      <c r="A1257" s="4" t="s">
        <v>47</v>
      </c>
      <c r="B1257" s="6" t="s">
        <v>859</v>
      </c>
      <c r="C1257">
        <v>298.82711499999999</v>
      </c>
      <c r="D1257">
        <v>294.99830200000002</v>
      </c>
      <c r="E1257">
        <v>1</v>
      </c>
      <c r="F1257">
        <v>1</v>
      </c>
      <c r="G1257">
        <v>0.26100000000000001</v>
      </c>
      <c r="H1257">
        <v>0</v>
      </c>
      <c r="I1257" t="s">
        <v>0</v>
      </c>
      <c r="J1257" t="s">
        <v>59</v>
      </c>
      <c r="K1257">
        <v>0</v>
      </c>
      <c r="L1257" t="s">
        <v>60</v>
      </c>
      <c r="M1257">
        <v>1</v>
      </c>
      <c r="N1257" t="s">
        <v>67</v>
      </c>
      <c r="O1257" s="2">
        <v>0.51527777777777783</v>
      </c>
      <c r="P1257">
        <f>0.0056141764*3600</f>
        <v>20.211035040000002</v>
      </c>
      <c r="Q1257">
        <f>0.0045640947*3600</f>
        <v>16.430740920000002</v>
      </c>
    </row>
    <row r="1258" spans="1:17" x14ac:dyDescent="0.3">
      <c r="A1258" s="4" t="s">
        <v>47</v>
      </c>
      <c r="B1258" s="6" t="s">
        <v>860</v>
      </c>
      <c r="C1258">
        <v>298.827112</v>
      </c>
      <c r="D1258">
        <v>294.99832400000003</v>
      </c>
      <c r="E1258">
        <v>1</v>
      </c>
      <c r="F1258">
        <v>1</v>
      </c>
      <c r="G1258">
        <v>0.26100000000000001</v>
      </c>
      <c r="H1258">
        <v>0</v>
      </c>
      <c r="I1258" t="s">
        <v>0</v>
      </c>
      <c r="J1258" t="s">
        <v>59</v>
      </c>
      <c r="K1258">
        <v>0</v>
      </c>
      <c r="L1258" t="s">
        <v>60</v>
      </c>
      <c r="M1258">
        <v>1</v>
      </c>
      <c r="N1258" t="s">
        <v>67</v>
      </c>
      <c r="O1258" s="2">
        <v>0.51527777777777783</v>
      </c>
      <c r="P1258">
        <f>0.0057380244*3600</f>
        <v>20.65688784</v>
      </c>
      <c r="Q1258">
        <f>0.004599866*3600</f>
        <v>16.5595176</v>
      </c>
    </row>
    <row r="1259" spans="1:17" x14ac:dyDescent="0.3">
      <c r="A1259" s="4" t="s">
        <v>47</v>
      </c>
      <c r="B1259" s="6" t="s">
        <v>861</v>
      </c>
      <c r="C1259">
        <v>298.82748500000002</v>
      </c>
      <c r="D1259">
        <v>294.998288</v>
      </c>
      <c r="E1259">
        <v>1</v>
      </c>
      <c r="F1259">
        <v>1</v>
      </c>
      <c r="G1259">
        <v>0.26100000000000001</v>
      </c>
      <c r="H1259">
        <v>0</v>
      </c>
      <c r="I1259" t="s">
        <v>0</v>
      </c>
      <c r="J1259" t="s">
        <v>59</v>
      </c>
      <c r="K1259">
        <v>0</v>
      </c>
      <c r="L1259" t="s">
        <v>60</v>
      </c>
      <c r="M1259">
        <v>1</v>
      </c>
      <c r="N1259" t="s">
        <v>67</v>
      </c>
      <c r="O1259" s="2">
        <v>0.51527777777777783</v>
      </c>
      <c r="P1259">
        <f>0.0057226863*3600</f>
        <v>20.601670679999998</v>
      </c>
      <c r="Q1259">
        <f>0.0045429229*3600</f>
        <v>16.35452244</v>
      </c>
    </row>
    <row r="1260" spans="1:17" x14ac:dyDescent="0.3">
      <c r="A1260" s="4" t="s">
        <v>47</v>
      </c>
      <c r="B1260" s="6" t="s">
        <v>862</v>
      </c>
      <c r="C1260">
        <v>298.82759399999998</v>
      </c>
      <c r="D1260">
        <v>294.99831899999998</v>
      </c>
      <c r="E1260">
        <v>1</v>
      </c>
      <c r="F1260">
        <v>1</v>
      </c>
      <c r="G1260">
        <v>0.26100000000000001</v>
      </c>
      <c r="H1260">
        <v>0</v>
      </c>
      <c r="I1260" t="s">
        <v>0</v>
      </c>
      <c r="J1260" t="s">
        <v>59</v>
      </c>
      <c r="K1260">
        <v>0</v>
      </c>
      <c r="L1260" t="s">
        <v>60</v>
      </c>
      <c r="M1260">
        <v>1</v>
      </c>
      <c r="N1260" t="s">
        <v>67</v>
      </c>
      <c r="O1260" s="2">
        <v>0.51527777777777783</v>
      </c>
      <c r="P1260">
        <f>0.0057463483*3600</f>
        <v>20.686853879999997</v>
      </c>
      <c r="Q1260">
        <f>0.0045545356*3600</f>
        <v>16.396328160000003</v>
      </c>
    </row>
    <row r="1261" spans="1:17" x14ac:dyDescent="0.3">
      <c r="A1261" s="4" t="s">
        <v>47</v>
      </c>
      <c r="B1261" s="6" t="s">
        <v>863</v>
      </c>
      <c r="C1261">
        <v>298.82762600000001</v>
      </c>
      <c r="D1261">
        <v>294.99831899999998</v>
      </c>
      <c r="E1261">
        <v>1</v>
      </c>
      <c r="F1261">
        <v>1</v>
      </c>
      <c r="G1261">
        <v>0.26100000000000001</v>
      </c>
      <c r="H1261">
        <v>0</v>
      </c>
      <c r="I1261" t="s">
        <v>0</v>
      </c>
      <c r="J1261" t="s">
        <v>59</v>
      </c>
      <c r="K1261">
        <v>0</v>
      </c>
      <c r="L1261" t="s">
        <v>60</v>
      </c>
      <c r="M1261">
        <v>1</v>
      </c>
      <c r="N1261" t="s">
        <v>67</v>
      </c>
      <c r="O1261" s="2">
        <v>0.51527777777777783</v>
      </c>
      <c r="P1261">
        <f>0.0056598147*3600</f>
        <v>20.375332919999998</v>
      </c>
      <c r="Q1261">
        <f>0.0046023971*3600</f>
        <v>16.568629559999998</v>
      </c>
    </row>
    <row r="1262" spans="1:17" x14ac:dyDescent="0.3">
      <c r="A1262" s="4" t="s">
        <v>47</v>
      </c>
      <c r="B1262" s="6" t="s">
        <v>864</v>
      </c>
      <c r="C1262">
        <v>298.827156</v>
      </c>
      <c r="D1262">
        <v>294.99824000000001</v>
      </c>
      <c r="E1262">
        <v>1</v>
      </c>
      <c r="F1262">
        <v>1</v>
      </c>
      <c r="G1262">
        <v>0.26100000000000001</v>
      </c>
      <c r="H1262">
        <v>0</v>
      </c>
      <c r="I1262" t="s">
        <v>0</v>
      </c>
      <c r="J1262" t="s">
        <v>59</v>
      </c>
      <c r="K1262">
        <v>0</v>
      </c>
      <c r="L1262" t="s">
        <v>60</v>
      </c>
      <c r="M1262">
        <v>1</v>
      </c>
      <c r="N1262" t="s">
        <v>67</v>
      </c>
      <c r="O1262" s="2">
        <v>0.51527777777777783</v>
      </c>
      <c r="P1262">
        <f>0.005716586*3600</f>
        <v>20.579709600000001</v>
      </c>
      <c r="Q1262">
        <f>0.0045000013*3600</f>
        <v>16.200004679999999</v>
      </c>
    </row>
    <row r="1263" spans="1:17" x14ac:dyDescent="0.3">
      <c r="A1263" s="4" t="s">
        <v>47</v>
      </c>
      <c r="B1263" s="6" t="s">
        <v>865</v>
      </c>
      <c r="C1263">
        <v>298.827046</v>
      </c>
      <c r="D1263">
        <v>294.99838999999997</v>
      </c>
      <c r="E1263">
        <v>1</v>
      </c>
      <c r="F1263">
        <v>1</v>
      </c>
      <c r="G1263">
        <v>0.26100000000000001</v>
      </c>
      <c r="H1263">
        <v>0</v>
      </c>
      <c r="I1263" t="s">
        <v>0</v>
      </c>
      <c r="J1263" t="s">
        <v>59</v>
      </c>
      <c r="K1263">
        <v>0</v>
      </c>
      <c r="L1263" t="s">
        <v>60</v>
      </c>
      <c r="M1263">
        <v>1</v>
      </c>
      <c r="N1263" t="s">
        <v>67</v>
      </c>
      <c r="O1263" s="2">
        <v>0.51527777777777783</v>
      </c>
      <c r="P1263">
        <f>0.0057219439*3600</f>
        <v>20.598998040000001</v>
      </c>
      <c r="Q1263">
        <f>0.0046561674*3600</f>
        <v>16.762202640000002</v>
      </c>
    </row>
    <row r="1264" spans="1:17" x14ac:dyDescent="0.3">
      <c r="A1264" s="4" t="s">
        <v>47</v>
      </c>
      <c r="B1264" s="6" t="s">
        <v>866</v>
      </c>
      <c r="C1264">
        <v>298.82718699999998</v>
      </c>
      <c r="D1264">
        <v>294.99829299999999</v>
      </c>
      <c r="E1264">
        <v>1</v>
      </c>
      <c r="F1264">
        <v>1</v>
      </c>
      <c r="G1264">
        <v>0.26100000000000001</v>
      </c>
      <c r="H1264">
        <v>0</v>
      </c>
      <c r="I1264" t="s">
        <v>0</v>
      </c>
      <c r="J1264" t="s">
        <v>59</v>
      </c>
      <c r="K1264">
        <v>0</v>
      </c>
      <c r="L1264" t="s">
        <v>60</v>
      </c>
      <c r="M1264">
        <v>1</v>
      </c>
      <c r="N1264" t="s">
        <v>67</v>
      </c>
      <c r="O1264" s="2">
        <v>0.51527777777777783</v>
      </c>
      <c r="P1264">
        <f>0.0056917946*3600</f>
        <v>20.490460560000002</v>
      </c>
      <c r="Q1264">
        <f>0.0045687892*3600</f>
        <v>16.44764112</v>
      </c>
    </row>
    <row r="1265" spans="1:18" x14ac:dyDescent="0.3">
      <c r="A1265" s="4" t="s">
        <v>47</v>
      </c>
      <c r="B1265" s="6" t="s">
        <v>867</v>
      </c>
      <c r="C1265">
        <v>298.82722100000001</v>
      </c>
      <c r="D1265">
        <v>294.99841400000003</v>
      </c>
      <c r="E1265">
        <v>1</v>
      </c>
      <c r="F1265">
        <v>1</v>
      </c>
      <c r="G1265">
        <v>0.26100000000000001</v>
      </c>
      <c r="H1265">
        <v>0</v>
      </c>
      <c r="I1265" t="s">
        <v>0</v>
      </c>
      <c r="J1265" t="s">
        <v>59</v>
      </c>
      <c r="K1265">
        <v>0</v>
      </c>
      <c r="L1265" t="s">
        <v>60</v>
      </c>
      <c r="M1265">
        <v>1</v>
      </c>
      <c r="N1265" t="s">
        <v>67</v>
      </c>
      <c r="O1265" s="2">
        <v>0.51527777777777783</v>
      </c>
      <c r="P1265">
        <f>0.0056511301*3600</f>
        <v>20.344068360000001</v>
      </c>
      <c r="Q1265">
        <f>0.0046630772*3600</f>
        <v>16.787077919999998</v>
      </c>
    </row>
    <row r="1266" spans="1:18" x14ac:dyDescent="0.3">
      <c r="A1266" s="4" t="s">
        <v>47</v>
      </c>
      <c r="B1266" s="6" t="s">
        <v>868</v>
      </c>
      <c r="C1266">
        <v>298.82727</v>
      </c>
      <c r="D1266">
        <v>294.99831999999998</v>
      </c>
      <c r="E1266">
        <v>1</v>
      </c>
      <c r="F1266">
        <v>1</v>
      </c>
      <c r="G1266">
        <v>0.26100000000000001</v>
      </c>
      <c r="H1266">
        <v>0</v>
      </c>
      <c r="I1266" t="s">
        <v>0</v>
      </c>
      <c r="J1266" t="s">
        <v>59</v>
      </c>
      <c r="K1266">
        <v>0</v>
      </c>
      <c r="L1266" t="s">
        <v>60</v>
      </c>
      <c r="M1266">
        <v>1</v>
      </c>
      <c r="N1266" t="s">
        <v>67</v>
      </c>
      <c r="O1266" s="2">
        <v>0.51527777777777783</v>
      </c>
      <c r="P1266">
        <f>0.0056580778*3600</f>
        <v>20.36908008</v>
      </c>
      <c r="Q1266">
        <f>0.0045964913*3600</f>
        <v>16.547368679999998</v>
      </c>
    </row>
    <row r="1267" spans="1:18" x14ac:dyDescent="0.3">
      <c r="A1267" s="4" t="s">
        <v>47</v>
      </c>
      <c r="B1267" s="6" t="s">
        <v>869</v>
      </c>
      <c r="C1267">
        <v>298.826977</v>
      </c>
      <c r="D1267">
        <v>294.99852199999998</v>
      </c>
      <c r="E1267">
        <v>1</v>
      </c>
      <c r="F1267">
        <v>1</v>
      </c>
      <c r="G1267">
        <v>0.26100000000000001</v>
      </c>
      <c r="H1267">
        <v>0</v>
      </c>
      <c r="I1267" t="s">
        <v>0</v>
      </c>
      <c r="J1267" t="s">
        <v>59</v>
      </c>
      <c r="K1267">
        <v>0</v>
      </c>
      <c r="L1267" t="s">
        <v>60</v>
      </c>
      <c r="M1267">
        <v>1</v>
      </c>
      <c r="N1267" t="s">
        <v>67</v>
      </c>
      <c r="O1267" s="2">
        <v>0.51527777777777783</v>
      </c>
      <c r="P1267">
        <f>0.0059705945*3600</f>
        <v>21.4941402</v>
      </c>
      <c r="Q1267">
        <f>0.0047897897*3600</f>
        <v>17.24324292</v>
      </c>
    </row>
    <row r="1268" spans="1:18" x14ac:dyDescent="0.3">
      <c r="A1268" s="4" t="s">
        <v>47</v>
      </c>
      <c r="B1268" s="6" t="s">
        <v>870</v>
      </c>
      <c r="C1268">
        <v>298.82736199999999</v>
      </c>
      <c r="D1268">
        <v>294.99836900000003</v>
      </c>
      <c r="E1268">
        <v>1</v>
      </c>
      <c r="F1268">
        <v>1</v>
      </c>
      <c r="G1268">
        <v>0.26100000000000001</v>
      </c>
      <c r="H1268">
        <v>0</v>
      </c>
      <c r="I1268" t="s">
        <v>0</v>
      </c>
      <c r="J1268" t="s">
        <v>59</v>
      </c>
      <c r="K1268">
        <v>0</v>
      </c>
      <c r="L1268" t="s">
        <v>60</v>
      </c>
      <c r="M1268">
        <v>1</v>
      </c>
      <c r="N1268" t="s">
        <v>67</v>
      </c>
      <c r="O1268" s="2">
        <v>0.51527777777777783</v>
      </c>
      <c r="P1268">
        <f>0.0059046081*3600</f>
        <v>21.256589160000001</v>
      </c>
      <c r="Q1268">
        <f>0.004637999*3600</f>
        <v>16.6967964</v>
      </c>
    </row>
    <row r="1269" spans="1:18" x14ac:dyDescent="0.3">
      <c r="A1269" s="4" t="s">
        <v>47</v>
      </c>
      <c r="B1269" s="6" t="s">
        <v>871</v>
      </c>
      <c r="C1269">
        <v>298.827496</v>
      </c>
      <c r="D1269">
        <v>294.99841800000002</v>
      </c>
      <c r="E1269">
        <v>1</v>
      </c>
      <c r="F1269">
        <v>1</v>
      </c>
      <c r="G1269">
        <v>0.26100000000000001</v>
      </c>
      <c r="H1269">
        <v>0</v>
      </c>
      <c r="I1269" t="s">
        <v>0</v>
      </c>
      <c r="J1269" t="s">
        <v>59</v>
      </c>
      <c r="K1269">
        <v>0</v>
      </c>
      <c r="L1269" t="s">
        <v>60</v>
      </c>
      <c r="M1269">
        <v>1</v>
      </c>
      <c r="N1269" t="s">
        <v>67</v>
      </c>
      <c r="O1269" s="2">
        <v>0.51527777777777783</v>
      </c>
      <c r="P1269">
        <f>0.0059100937*3600</f>
        <v>21.27633732</v>
      </c>
      <c r="Q1269">
        <f>0.004689708*3600</f>
        <v>16.882948800000001</v>
      </c>
    </row>
    <row r="1270" spans="1:18" x14ac:dyDescent="0.3">
      <c r="A1270" s="4" t="s">
        <v>47</v>
      </c>
      <c r="B1270" s="6" t="s">
        <v>872</v>
      </c>
      <c r="C1270">
        <v>298.82753100000002</v>
      </c>
      <c r="D1270">
        <v>294.99853200000001</v>
      </c>
      <c r="E1270">
        <v>1</v>
      </c>
      <c r="F1270">
        <v>1</v>
      </c>
      <c r="G1270">
        <v>0.26100000000000001</v>
      </c>
      <c r="H1270">
        <v>0</v>
      </c>
      <c r="I1270" t="s">
        <v>0</v>
      </c>
      <c r="J1270" t="s">
        <v>59</v>
      </c>
      <c r="K1270">
        <v>0</v>
      </c>
      <c r="L1270" t="s">
        <v>60</v>
      </c>
      <c r="M1270">
        <v>1</v>
      </c>
      <c r="N1270" t="s">
        <v>67</v>
      </c>
      <c r="O1270" s="2">
        <v>0.51527777777777783</v>
      </c>
      <c r="P1270">
        <f>0.0059457836*3600</f>
        <v>21.404820959999999</v>
      </c>
      <c r="Q1270">
        <f>0.004787171*3600</f>
        <v>17.2338156</v>
      </c>
    </row>
    <row r="1271" spans="1:18" x14ac:dyDescent="0.3">
      <c r="A1271" s="4" t="s">
        <v>47</v>
      </c>
      <c r="B1271" s="6" t="s">
        <v>873</v>
      </c>
      <c r="C1271">
        <v>298.82760200000001</v>
      </c>
      <c r="D1271">
        <v>294.998493</v>
      </c>
      <c r="E1271">
        <v>1</v>
      </c>
      <c r="F1271">
        <v>1</v>
      </c>
      <c r="G1271">
        <v>0.26100000000000001</v>
      </c>
      <c r="H1271">
        <v>0</v>
      </c>
      <c r="I1271" t="s">
        <v>0</v>
      </c>
      <c r="J1271" t="s">
        <v>59</v>
      </c>
      <c r="K1271">
        <v>0</v>
      </c>
      <c r="L1271" t="s">
        <v>60</v>
      </c>
      <c r="M1271">
        <v>1</v>
      </c>
      <c r="N1271" t="s">
        <v>67</v>
      </c>
      <c r="O1271" s="2">
        <v>0.51527777777777783</v>
      </c>
      <c r="P1271">
        <f>0.0058342983*3600</f>
        <v>21.003473879999998</v>
      </c>
      <c r="Q1271">
        <f>0.0047749885*3600</f>
        <v>17.189958600000001</v>
      </c>
    </row>
    <row r="1272" spans="1:18" x14ac:dyDescent="0.3">
      <c r="A1272" s="4" t="s">
        <v>47</v>
      </c>
      <c r="B1272" s="6" t="s">
        <v>874</v>
      </c>
      <c r="C1272">
        <v>298.82729899999998</v>
      </c>
      <c r="D1272">
        <v>294.99848100000003</v>
      </c>
      <c r="E1272">
        <v>1</v>
      </c>
      <c r="F1272">
        <v>1</v>
      </c>
      <c r="G1272">
        <v>0.26100000000000001</v>
      </c>
      <c r="H1272">
        <v>0</v>
      </c>
      <c r="I1272" t="s">
        <v>0</v>
      </c>
      <c r="J1272" t="s">
        <v>59</v>
      </c>
      <c r="K1272">
        <v>0</v>
      </c>
      <c r="L1272" t="s">
        <v>60</v>
      </c>
      <c r="M1272">
        <v>1</v>
      </c>
      <c r="N1272" t="s">
        <v>67</v>
      </c>
      <c r="O1272" s="2">
        <v>0.51527777777777783</v>
      </c>
      <c r="P1272">
        <f>0.0058810079*3600</f>
        <v>21.171628439999999</v>
      </c>
      <c r="Q1272">
        <f>0.0047641282*3600</f>
        <v>17.150861520000003</v>
      </c>
    </row>
    <row r="1273" spans="1:18" x14ac:dyDescent="0.3">
      <c r="A1273" s="4" t="s">
        <v>47</v>
      </c>
      <c r="B1273" s="6" t="s">
        <v>875</v>
      </c>
      <c r="C1273">
        <v>298.82725299999998</v>
      </c>
      <c r="D1273">
        <v>294.99848100000003</v>
      </c>
      <c r="E1273">
        <v>1</v>
      </c>
      <c r="F1273">
        <v>1</v>
      </c>
      <c r="G1273">
        <v>0.26100000000000001</v>
      </c>
      <c r="H1273">
        <v>0</v>
      </c>
      <c r="I1273" t="s">
        <v>0</v>
      </c>
      <c r="J1273" t="s">
        <v>59</v>
      </c>
      <c r="K1273">
        <v>0</v>
      </c>
      <c r="L1273" t="s">
        <v>60</v>
      </c>
      <c r="M1273">
        <v>1</v>
      </c>
      <c r="N1273" t="s">
        <v>67</v>
      </c>
      <c r="O1273" s="2">
        <v>0.51527777777777783</v>
      </c>
      <c r="P1273">
        <f>0.0058853017*3600</f>
        <v>21.18708612</v>
      </c>
      <c r="Q1273">
        <f>0.0047492463*3600</f>
        <v>17.09728668</v>
      </c>
    </row>
    <row r="1274" spans="1:18" x14ac:dyDescent="0.3">
      <c r="A1274" s="4" t="s">
        <v>47</v>
      </c>
      <c r="B1274" s="6" t="s">
        <v>876</v>
      </c>
      <c r="C1274">
        <v>298.82708200000002</v>
      </c>
      <c r="D1274">
        <v>294.998538</v>
      </c>
      <c r="E1274">
        <v>1</v>
      </c>
      <c r="F1274">
        <v>1</v>
      </c>
      <c r="G1274">
        <v>0.26100000000000001</v>
      </c>
      <c r="H1274">
        <v>0</v>
      </c>
      <c r="I1274" t="s">
        <v>0</v>
      </c>
      <c r="J1274" t="s">
        <v>59</v>
      </c>
      <c r="K1274">
        <v>0</v>
      </c>
      <c r="L1274" t="s">
        <v>60</v>
      </c>
      <c r="M1274">
        <v>1</v>
      </c>
      <c r="N1274" t="s">
        <v>67</v>
      </c>
      <c r="O1274" s="2">
        <v>0.51527777777777783</v>
      </c>
      <c r="P1274">
        <f>0.0059020351*3600</f>
        <v>21.247326360000002</v>
      </c>
      <c r="Q1274">
        <f>0.0048097095*3600</f>
        <v>17.314954200000003</v>
      </c>
    </row>
    <row r="1275" spans="1:18" x14ac:dyDescent="0.3">
      <c r="A1275" s="4" t="s">
        <v>47</v>
      </c>
      <c r="B1275" s="6" t="s">
        <v>877</v>
      </c>
      <c r="C1275">
        <v>298.82732399999998</v>
      </c>
      <c r="D1275">
        <v>294.99838399999999</v>
      </c>
      <c r="E1275">
        <v>1</v>
      </c>
      <c r="F1275">
        <v>1</v>
      </c>
      <c r="G1275">
        <v>0.26100000000000001</v>
      </c>
      <c r="H1275">
        <v>0</v>
      </c>
      <c r="I1275" t="s">
        <v>0</v>
      </c>
      <c r="J1275" t="s">
        <v>59</v>
      </c>
      <c r="K1275">
        <v>0</v>
      </c>
      <c r="L1275" t="s">
        <v>60</v>
      </c>
      <c r="M1275">
        <v>1</v>
      </c>
      <c r="N1275" t="s">
        <v>67</v>
      </c>
      <c r="O1275" s="2">
        <v>0.51527777777777783</v>
      </c>
      <c r="P1275">
        <f>0.0058227134*3600</f>
        <v>20.961768240000001</v>
      </c>
      <c r="Q1275">
        <f>0.004651331*3600</f>
        <v>16.744791599999999</v>
      </c>
    </row>
    <row r="1276" spans="1:18" x14ac:dyDescent="0.3">
      <c r="A1276" s="4" t="s">
        <v>47</v>
      </c>
      <c r="B1276" s="5" t="s">
        <v>49</v>
      </c>
      <c r="C1276">
        <v>202.34907799999999</v>
      </c>
      <c r="D1276">
        <v>99.289124000000001</v>
      </c>
      <c r="E1276">
        <v>502.99880000000002</v>
      </c>
      <c r="F1276">
        <v>502.87709999999998</v>
      </c>
      <c r="G1276">
        <v>0.26100000000000001</v>
      </c>
      <c r="H1276">
        <v>1.746</v>
      </c>
      <c r="I1276" t="s">
        <v>0</v>
      </c>
      <c r="J1276" t="s">
        <v>50</v>
      </c>
      <c r="K1276" t="s">
        <v>51</v>
      </c>
      <c r="L1276">
        <v>0</v>
      </c>
      <c r="M1276" t="s">
        <v>52</v>
      </c>
      <c r="N1276">
        <v>1</v>
      </c>
      <c r="O1276" t="s">
        <v>53</v>
      </c>
      <c r="P1276" s="2">
        <v>0.51666666666666672</v>
      </c>
      <c r="Q1276">
        <f>0.0052769801*3600</f>
        <v>18.997128360000001</v>
      </c>
      <c r="R1276">
        <f>-0.0076004619*3600</f>
        <v>-27.361662840000001</v>
      </c>
    </row>
    <row r="1277" spans="1:18" x14ac:dyDescent="0.3">
      <c r="A1277" s="4" t="s">
        <v>47</v>
      </c>
      <c r="B1277" s="6" t="s">
        <v>49</v>
      </c>
      <c r="C1277">
        <v>2.3500649999999998</v>
      </c>
      <c r="D1277">
        <v>300.70965799999999</v>
      </c>
      <c r="E1277">
        <v>502.99889999999999</v>
      </c>
      <c r="F1277">
        <v>502.87729999999999</v>
      </c>
      <c r="G1277">
        <v>0.26100000000000001</v>
      </c>
      <c r="H1277">
        <v>1.746</v>
      </c>
      <c r="I1277" t="s">
        <v>0</v>
      </c>
      <c r="J1277" t="s">
        <v>50</v>
      </c>
      <c r="K1277" t="s">
        <v>51</v>
      </c>
      <c r="L1277">
        <v>0</v>
      </c>
      <c r="M1277" t="s">
        <v>52</v>
      </c>
      <c r="N1277">
        <v>1</v>
      </c>
      <c r="O1277" t="s">
        <v>53</v>
      </c>
      <c r="P1277" s="2">
        <v>0.51666666666666672</v>
      </c>
      <c r="Q1277">
        <f>-0.0070038332*3600</f>
        <v>-25.213799520000002</v>
      </c>
      <c r="R1277">
        <f>0.0066443909*3600</f>
        <v>23.919807240000001</v>
      </c>
    </row>
    <row r="1278" spans="1:18" x14ac:dyDescent="0.3">
      <c r="A1278" s="4" t="s">
        <v>47</v>
      </c>
      <c r="B1278" s="5" t="s">
        <v>57</v>
      </c>
      <c r="C1278">
        <v>1.2858689999999999</v>
      </c>
      <c r="D1278">
        <v>99.158410000000003</v>
      </c>
      <c r="E1278">
        <v>37.385599999999997</v>
      </c>
      <c r="F1278">
        <v>37.375700000000002</v>
      </c>
      <c r="G1278">
        <v>0.26100000000000001</v>
      </c>
      <c r="H1278">
        <v>0</v>
      </c>
      <c r="I1278" t="s">
        <v>0</v>
      </c>
      <c r="J1278" t="s">
        <v>50</v>
      </c>
      <c r="K1278" t="s">
        <v>51</v>
      </c>
      <c r="L1278">
        <v>0</v>
      </c>
      <c r="M1278" t="s">
        <v>52</v>
      </c>
      <c r="N1278">
        <v>1</v>
      </c>
      <c r="O1278" t="s">
        <v>53</v>
      </c>
      <c r="P1278" s="2">
        <v>0.51736111111111105</v>
      </c>
      <c r="Q1278">
        <f>-0.0073761684*3600</f>
        <v>-26.554206239999999</v>
      </c>
      <c r="R1278">
        <f>0.007005216*3600</f>
        <v>25.218777599999999</v>
      </c>
    </row>
    <row r="1279" spans="1:18" x14ac:dyDescent="0.3">
      <c r="A1279" s="4" t="s">
        <v>47</v>
      </c>
      <c r="B1279" s="6" t="s">
        <v>57</v>
      </c>
      <c r="C1279">
        <v>201.28527299999999</v>
      </c>
      <c r="D1279">
        <v>300.84093899999999</v>
      </c>
      <c r="E1279">
        <v>37.3857</v>
      </c>
      <c r="F1279">
        <v>37.375799999999998</v>
      </c>
      <c r="G1279">
        <v>0.26100000000000001</v>
      </c>
      <c r="H1279">
        <v>0</v>
      </c>
      <c r="I1279" t="s">
        <v>0</v>
      </c>
      <c r="J1279" t="s">
        <v>50</v>
      </c>
      <c r="K1279" t="s">
        <v>51</v>
      </c>
      <c r="L1279">
        <v>0</v>
      </c>
      <c r="M1279" t="s">
        <v>52</v>
      </c>
      <c r="N1279">
        <v>1</v>
      </c>
      <c r="O1279" t="s">
        <v>53</v>
      </c>
      <c r="P1279" s="2">
        <v>0.51736111111111105</v>
      </c>
      <c r="Q1279">
        <f>0.0071612473*3600</f>
        <v>25.780490279999999</v>
      </c>
      <c r="R1279">
        <f>-0.0080185459*3600</f>
        <v>-28.866765239999999</v>
      </c>
    </row>
    <row r="1280" spans="1:18" x14ac:dyDescent="0.3">
      <c r="A1280" s="4" t="s">
        <v>47</v>
      </c>
      <c r="B1280" s="5" t="s">
        <v>878</v>
      </c>
      <c r="C1280">
        <v>99.122943000000006</v>
      </c>
      <c r="D1280">
        <v>108.914057</v>
      </c>
      <c r="E1280">
        <v>8.0381</v>
      </c>
      <c r="F1280">
        <v>7.9580000000000002</v>
      </c>
      <c r="G1280">
        <v>0.26100000000000001</v>
      </c>
      <c r="H1280">
        <v>0</v>
      </c>
      <c r="I1280" t="s">
        <v>0</v>
      </c>
      <c r="J1280" t="s">
        <v>59</v>
      </c>
      <c r="K1280">
        <v>3.4000000000000002E-2</v>
      </c>
      <c r="L1280" t="s">
        <v>60</v>
      </c>
      <c r="M1280">
        <v>1</v>
      </c>
      <c r="N1280" t="s">
        <v>53</v>
      </c>
      <c r="O1280" s="2">
        <v>0.51874999999999993</v>
      </c>
      <c r="P1280">
        <f>-0.0071076382*3600</f>
        <v>-25.587497520000003</v>
      </c>
      <c r="Q1280">
        <f>-0.0048800271*3600</f>
        <v>-17.568097559999998</v>
      </c>
    </row>
    <row r="1281" spans="1:17" x14ac:dyDescent="0.3">
      <c r="A1281" s="4" t="s">
        <v>47</v>
      </c>
      <c r="B1281" s="5" t="s">
        <v>879</v>
      </c>
      <c r="C1281">
        <v>99.122753000000003</v>
      </c>
      <c r="D1281">
        <v>108.745773</v>
      </c>
      <c r="E1281">
        <v>1</v>
      </c>
      <c r="F1281">
        <v>1</v>
      </c>
      <c r="G1281">
        <v>0.26100000000000001</v>
      </c>
      <c r="H1281">
        <v>0</v>
      </c>
      <c r="I1281" t="s">
        <v>0</v>
      </c>
      <c r="J1281" t="s">
        <v>59</v>
      </c>
      <c r="K1281">
        <v>0</v>
      </c>
      <c r="L1281" t="s">
        <v>60</v>
      </c>
      <c r="M1281">
        <v>1</v>
      </c>
      <c r="N1281" t="s">
        <v>67</v>
      </c>
      <c r="O1281" s="2">
        <v>0.51874999999999993</v>
      </c>
      <c r="P1281">
        <f>-0.0071541752*3600</f>
        <v>-25.755030719999997</v>
      </c>
      <c r="Q1281">
        <f>-0.0052062618*3600</f>
        <v>-18.742542479999997</v>
      </c>
    </row>
    <row r="1282" spans="1:17" x14ac:dyDescent="0.3">
      <c r="A1282" s="4" t="s">
        <v>47</v>
      </c>
      <c r="B1282" s="5" t="s">
        <v>880</v>
      </c>
      <c r="C1282">
        <v>99.122468999999995</v>
      </c>
      <c r="D1282">
        <v>108.74539300000001</v>
      </c>
      <c r="E1282">
        <v>1</v>
      </c>
      <c r="F1282">
        <v>1</v>
      </c>
      <c r="G1282">
        <v>0.26100000000000001</v>
      </c>
      <c r="H1282">
        <v>0</v>
      </c>
      <c r="I1282" t="s">
        <v>0</v>
      </c>
      <c r="J1282" t="s">
        <v>59</v>
      </c>
      <c r="K1282">
        <v>0</v>
      </c>
      <c r="L1282" t="s">
        <v>60</v>
      </c>
      <c r="M1282">
        <v>1</v>
      </c>
      <c r="N1282" t="s">
        <v>67</v>
      </c>
      <c r="O1282" s="2">
        <v>0.51874999999999993</v>
      </c>
      <c r="P1282">
        <f>-0.0070051342*3600</f>
        <v>-25.218483119999998</v>
      </c>
      <c r="Q1282">
        <f>-0.0055924017*3600</f>
        <v>-20.13264612</v>
      </c>
    </row>
    <row r="1283" spans="1:17" x14ac:dyDescent="0.3">
      <c r="A1283" s="4" t="s">
        <v>47</v>
      </c>
      <c r="B1283" s="5" t="s">
        <v>881</v>
      </c>
      <c r="C1283">
        <v>99.122631999999996</v>
      </c>
      <c r="D1283">
        <v>108.745277</v>
      </c>
      <c r="E1283">
        <v>1</v>
      </c>
      <c r="F1283">
        <v>1</v>
      </c>
      <c r="G1283">
        <v>0.26100000000000001</v>
      </c>
      <c r="H1283">
        <v>0</v>
      </c>
      <c r="I1283" t="s">
        <v>0</v>
      </c>
      <c r="J1283" t="s">
        <v>59</v>
      </c>
      <c r="K1283">
        <v>0</v>
      </c>
      <c r="L1283" t="s">
        <v>60</v>
      </c>
      <c r="M1283">
        <v>1</v>
      </c>
      <c r="N1283" t="s">
        <v>67</v>
      </c>
      <c r="O1283" s="2">
        <v>0.51874999999999993</v>
      </c>
      <c r="P1283">
        <f>-0.0069729004*3600</f>
        <v>-25.10244144</v>
      </c>
      <c r="Q1283">
        <f>-0.0057003867*3600</f>
        <v>-20.521392119999998</v>
      </c>
    </row>
    <row r="1284" spans="1:17" x14ac:dyDescent="0.3">
      <c r="A1284" s="4" t="s">
        <v>47</v>
      </c>
      <c r="B1284" s="5" t="s">
        <v>882</v>
      </c>
      <c r="C1284">
        <v>99.123175000000003</v>
      </c>
      <c r="D1284">
        <v>108.745582</v>
      </c>
      <c r="E1284">
        <v>1</v>
      </c>
      <c r="F1284">
        <v>1</v>
      </c>
      <c r="G1284">
        <v>0.26100000000000001</v>
      </c>
      <c r="H1284">
        <v>0</v>
      </c>
      <c r="I1284" t="s">
        <v>0</v>
      </c>
      <c r="J1284" t="s">
        <v>59</v>
      </c>
      <c r="K1284">
        <v>0</v>
      </c>
      <c r="L1284" t="s">
        <v>60</v>
      </c>
      <c r="M1284">
        <v>1</v>
      </c>
      <c r="N1284" t="s">
        <v>67</v>
      </c>
      <c r="O1284" s="2">
        <v>0.51874999999999993</v>
      </c>
      <c r="P1284">
        <f>-0.0068899266*3600</f>
        <v>-24.803735760000002</v>
      </c>
      <c r="Q1284">
        <f>-0.0054464826*3600</f>
        <v>-19.607337359999999</v>
      </c>
    </row>
    <row r="1285" spans="1:17" x14ac:dyDescent="0.3">
      <c r="A1285" s="4" t="s">
        <v>47</v>
      </c>
      <c r="B1285" s="5" t="s">
        <v>883</v>
      </c>
      <c r="C1285">
        <v>99.122737999999998</v>
      </c>
      <c r="D1285">
        <v>108.745884</v>
      </c>
      <c r="E1285">
        <v>1</v>
      </c>
      <c r="F1285">
        <v>1</v>
      </c>
      <c r="G1285">
        <v>0.26100000000000001</v>
      </c>
      <c r="H1285">
        <v>0</v>
      </c>
      <c r="I1285" t="s">
        <v>0</v>
      </c>
      <c r="J1285" t="s">
        <v>59</v>
      </c>
      <c r="K1285">
        <v>0</v>
      </c>
      <c r="L1285" t="s">
        <v>60</v>
      </c>
      <c r="M1285">
        <v>1</v>
      </c>
      <c r="N1285" t="s">
        <v>67</v>
      </c>
      <c r="O1285" s="2">
        <v>0.51874999999999993</v>
      </c>
      <c r="P1285">
        <f>-0.0070011533*3600</f>
        <v>-25.204151880000001</v>
      </c>
      <c r="Q1285">
        <f>-0.0050982414*3600</f>
        <v>-18.35366904</v>
      </c>
    </row>
    <row r="1286" spans="1:17" x14ac:dyDescent="0.3">
      <c r="A1286" s="4" t="s">
        <v>47</v>
      </c>
      <c r="B1286" s="5" t="s">
        <v>884</v>
      </c>
      <c r="C1286">
        <v>99.122702000000004</v>
      </c>
      <c r="D1286">
        <v>108.74589</v>
      </c>
      <c r="E1286">
        <v>1</v>
      </c>
      <c r="F1286">
        <v>1</v>
      </c>
      <c r="G1286">
        <v>0.26100000000000001</v>
      </c>
      <c r="H1286">
        <v>0</v>
      </c>
      <c r="I1286" t="s">
        <v>0</v>
      </c>
      <c r="J1286" t="s">
        <v>59</v>
      </c>
      <c r="K1286">
        <v>0</v>
      </c>
      <c r="L1286" t="s">
        <v>60</v>
      </c>
      <c r="M1286">
        <v>1</v>
      </c>
      <c r="N1286" t="s">
        <v>67</v>
      </c>
      <c r="O1286" s="2">
        <v>0.51874999999999993</v>
      </c>
      <c r="P1286">
        <f>-0.0069291775*3600</f>
        <v>-24.945038999999998</v>
      </c>
      <c r="Q1286">
        <f>-0.0050930419*3600</f>
        <v>-18.334950840000001</v>
      </c>
    </row>
    <row r="1287" spans="1:17" x14ac:dyDescent="0.3">
      <c r="A1287" s="4" t="s">
        <v>47</v>
      </c>
      <c r="B1287" s="5" t="s">
        <v>885</v>
      </c>
      <c r="C1287">
        <v>99.123659000000004</v>
      </c>
      <c r="D1287">
        <v>108.745859</v>
      </c>
      <c r="E1287">
        <v>1</v>
      </c>
      <c r="F1287">
        <v>1</v>
      </c>
      <c r="G1287">
        <v>0.26100000000000001</v>
      </c>
      <c r="H1287">
        <v>0</v>
      </c>
      <c r="I1287" t="s">
        <v>0</v>
      </c>
      <c r="J1287" t="s">
        <v>59</v>
      </c>
      <c r="K1287">
        <v>0</v>
      </c>
      <c r="L1287" t="s">
        <v>60</v>
      </c>
      <c r="M1287">
        <v>1</v>
      </c>
      <c r="N1287" t="s">
        <v>67</v>
      </c>
      <c r="O1287" s="2">
        <v>0.51874999999999993</v>
      </c>
      <c r="P1287">
        <f>-0.0069152837*3600</f>
        <v>-24.895021320000001</v>
      </c>
      <c r="Q1287">
        <f>-0.0051265027*3600</f>
        <v>-18.455409719999999</v>
      </c>
    </row>
    <row r="1288" spans="1:17" x14ac:dyDescent="0.3">
      <c r="A1288" s="4" t="s">
        <v>47</v>
      </c>
      <c r="B1288" s="5" t="s">
        <v>886</v>
      </c>
      <c r="C1288">
        <v>99.123141000000004</v>
      </c>
      <c r="D1288">
        <v>108.745947</v>
      </c>
      <c r="E1288">
        <v>1</v>
      </c>
      <c r="F1288">
        <v>1</v>
      </c>
      <c r="G1288">
        <v>0.26100000000000001</v>
      </c>
      <c r="H1288">
        <v>0</v>
      </c>
      <c r="I1288" t="s">
        <v>0</v>
      </c>
      <c r="J1288" t="s">
        <v>59</v>
      </c>
      <c r="K1288">
        <v>0</v>
      </c>
      <c r="L1288" t="s">
        <v>60</v>
      </c>
      <c r="M1288">
        <v>1</v>
      </c>
      <c r="N1288" t="s">
        <v>67</v>
      </c>
      <c r="O1288" s="2">
        <v>0.51874999999999993</v>
      </c>
      <c r="P1288">
        <f>-0.0070479316*3600</f>
        <v>-25.372553759999999</v>
      </c>
      <c r="Q1288">
        <f>-0.005035355*3600</f>
        <v>-18.127278</v>
      </c>
    </row>
    <row r="1289" spans="1:17" x14ac:dyDescent="0.3">
      <c r="A1289" s="4" t="s">
        <v>47</v>
      </c>
      <c r="B1289" s="5" t="s">
        <v>887</v>
      </c>
      <c r="C1289">
        <v>99.123534000000006</v>
      </c>
      <c r="D1289">
        <v>108.745994</v>
      </c>
      <c r="E1289">
        <v>1</v>
      </c>
      <c r="F1289">
        <v>1</v>
      </c>
      <c r="G1289">
        <v>0.26100000000000001</v>
      </c>
      <c r="H1289">
        <v>0</v>
      </c>
      <c r="I1289" t="s">
        <v>0</v>
      </c>
      <c r="J1289" t="s">
        <v>59</v>
      </c>
      <c r="K1289">
        <v>0</v>
      </c>
      <c r="L1289" t="s">
        <v>60</v>
      </c>
      <c r="M1289">
        <v>1</v>
      </c>
      <c r="N1289" t="s">
        <v>67</v>
      </c>
      <c r="O1289" s="2">
        <v>0.51874999999999993</v>
      </c>
      <c r="P1289">
        <f>-0.0069237976*3600</f>
        <v>-24.925671359999999</v>
      </c>
      <c r="Q1289">
        <f>-0.0049870376*3600</f>
        <v>-17.953335360000001</v>
      </c>
    </row>
    <row r="1290" spans="1:17" x14ac:dyDescent="0.3">
      <c r="A1290" s="4" t="s">
        <v>47</v>
      </c>
      <c r="B1290" s="5" t="s">
        <v>888</v>
      </c>
      <c r="C1290">
        <v>99.123726000000005</v>
      </c>
      <c r="D1290">
        <v>108.745814</v>
      </c>
      <c r="E1290">
        <v>1</v>
      </c>
      <c r="F1290">
        <v>1</v>
      </c>
      <c r="G1290">
        <v>0.26100000000000001</v>
      </c>
      <c r="H1290">
        <v>0</v>
      </c>
      <c r="I1290" t="s">
        <v>0</v>
      </c>
      <c r="J1290" t="s">
        <v>59</v>
      </c>
      <c r="K1290">
        <v>0</v>
      </c>
      <c r="L1290" t="s">
        <v>60</v>
      </c>
      <c r="M1290">
        <v>1</v>
      </c>
      <c r="N1290" t="s">
        <v>67</v>
      </c>
      <c r="O1290" s="2">
        <v>0.51874999999999993</v>
      </c>
      <c r="P1290">
        <f>-0.0069080433*3600</f>
        <v>-24.868955879999998</v>
      </c>
      <c r="Q1290">
        <f>-0.0051583457*3600</f>
        <v>-18.57004452</v>
      </c>
    </row>
    <row r="1291" spans="1:17" x14ac:dyDescent="0.3">
      <c r="A1291" s="4" t="s">
        <v>47</v>
      </c>
      <c r="B1291" s="5" t="s">
        <v>889</v>
      </c>
      <c r="C1291">
        <v>99.123733999999999</v>
      </c>
      <c r="D1291">
        <v>108.745806</v>
      </c>
      <c r="E1291">
        <v>1</v>
      </c>
      <c r="F1291">
        <v>1</v>
      </c>
      <c r="G1291">
        <v>0.26100000000000001</v>
      </c>
      <c r="H1291">
        <v>0</v>
      </c>
      <c r="I1291" t="s">
        <v>0</v>
      </c>
      <c r="J1291" t="s">
        <v>59</v>
      </c>
      <c r="K1291">
        <v>0</v>
      </c>
      <c r="L1291" t="s">
        <v>60</v>
      </c>
      <c r="M1291">
        <v>1</v>
      </c>
      <c r="N1291" t="s">
        <v>67</v>
      </c>
      <c r="O1291" s="2">
        <v>0.51874999999999993</v>
      </c>
      <c r="P1291">
        <f>-0.0069224491*3600</f>
        <v>-24.920816760000001</v>
      </c>
      <c r="Q1291">
        <f>-0.0051691357*3600</f>
        <v>-18.608888520000001</v>
      </c>
    </row>
    <row r="1292" spans="1:17" x14ac:dyDescent="0.3">
      <c r="A1292" s="4" t="s">
        <v>47</v>
      </c>
      <c r="B1292" s="5" t="s">
        <v>890</v>
      </c>
      <c r="C1292">
        <v>99.123362999999998</v>
      </c>
      <c r="D1292">
        <v>108.745789</v>
      </c>
      <c r="E1292">
        <v>1</v>
      </c>
      <c r="F1292">
        <v>1</v>
      </c>
      <c r="G1292">
        <v>0.26100000000000001</v>
      </c>
      <c r="H1292">
        <v>0</v>
      </c>
      <c r="I1292" t="s">
        <v>0</v>
      </c>
      <c r="J1292" t="s">
        <v>59</v>
      </c>
      <c r="K1292">
        <v>0</v>
      </c>
      <c r="L1292" t="s">
        <v>60</v>
      </c>
      <c r="M1292">
        <v>1</v>
      </c>
      <c r="N1292" t="s">
        <v>67</v>
      </c>
      <c r="O1292" s="2">
        <v>0.51874999999999993</v>
      </c>
      <c r="P1292">
        <f>-0.0071848812*3600</f>
        <v>-25.865572319999998</v>
      </c>
      <c r="Q1292">
        <f>-0.0051736351*3600</f>
        <v>-18.625086360000001</v>
      </c>
    </row>
    <row r="1293" spans="1:17" x14ac:dyDescent="0.3">
      <c r="A1293" s="4" t="s">
        <v>47</v>
      </c>
      <c r="B1293" s="5" t="s">
        <v>891</v>
      </c>
      <c r="C1293">
        <v>99.122590000000002</v>
      </c>
      <c r="D1293">
        <v>108.74591100000001</v>
      </c>
      <c r="E1293">
        <v>1</v>
      </c>
      <c r="F1293">
        <v>1</v>
      </c>
      <c r="G1293">
        <v>0.26100000000000001</v>
      </c>
      <c r="H1293">
        <v>0</v>
      </c>
      <c r="I1293" t="s">
        <v>0</v>
      </c>
      <c r="J1293" t="s">
        <v>59</v>
      </c>
      <c r="K1293">
        <v>0</v>
      </c>
      <c r="L1293" t="s">
        <v>60</v>
      </c>
      <c r="M1293">
        <v>1</v>
      </c>
      <c r="N1293" t="s">
        <v>67</v>
      </c>
      <c r="O1293" s="2">
        <v>0.51874999999999993</v>
      </c>
      <c r="P1293">
        <f>-0.0073039301*3600</f>
        <v>-26.294148359999998</v>
      </c>
      <c r="Q1293">
        <f>-0.005045201*3600</f>
        <v>-18.1627236</v>
      </c>
    </row>
    <row r="1294" spans="1:17" x14ac:dyDescent="0.3">
      <c r="A1294" s="4" t="s">
        <v>47</v>
      </c>
      <c r="B1294" s="5" t="s">
        <v>892</v>
      </c>
      <c r="C1294">
        <v>99.123310000000004</v>
      </c>
      <c r="D1294">
        <v>108.74578200000001</v>
      </c>
      <c r="E1294">
        <v>1</v>
      </c>
      <c r="F1294">
        <v>1</v>
      </c>
      <c r="G1294">
        <v>0.26100000000000001</v>
      </c>
      <c r="H1294">
        <v>0</v>
      </c>
      <c r="I1294" t="s">
        <v>0</v>
      </c>
      <c r="J1294" t="s">
        <v>59</v>
      </c>
      <c r="K1294">
        <v>0</v>
      </c>
      <c r="L1294" t="s">
        <v>60</v>
      </c>
      <c r="M1294">
        <v>1</v>
      </c>
      <c r="N1294" t="s">
        <v>67</v>
      </c>
      <c r="O1294" s="2">
        <v>0.51874999999999993</v>
      </c>
      <c r="P1294">
        <f>-0.0069564117*3600</f>
        <v>-25.043082120000001</v>
      </c>
      <c r="Q1294">
        <f>-0.0051773192*3600</f>
        <v>-18.638349119999997</v>
      </c>
    </row>
    <row r="1295" spans="1:17" x14ac:dyDescent="0.3">
      <c r="A1295" s="4" t="s">
        <v>47</v>
      </c>
      <c r="B1295" s="5" t="s">
        <v>893</v>
      </c>
      <c r="C1295">
        <v>99.123073000000005</v>
      </c>
      <c r="D1295">
        <v>108.745628</v>
      </c>
      <c r="E1295">
        <v>1</v>
      </c>
      <c r="F1295">
        <v>1</v>
      </c>
      <c r="G1295">
        <v>0.26100000000000001</v>
      </c>
      <c r="H1295">
        <v>0</v>
      </c>
      <c r="I1295" t="s">
        <v>0</v>
      </c>
      <c r="J1295" t="s">
        <v>59</v>
      </c>
      <c r="K1295">
        <v>0</v>
      </c>
      <c r="L1295" t="s">
        <v>60</v>
      </c>
      <c r="M1295">
        <v>1</v>
      </c>
      <c r="N1295" t="s">
        <v>67</v>
      </c>
      <c r="O1295" s="2">
        <v>0.51874999999999993</v>
      </c>
      <c r="P1295">
        <f>-0.0071358172*3600</f>
        <v>-25.688941920000001</v>
      </c>
      <c r="Q1295">
        <f>-0.0052820455*3600</f>
        <v>-19.015363799999999</v>
      </c>
    </row>
    <row r="1296" spans="1:17" x14ac:dyDescent="0.3">
      <c r="A1296" s="4" t="s">
        <v>47</v>
      </c>
      <c r="B1296" s="5" t="s">
        <v>894</v>
      </c>
      <c r="C1296">
        <v>99.123557000000005</v>
      </c>
      <c r="D1296">
        <v>108.74564100000001</v>
      </c>
      <c r="E1296">
        <v>1</v>
      </c>
      <c r="F1296">
        <v>1</v>
      </c>
      <c r="G1296">
        <v>0.26100000000000001</v>
      </c>
      <c r="H1296">
        <v>0</v>
      </c>
      <c r="I1296" t="s">
        <v>0</v>
      </c>
      <c r="J1296" t="s">
        <v>59</v>
      </c>
      <c r="K1296">
        <v>0</v>
      </c>
      <c r="L1296" t="s">
        <v>60</v>
      </c>
      <c r="M1296">
        <v>1</v>
      </c>
      <c r="N1296" t="s">
        <v>67</v>
      </c>
      <c r="O1296" s="2">
        <v>0.51874999999999993</v>
      </c>
      <c r="P1296">
        <f>-0.0071390225*3600</f>
        <v>-25.700481</v>
      </c>
      <c r="Q1296">
        <f>-0.0052946622*3600</f>
        <v>-19.060783920000002</v>
      </c>
    </row>
    <row r="1297" spans="1:17" x14ac:dyDescent="0.3">
      <c r="A1297" s="4" t="s">
        <v>47</v>
      </c>
      <c r="B1297" s="5" t="s">
        <v>895</v>
      </c>
      <c r="C1297">
        <v>99.123161999999994</v>
      </c>
      <c r="D1297">
        <v>108.745766</v>
      </c>
      <c r="E1297">
        <v>1</v>
      </c>
      <c r="F1297">
        <v>1</v>
      </c>
      <c r="G1297">
        <v>0.26100000000000001</v>
      </c>
      <c r="H1297">
        <v>0</v>
      </c>
      <c r="I1297" t="s">
        <v>0</v>
      </c>
      <c r="J1297" t="s">
        <v>59</v>
      </c>
      <c r="K1297">
        <v>0</v>
      </c>
      <c r="L1297" t="s">
        <v>60</v>
      </c>
      <c r="M1297">
        <v>1</v>
      </c>
      <c r="N1297" t="s">
        <v>67</v>
      </c>
      <c r="O1297" s="2">
        <v>0.51874999999999993</v>
      </c>
      <c r="P1297">
        <f>-0.0070136848*3600</f>
        <v>-25.249265279999999</v>
      </c>
      <c r="Q1297">
        <f>-0.0051799569*3600</f>
        <v>-18.647844840000001</v>
      </c>
    </row>
    <row r="1298" spans="1:17" x14ac:dyDescent="0.3">
      <c r="A1298" s="4" t="s">
        <v>47</v>
      </c>
      <c r="B1298" s="5" t="s">
        <v>896</v>
      </c>
      <c r="C1298">
        <v>99.123161999999994</v>
      </c>
      <c r="D1298">
        <v>108.74566299999999</v>
      </c>
      <c r="E1298">
        <v>1</v>
      </c>
      <c r="F1298">
        <v>1</v>
      </c>
      <c r="G1298">
        <v>0.26100000000000001</v>
      </c>
      <c r="H1298">
        <v>0</v>
      </c>
      <c r="I1298" t="s">
        <v>0</v>
      </c>
      <c r="J1298" t="s">
        <v>59</v>
      </c>
      <c r="K1298">
        <v>0</v>
      </c>
      <c r="L1298" t="s">
        <v>60</v>
      </c>
      <c r="M1298">
        <v>1</v>
      </c>
      <c r="N1298" t="s">
        <v>67</v>
      </c>
      <c r="O1298" s="2">
        <v>0.51874999999999993</v>
      </c>
      <c r="P1298">
        <f>-0.0069801843*3600</f>
        <v>-25.12866348</v>
      </c>
      <c r="Q1298">
        <f>-0.0052482965*3600</f>
        <v>-18.893867400000001</v>
      </c>
    </row>
    <row r="1299" spans="1:17" x14ac:dyDescent="0.3">
      <c r="A1299" s="4" t="s">
        <v>47</v>
      </c>
      <c r="B1299" s="5" t="s">
        <v>897</v>
      </c>
      <c r="C1299">
        <v>99.12303</v>
      </c>
      <c r="D1299">
        <v>108.745738</v>
      </c>
      <c r="E1299">
        <v>1</v>
      </c>
      <c r="F1299">
        <v>1</v>
      </c>
      <c r="G1299">
        <v>0.26100000000000001</v>
      </c>
      <c r="H1299">
        <v>0</v>
      </c>
      <c r="I1299" t="s">
        <v>0</v>
      </c>
      <c r="J1299" t="s">
        <v>59</v>
      </c>
      <c r="K1299">
        <v>0</v>
      </c>
      <c r="L1299" t="s">
        <v>60</v>
      </c>
      <c r="M1299">
        <v>1</v>
      </c>
      <c r="N1299" t="s">
        <v>67</v>
      </c>
      <c r="O1299" s="2">
        <v>0.51874999999999993</v>
      </c>
      <c r="P1299">
        <f>-0.0070126304*3600</f>
        <v>-25.245469440000001</v>
      </c>
      <c r="Q1299">
        <f>-0.0051731562*3600</f>
        <v>-18.623362319999998</v>
      </c>
    </row>
    <row r="1300" spans="1:17" x14ac:dyDescent="0.3">
      <c r="A1300" s="4" t="s">
        <v>47</v>
      </c>
      <c r="B1300" s="5" t="s">
        <v>898</v>
      </c>
      <c r="C1300">
        <v>99.122630999999998</v>
      </c>
      <c r="D1300">
        <v>108.745411</v>
      </c>
      <c r="E1300">
        <v>1</v>
      </c>
      <c r="F1300">
        <v>1</v>
      </c>
      <c r="G1300">
        <v>0.26100000000000001</v>
      </c>
      <c r="H1300">
        <v>0</v>
      </c>
      <c r="I1300" t="s">
        <v>0</v>
      </c>
      <c r="J1300" t="s">
        <v>59</v>
      </c>
      <c r="K1300">
        <v>0</v>
      </c>
      <c r="L1300" t="s">
        <v>60</v>
      </c>
      <c r="M1300">
        <v>1</v>
      </c>
      <c r="N1300" t="s">
        <v>67</v>
      </c>
      <c r="O1300" s="2">
        <v>0.51874999999999993</v>
      </c>
      <c r="P1300">
        <f>-0.0069909629*3600</f>
        <v>-25.167466439999998</v>
      </c>
      <c r="Q1300">
        <f>-0.0054830994*3600</f>
        <v>-19.739157840000001</v>
      </c>
    </row>
    <row r="1301" spans="1:17" x14ac:dyDescent="0.3">
      <c r="A1301" s="4" t="s">
        <v>47</v>
      </c>
      <c r="B1301" s="5" t="s">
        <v>899</v>
      </c>
      <c r="C1301">
        <v>99.122669999999999</v>
      </c>
      <c r="D1301">
        <v>108.74550000000001</v>
      </c>
      <c r="E1301">
        <v>1</v>
      </c>
      <c r="F1301">
        <v>1</v>
      </c>
      <c r="G1301">
        <v>0.26100000000000001</v>
      </c>
      <c r="H1301">
        <v>0</v>
      </c>
      <c r="I1301" t="s">
        <v>0</v>
      </c>
      <c r="J1301" t="s">
        <v>59</v>
      </c>
      <c r="K1301">
        <v>0</v>
      </c>
      <c r="L1301" t="s">
        <v>60</v>
      </c>
      <c r="M1301">
        <v>1</v>
      </c>
      <c r="N1301" t="s">
        <v>67</v>
      </c>
      <c r="O1301" s="2">
        <v>0.51874999999999993</v>
      </c>
      <c r="P1301">
        <f>-0.006931081*3600</f>
        <v>-24.9518916</v>
      </c>
      <c r="Q1301">
        <f>-0.0053968801*3600</f>
        <v>-19.428768359999999</v>
      </c>
    </row>
    <row r="1302" spans="1:17" x14ac:dyDescent="0.3">
      <c r="A1302" s="4" t="s">
        <v>47</v>
      </c>
      <c r="B1302" s="5" t="s">
        <v>900</v>
      </c>
      <c r="C1302">
        <v>99.123118000000005</v>
      </c>
      <c r="D1302">
        <v>108.74571</v>
      </c>
      <c r="E1302">
        <v>1</v>
      </c>
      <c r="F1302">
        <v>1</v>
      </c>
      <c r="G1302">
        <v>0.26100000000000001</v>
      </c>
      <c r="H1302">
        <v>0</v>
      </c>
      <c r="I1302" t="s">
        <v>0</v>
      </c>
      <c r="J1302" t="s">
        <v>59</v>
      </c>
      <c r="K1302">
        <v>0</v>
      </c>
      <c r="L1302" t="s">
        <v>60</v>
      </c>
      <c r="M1302">
        <v>1</v>
      </c>
      <c r="N1302" t="s">
        <v>67</v>
      </c>
      <c r="O1302" s="2">
        <v>0.51874999999999993</v>
      </c>
      <c r="P1302">
        <f>-0.0067845388*3600</f>
        <v>-24.424339679999999</v>
      </c>
      <c r="Q1302">
        <f>-0.0051922097*3600</f>
        <v>-18.691954920000001</v>
      </c>
    </row>
    <row r="1303" spans="1:17" x14ac:dyDescent="0.3">
      <c r="A1303" s="4" t="s">
        <v>47</v>
      </c>
      <c r="B1303" s="5" t="s">
        <v>901</v>
      </c>
      <c r="C1303">
        <v>99.122826000000003</v>
      </c>
      <c r="D1303">
        <v>108.745565</v>
      </c>
      <c r="E1303">
        <v>1</v>
      </c>
      <c r="F1303">
        <v>1</v>
      </c>
      <c r="G1303">
        <v>0.26100000000000001</v>
      </c>
      <c r="H1303">
        <v>0</v>
      </c>
      <c r="I1303" t="s">
        <v>0</v>
      </c>
      <c r="J1303" t="s">
        <v>59</v>
      </c>
      <c r="K1303">
        <v>0</v>
      </c>
      <c r="L1303" t="s">
        <v>60</v>
      </c>
      <c r="M1303">
        <v>1</v>
      </c>
      <c r="N1303" t="s">
        <v>67</v>
      </c>
      <c r="O1303" s="2">
        <v>0.51874999999999993</v>
      </c>
      <c r="P1303">
        <f>-0.0067901501*3600</f>
        <v>-24.444540359999998</v>
      </c>
      <c r="Q1303">
        <f>-0.0053390598*3600</f>
        <v>-19.220615279999997</v>
      </c>
    </row>
    <row r="1304" spans="1:17" x14ac:dyDescent="0.3">
      <c r="A1304" s="4" t="s">
        <v>47</v>
      </c>
      <c r="B1304" s="5" t="s">
        <v>902</v>
      </c>
      <c r="C1304">
        <v>99.123137999999997</v>
      </c>
      <c r="D1304">
        <v>108.745377</v>
      </c>
      <c r="E1304">
        <v>1</v>
      </c>
      <c r="F1304">
        <v>1</v>
      </c>
      <c r="G1304">
        <v>0.26100000000000001</v>
      </c>
      <c r="H1304">
        <v>0</v>
      </c>
      <c r="I1304" t="s">
        <v>0</v>
      </c>
      <c r="J1304" t="s">
        <v>59</v>
      </c>
      <c r="K1304">
        <v>0</v>
      </c>
      <c r="L1304" t="s">
        <v>60</v>
      </c>
      <c r="M1304">
        <v>1</v>
      </c>
      <c r="N1304" t="s">
        <v>67</v>
      </c>
      <c r="O1304" s="2">
        <v>0.51874999999999993</v>
      </c>
      <c r="P1304">
        <f>-0.0069662449*3600</f>
        <v>-25.07848164</v>
      </c>
      <c r="Q1304">
        <f>-0.005495828*3600</f>
        <v>-19.7849808</v>
      </c>
    </row>
    <row r="1305" spans="1:17" x14ac:dyDescent="0.3">
      <c r="A1305" s="4" t="s">
        <v>47</v>
      </c>
      <c r="B1305" s="5" t="s">
        <v>903</v>
      </c>
      <c r="C1305">
        <v>99.122175999999996</v>
      </c>
      <c r="D1305">
        <v>108.745278</v>
      </c>
      <c r="E1305">
        <v>1</v>
      </c>
      <c r="F1305">
        <v>1</v>
      </c>
      <c r="G1305">
        <v>0.26100000000000001</v>
      </c>
      <c r="H1305">
        <v>0</v>
      </c>
      <c r="I1305" t="s">
        <v>0</v>
      </c>
      <c r="J1305" t="s">
        <v>59</v>
      </c>
      <c r="K1305">
        <v>0</v>
      </c>
      <c r="L1305" t="s">
        <v>60</v>
      </c>
      <c r="M1305">
        <v>1</v>
      </c>
      <c r="N1305" t="s">
        <v>67</v>
      </c>
      <c r="O1305" s="2">
        <v>0.51874999999999993</v>
      </c>
      <c r="P1305">
        <f>-0.0070255874*3600</f>
        <v>-25.292114640000001</v>
      </c>
      <c r="Q1305">
        <f>-0.0055750116*3600</f>
        <v>-20.070041759999999</v>
      </c>
    </row>
    <row r="1306" spans="1:17" x14ac:dyDescent="0.3">
      <c r="A1306" s="4" t="s">
        <v>47</v>
      </c>
      <c r="B1306" s="5" t="s">
        <v>904</v>
      </c>
      <c r="C1306">
        <v>99.123338000000004</v>
      </c>
      <c r="D1306">
        <v>108.745664</v>
      </c>
      <c r="E1306">
        <v>1</v>
      </c>
      <c r="F1306">
        <v>1</v>
      </c>
      <c r="G1306">
        <v>0.26100000000000001</v>
      </c>
      <c r="H1306">
        <v>0</v>
      </c>
      <c r="I1306" t="s">
        <v>0</v>
      </c>
      <c r="J1306" t="s">
        <v>59</v>
      </c>
      <c r="K1306">
        <v>0</v>
      </c>
      <c r="L1306" t="s">
        <v>60</v>
      </c>
      <c r="M1306">
        <v>1</v>
      </c>
      <c r="N1306" t="s">
        <v>67</v>
      </c>
      <c r="O1306" s="2">
        <v>0.51874999999999993</v>
      </c>
      <c r="P1306">
        <f>-0.0068461798*3600</f>
        <v>-24.646247280000001</v>
      </c>
      <c r="Q1306">
        <f>-0.0052067354*3600</f>
        <v>-18.744247439999999</v>
      </c>
    </row>
    <row r="1307" spans="1:17" x14ac:dyDescent="0.3">
      <c r="A1307" s="4" t="s">
        <v>47</v>
      </c>
      <c r="B1307" s="5" t="s">
        <v>905</v>
      </c>
      <c r="C1307">
        <v>99.123304000000005</v>
      </c>
      <c r="D1307">
        <v>108.745648</v>
      </c>
      <c r="E1307">
        <v>1</v>
      </c>
      <c r="F1307">
        <v>1</v>
      </c>
      <c r="G1307">
        <v>0.26100000000000001</v>
      </c>
      <c r="H1307">
        <v>0</v>
      </c>
      <c r="I1307" t="s">
        <v>0</v>
      </c>
      <c r="J1307" t="s">
        <v>59</v>
      </c>
      <c r="K1307">
        <v>0</v>
      </c>
      <c r="L1307" t="s">
        <v>60</v>
      </c>
      <c r="M1307">
        <v>1</v>
      </c>
      <c r="N1307" t="s">
        <v>67</v>
      </c>
      <c r="O1307" s="2">
        <v>0.51874999999999993</v>
      </c>
      <c r="P1307">
        <f>-0.0070431412*3600</f>
        <v>-25.355308320000002</v>
      </c>
      <c r="Q1307">
        <f>-0.0052224092*3600</f>
        <v>-18.800673119999999</v>
      </c>
    </row>
    <row r="1308" spans="1:17" x14ac:dyDescent="0.3">
      <c r="A1308" s="4" t="s">
        <v>47</v>
      </c>
      <c r="B1308" s="5" t="s">
        <v>906</v>
      </c>
      <c r="C1308">
        <v>99.123537999999996</v>
      </c>
      <c r="D1308">
        <v>108.745402</v>
      </c>
      <c r="E1308">
        <v>1</v>
      </c>
      <c r="F1308">
        <v>1</v>
      </c>
      <c r="G1308">
        <v>0.26100000000000001</v>
      </c>
      <c r="H1308">
        <v>0</v>
      </c>
      <c r="I1308" t="s">
        <v>0</v>
      </c>
      <c r="J1308" t="s">
        <v>59</v>
      </c>
      <c r="K1308">
        <v>0</v>
      </c>
      <c r="L1308" t="s">
        <v>60</v>
      </c>
      <c r="M1308">
        <v>1</v>
      </c>
      <c r="N1308" t="s">
        <v>67</v>
      </c>
      <c r="O1308" s="2">
        <v>0.51874999999999993</v>
      </c>
      <c r="P1308">
        <f>-0.007063882*3600</f>
        <v>-25.429975199999998</v>
      </c>
      <c r="Q1308">
        <f>-0.005471912*3600</f>
        <v>-19.698883200000001</v>
      </c>
    </row>
    <row r="1309" spans="1:17" x14ac:dyDescent="0.3">
      <c r="A1309" s="4" t="s">
        <v>47</v>
      </c>
      <c r="B1309" s="5" t="s">
        <v>907</v>
      </c>
      <c r="C1309">
        <v>99.123671999999999</v>
      </c>
      <c r="D1309">
        <v>108.745701</v>
      </c>
      <c r="E1309">
        <v>1</v>
      </c>
      <c r="F1309">
        <v>1</v>
      </c>
      <c r="G1309">
        <v>0.26100000000000001</v>
      </c>
      <c r="H1309">
        <v>0</v>
      </c>
      <c r="I1309" t="s">
        <v>0</v>
      </c>
      <c r="J1309" t="s">
        <v>59</v>
      </c>
      <c r="K1309">
        <v>0</v>
      </c>
      <c r="L1309" t="s">
        <v>60</v>
      </c>
      <c r="M1309">
        <v>1</v>
      </c>
      <c r="N1309" t="s">
        <v>67</v>
      </c>
      <c r="O1309" s="2">
        <v>0.51874999999999993</v>
      </c>
      <c r="P1309">
        <f>-0.0068906101*3600</f>
        <v>-24.806196359999998</v>
      </c>
      <c r="Q1309">
        <f>-0.0051777714*3600</f>
        <v>-18.639977040000002</v>
      </c>
    </row>
    <row r="1310" spans="1:17" x14ac:dyDescent="0.3">
      <c r="A1310" s="4" t="s">
        <v>47</v>
      </c>
      <c r="B1310" s="5" t="s">
        <v>908</v>
      </c>
      <c r="C1310">
        <v>99.123885999999999</v>
      </c>
      <c r="D1310">
        <v>108.745554</v>
      </c>
      <c r="E1310">
        <v>1</v>
      </c>
      <c r="F1310">
        <v>1</v>
      </c>
      <c r="G1310">
        <v>0.26100000000000001</v>
      </c>
      <c r="H1310">
        <v>0</v>
      </c>
      <c r="I1310" t="s">
        <v>0</v>
      </c>
      <c r="J1310" t="s">
        <v>59</v>
      </c>
      <c r="K1310">
        <v>0</v>
      </c>
      <c r="L1310" t="s">
        <v>60</v>
      </c>
      <c r="M1310">
        <v>1</v>
      </c>
      <c r="N1310" t="s">
        <v>67</v>
      </c>
      <c r="O1310" s="2">
        <v>0.51874999999999993</v>
      </c>
      <c r="P1310">
        <f>-0.0068981553*3600</f>
        <v>-24.833359080000001</v>
      </c>
      <c r="Q1310">
        <f>-0.00533013*3600</f>
        <v>-19.188468</v>
      </c>
    </row>
    <row r="1311" spans="1:17" x14ac:dyDescent="0.3">
      <c r="A1311" s="4" t="s">
        <v>47</v>
      </c>
      <c r="B1311" s="5" t="s">
        <v>909</v>
      </c>
      <c r="C1311">
        <v>99.123777000000004</v>
      </c>
      <c r="D1311">
        <v>108.745583</v>
      </c>
      <c r="E1311">
        <v>1</v>
      </c>
      <c r="F1311">
        <v>1</v>
      </c>
      <c r="G1311">
        <v>0.26100000000000001</v>
      </c>
      <c r="H1311">
        <v>0</v>
      </c>
      <c r="I1311" t="s">
        <v>0</v>
      </c>
      <c r="J1311" t="s">
        <v>59</v>
      </c>
      <c r="K1311">
        <v>0</v>
      </c>
      <c r="L1311" t="s">
        <v>60</v>
      </c>
      <c r="M1311">
        <v>1</v>
      </c>
      <c r="N1311" t="s">
        <v>67</v>
      </c>
      <c r="O1311" s="2">
        <v>0.51874999999999993</v>
      </c>
      <c r="P1311">
        <f>-0.0071485839*3600</f>
        <v>-25.734902039999998</v>
      </c>
      <c r="Q1311">
        <f>-0.0052935497*3600</f>
        <v>-19.056778919999999</v>
      </c>
    </row>
    <row r="1312" spans="1:17" x14ac:dyDescent="0.3">
      <c r="A1312" s="4" t="s">
        <v>47</v>
      </c>
      <c r="B1312" s="5" t="s">
        <v>910</v>
      </c>
      <c r="C1312">
        <v>99.123817000000003</v>
      </c>
      <c r="D1312">
        <v>108.745642</v>
      </c>
      <c r="E1312">
        <v>1</v>
      </c>
      <c r="F1312">
        <v>1</v>
      </c>
      <c r="G1312">
        <v>0.26100000000000001</v>
      </c>
      <c r="H1312">
        <v>0</v>
      </c>
      <c r="I1312" t="s">
        <v>0</v>
      </c>
      <c r="J1312" t="s">
        <v>59</v>
      </c>
      <c r="K1312">
        <v>0</v>
      </c>
      <c r="L1312" t="s">
        <v>60</v>
      </c>
      <c r="M1312">
        <v>1</v>
      </c>
      <c r="N1312" t="s">
        <v>67</v>
      </c>
      <c r="O1312" s="2">
        <v>0.51874999999999993</v>
      </c>
      <c r="P1312">
        <f>-0.0068791189*3600</f>
        <v>-24.764828040000001</v>
      </c>
      <c r="Q1312">
        <f>-0.0052400991*3600</f>
        <v>-18.86435676</v>
      </c>
    </row>
    <row r="1313" spans="1:17" x14ac:dyDescent="0.3">
      <c r="A1313" s="4" t="s">
        <v>47</v>
      </c>
      <c r="B1313" s="5" t="s">
        <v>911</v>
      </c>
      <c r="C1313">
        <v>99.123536999999999</v>
      </c>
      <c r="D1313">
        <v>108.74548900000001</v>
      </c>
      <c r="E1313">
        <v>1</v>
      </c>
      <c r="F1313">
        <v>1</v>
      </c>
      <c r="G1313">
        <v>0.26100000000000001</v>
      </c>
      <c r="H1313">
        <v>0</v>
      </c>
      <c r="I1313" t="s">
        <v>0</v>
      </c>
      <c r="J1313" t="s">
        <v>59</v>
      </c>
      <c r="K1313">
        <v>0</v>
      </c>
      <c r="L1313" t="s">
        <v>60</v>
      </c>
      <c r="M1313">
        <v>1</v>
      </c>
      <c r="N1313" t="s">
        <v>67</v>
      </c>
      <c r="O1313" s="2">
        <v>0.51874999999999993</v>
      </c>
      <c r="P1313">
        <f>-0.0071115291*3600</f>
        <v>-25.601504759999997</v>
      </c>
      <c r="Q1313">
        <f>-0.0053622217*3600</f>
        <v>-19.303998119999999</v>
      </c>
    </row>
    <row r="1314" spans="1:17" x14ac:dyDescent="0.3">
      <c r="A1314" s="4" t="s">
        <v>47</v>
      </c>
      <c r="B1314" s="5" t="s">
        <v>912</v>
      </c>
      <c r="C1314">
        <v>99.123898999999994</v>
      </c>
      <c r="D1314">
        <v>108.74542599999999</v>
      </c>
      <c r="E1314">
        <v>1</v>
      </c>
      <c r="F1314">
        <v>1</v>
      </c>
      <c r="G1314">
        <v>0.26100000000000001</v>
      </c>
      <c r="H1314">
        <v>0</v>
      </c>
      <c r="I1314" t="s">
        <v>0</v>
      </c>
      <c r="J1314" t="s">
        <v>59</v>
      </c>
      <c r="K1314">
        <v>0</v>
      </c>
      <c r="L1314" t="s">
        <v>60</v>
      </c>
      <c r="M1314">
        <v>1</v>
      </c>
      <c r="N1314" t="s">
        <v>67</v>
      </c>
      <c r="O1314" s="2">
        <v>0.51874999999999993</v>
      </c>
      <c r="P1314">
        <f>-0.0072253106*3600</f>
        <v>-26.011118159999999</v>
      </c>
      <c r="Q1314">
        <f>-0.0054272883*3600</f>
        <v>-19.538237880000001</v>
      </c>
    </row>
    <row r="1315" spans="1:17" x14ac:dyDescent="0.3">
      <c r="A1315" s="4" t="s">
        <v>47</v>
      </c>
      <c r="B1315" s="5" t="s">
        <v>913</v>
      </c>
      <c r="C1315">
        <v>99.123829999999998</v>
      </c>
      <c r="D1315">
        <v>108.745402</v>
      </c>
      <c r="E1315">
        <v>1</v>
      </c>
      <c r="F1315">
        <v>1</v>
      </c>
      <c r="G1315">
        <v>0.26100000000000001</v>
      </c>
      <c r="H1315">
        <v>0</v>
      </c>
      <c r="I1315" t="s">
        <v>0</v>
      </c>
      <c r="J1315" t="s">
        <v>59</v>
      </c>
      <c r="K1315">
        <v>0</v>
      </c>
      <c r="L1315" t="s">
        <v>60</v>
      </c>
      <c r="M1315">
        <v>1</v>
      </c>
      <c r="N1315" t="s">
        <v>67</v>
      </c>
      <c r="O1315" s="2">
        <v>0.51874999999999993</v>
      </c>
      <c r="P1315">
        <f>-0.0071296006*3600</f>
        <v>-25.666562160000002</v>
      </c>
      <c r="Q1315">
        <f>-0.0054359755*3600</f>
        <v>-19.569511800000001</v>
      </c>
    </row>
    <row r="1316" spans="1:17" x14ac:dyDescent="0.3">
      <c r="A1316" s="4" t="s">
        <v>47</v>
      </c>
      <c r="B1316" s="5" t="s">
        <v>914</v>
      </c>
      <c r="C1316">
        <v>99.123237000000003</v>
      </c>
      <c r="D1316">
        <v>108.745518</v>
      </c>
      <c r="E1316">
        <v>1</v>
      </c>
      <c r="F1316">
        <v>1</v>
      </c>
      <c r="G1316">
        <v>0.26100000000000001</v>
      </c>
      <c r="H1316">
        <v>0</v>
      </c>
      <c r="I1316" t="s">
        <v>0</v>
      </c>
      <c r="J1316" t="s">
        <v>59</v>
      </c>
      <c r="K1316">
        <v>0</v>
      </c>
      <c r="L1316" t="s">
        <v>60</v>
      </c>
      <c r="M1316">
        <v>1</v>
      </c>
      <c r="N1316" t="s">
        <v>67</v>
      </c>
      <c r="O1316" s="2">
        <v>0.51874999999999993</v>
      </c>
      <c r="P1316">
        <f>-0.0069693771*3600</f>
        <v>-25.089757559999999</v>
      </c>
      <c r="Q1316">
        <f>-0.0053322415*3600</f>
        <v>-19.196069400000003</v>
      </c>
    </row>
    <row r="1317" spans="1:17" x14ac:dyDescent="0.3">
      <c r="A1317" s="4" t="s">
        <v>47</v>
      </c>
      <c r="B1317" s="5" t="s">
        <v>915</v>
      </c>
      <c r="C1317">
        <v>99.123724999999993</v>
      </c>
      <c r="D1317">
        <v>108.745457</v>
      </c>
      <c r="E1317">
        <v>1</v>
      </c>
      <c r="F1317">
        <v>1</v>
      </c>
      <c r="G1317">
        <v>0.26100000000000001</v>
      </c>
      <c r="H1317">
        <v>0</v>
      </c>
      <c r="I1317" t="s">
        <v>0</v>
      </c>
      <c r="J1317" t="s">
        <v>59</v>
      </c>
      <c r="K1317">
        <v>0</v>
      </c>
      <c r="L1317" t="s">
        <v>60</v>
      </c>
      <c r="M1317">
        <v>1</v>
      </c>
      <c r="N1317" t="s">
        <v>67</v>
      </c>
      <c r="O1317" s="2">
        <v>0.51874999999999993</v>
      </c>
      <c r="P1317">
        <f>-0.0071124307*3600</f>
        <v>-25.60475052</v>
      </c>
      <c r="Q1317">
        <f>-0.0054055376*3600</f>
        <v>-19.459935360000003</v>
      </c>
    </row>
    <row r="1318" spans="1:17" x14ac:dyDescent="0.3">
      <c r="A1318" s="4" t="s">
        <v>47</v>
      </c>
      <c r="B1318" s="5" t="s">
        <v>916</v>
      </c>
      <c r="C1318">
        <v>99.123619000000005</v>
      </c>
      <c r="D1318">
        <v>108.745271</v>
      </c>
      <c r="E1318">
        <v>1</v>
      </c>
      <c r="F1318">
        <v>1</v>
      </c>
      <c r="G1318">
        <v>0.26100000000000001</v>
      </c>
      <c r="H1318">
        <v>0</v>
      </c>
      <c r="I1318" t="s">
        <v>0</v>
      </c>
      <c r="J1318" t="s">
        <v>59</v>
      </c>
      <c r="K1318">
        <v>0</v>
      </c>
      <c r="L1318" t="s">
        <v>60</v>
      </c>
      <c r="M1318">
        <v>1</v>
      </c>
      <c r="N1318" t="s">
        <v>67</v>
      </c>
      <c r="O1318" s="2">
        <v>0.51874999999999993</v>
      </c>
      <c r="P1318">
        <f>-0.0071556413*3600</f>
        <v>-25.760308679999998</v>
      </c>
      <c r="Q1318">
        <f>-0.0055769411*3600</f>
        <v>-20.07698796</v>
      </c>
    </row>
    <row r="1319" spans="1:17" x14ac:dyDescent="0.3">
      <c r="A1319" s="4" t="s">
        <v>47</v>
      </c>
      <c r="B1319" s="5" t="s">
        <v>917</v>
      </c>
      <c r="C1319">
        <v>99.123628999999994</v>
      </c>
      <c r="D1319">
        <v>108.745527</v>
      </c>
      <c r="E1319">
        <v>1</v>
      </c>
      <c r="F1319">
        <v>1</v>
      </c>
      <c r="G1319">
        <v>0.26100000000000001</v>
      </c>
      <c r="H1319">
        <v>0</v>
      </c>
      <c r="I1319" t="s">
        <v>0</v>
      </c>
      <c r="J1319" t="s">
        <v>59</v>
      </c>
      <c r="K1319">
        <v>0</v>
      </c>
      <c r="L1319" t="s">
        <v>60</v>
      </c>
      <c r="M1319">
        <v>1</v>
      </c>
      <c r="N1319" t="s">
        <v>67</v>
      </c>
      <c r="O1319" s="2">
        <v>0.51874999999999993</v>
      </c>
      <c r="P1319">
        <f>-0.0070200614*3600</f>
        <v>-25.272221040000002</v>
      </c>
      <c r="Q1319">
        <f>-0.005296493*3600</f>
        <v>-19.0673748</v>
      </c>
    </row>
    <row r="1320" spans="1:17" x14ac:dyDescent="0.3">
      <c r="A1320" s="4" t="s">
        <v>47</v>
      </c>
      <c r="B1320" s="5" t="s">
        <v>918</v>
      </c>
      <c r="C1320">
        <v>99.123656999999994</v>
      </c>
      <c r="D1320">
        <v>108.745468</v>
      </c>
      <c r="E1320">
        <v>1</v>
      </c>
      <c r="F1320">
        <v>1</v>
      </c>
      <c r="G1320">
        <v>0.26100000000000001</v>
      </c>
      <c r="H1320">
        <v>0</v>
      </c>
      <c r="I1320" t="s">
        <v>0</v>
      </c>
      <c r="J1320" t="s">
        <v>59</v>
      </c>
      <c r="K1320">
        <v>0</v>
      </c>
      <c r="L1320" t="s">
        <v>60</v>
      </c>
      <c r="M1320">
        <v>1</v>
      </c>
      <c r="N1320" t="s">
        <v>67</v>
      </c>
      <c r="O1320" s="2">
        <v>0.51874999999999993</v>
      </c>
      <c r="P1320">
        <f>-0.0069706481*3600</f>
        <v>-25.094333159999998</v>
      </c>
      <c r="Q1320">
        <f>-0.0053805246*3600</f>
        <v>-19.36988856</v>
      </c>
    </row>
    <row r="1321" spans="1:17" x14ac:dyDescent="0.3">
      <c r="A1321" s="4" t="s">
        <v>47</v>
      </c>
      <c r="B1321" s="5" t="s">
        <v>919</v>
      </c>
      <c r="C1321">
        <v>99.123942</v>
      </c>
      <c r="D1321">
        <v>108.745293</v>
      </c>
      <c r="E1321">
        <v>1</v>
      </c>
      <c r="F1321">
        <v>1</v>
      </c>
      <c r="G1321">
        <v>0.26100000000000001</v>
      </c>
      <c r="H1321">
        <v>0</v>
      </c>
      <c r="I1321" t="s">
        <v>0</v>
      </c>
      <c r="J1321" t="s">
        <v>59</v>
      </c>
      <c r="K1321">
        <v>0</v>
      </c>
      <c r="L1321" t="s">
        <v>60</v>
      </c>
      <c r="M1321">
        <v>1</v>
      </c>
      <c r="N1321" t="s">
        <v>67</v>
      </c>
      <c r="O1321" s="2">
        <v>0.51874999999999993</v>
      </c>
      <c r="P1321">
        <f>-0.0069984545*3600</f>
        <v>-25.194436199999998</v>
      </c>
      <c r="Q1321">
        <f>-0.0055484506*3600</f>
        <v>-19.97442216</v>
      </c>
    </row>
    <row r="1322" spans="1:17" x14ac:dyDescent="0.3">
      <c r="A1322" s="4" t="s">
        <v>47</v>
      </c>
      <c r="B1322" s="5" t="s">
        <v>920</v>
      </c>
      <c r="C1322">
        <v>99.124424000000005</v>
      </c>
      <c r="D1322">
        <v>108.745327</v>
      </c>
      <c r="E1322">
        <v>1</v>
      </c>
      <c r="F1322">
        <v>1</v>
      </c>
      <c r="G1322">
        <v>0.26100000000000001</v>
      </c>
      <c r="H1322">
        <v>0</v>
      </c>
      <c r="I1322" t="s">
        <v>0</v>
      </c>
      <c r="J1322" t="s">
        <v>59</v>
      </c>
      <c r="K1322">
        <v>0</v>
      </c>
      <c r="L1322" t="s">
        <v>60</v>
      </c>
      <c r="M1322">
        <v>1</v>
      </c>
      <c r="N1322" t="s">
        <v>67</v>
      </c>
      <c r="O1322" s="2">
        <v>0.51874999999999993</v>
      </c>
      <c r="P1322">
        <f>-0.0071003793*3600</f>
        <v>-25.561365479999999</v>
      </c>
      <c r="Q1322">
        <f>-0.0055271158*3600</f>
        <v>-19.897616880000001</v>
      </c>
    </row>
    <row r="1323" spans="1:17" x14ac:dyDescent="0.3">
      <c r="A1323" s="4" t="s">
        <v>47</v>
      </c>
      <c r="B1323" s="5" t="s">
        <v>921</v>
      </c>
      <c r="C1323">
        <v>99.123723999999996</v>
      </c>
      <c r="D1323">
        <v>108.74557299999999</v>
      </c>
      <c r="E1323">
        <v>1</v>
      </c>
      <c r="F1323">
        <v>1</v>
      </c>
      <c r="G1323">
        <v>0.26100000000000001</v>
      </c>
      <c r="H1323">
        <v>0</v>
      </c>
      <c r="I1323" t="s">
        <v>0</v>
      </c>
      <c r="J1323" t="s">
        <v>59</v>
      </c>
      <c r="K1323">
        <v>0</v>
      </c>
      <c r="L1323" t="s">
        <v>60</v>
      </c>
      <c r="M1323">
        <v>1</v>
      </c>
      <c r="N1323" t="s">
        <v>67</v>
      </c>
      <c r="O1323" s="2">
        <v>0.51874999999999993</v>
      </c>
      <c r="P1323">
        <f>-0.0070465307*3600</f>
        <v>-25.36751052</v>
      </c>
      <c r="Q1323">
        <f>-0.005259477*3600</f>
        <v>-18.934117199999999</v>
      </c>
    </row>
    <row r="1324" spans="1:17" x14ac:dyDescent="0.3">
      <c r="A1324" s="4" t="s">
        <v>47</v>
      </c>
      <c r="B1324" s="5" t="s">
        <v>922</v>
      </c>
      <c r="C1324">
        <v>99.123546000000005</v>
      </c>
      <c r="D1324">
        <v>108.745586</v>
      </c>
      <c r="E1324">
        <v>1</v>
      </c>
      <c r="F1324">
        <v>1</v>
      </c>
      <c r="G1324">
        <v>0.26100000000000001</v>
      </c>
      <c r="H1324">
        <v>0</v>
      </c>
      <c r="I1324" t="s">
        <v>0</v>
      </c>
      <c r="J1324" t="s">
        <v>59</v>
      </c>
      <c r="K1324">
        <v>0</v>
      </c>
      <c r="L1324" t="s">
        <v>60</v>
      </c>
      <c r="M1324">
        <v>1</v>
      </c>
      <c r="N1324" t="s">
        <v>67</v>
      </c>
      <c r="O1324" s="2">
        <v>0.51874999999999993</v>
      </c>
      <c r="P1324">
        <f>-0.0067765846*3600</f>
        <v>-24.395704559999999</v>
      </c>
      <c r="Q1324">
        <f>-0.0052580371*3600</f>
        <v>-18.928933559999997</v>
      </c>
    </row>
    <row r="1325" spans="1:17" x14ac:dyDescent="0.3">
      <c r="A1325" s="4" t="s">
        <v>47</v>
      </c>
      <c r="B1325" s="5" t="s">
        <v>923</v>
      </c>
      <c r="C1325">
        <v>99.123580000000004</v>
      </c>
      <c r="D1325">
        <v>108.74569200000001</v>
      </c>
      <c r="E1325">
        <v>1</v>
      </c>
      <c r="F1325">
        <v>1</v>
      </c>
      <c r="G1325">
        <v>0.26100000000000001</v>
      </c>
      <c r="H1325">
        <v>0</v>
      </c>
      <c r="I1325" t="s">
        <v>0</v>
      </c>
      <c r="J1325" t="s">
        <v>59</v>
      </c>
      <c r="K1325">
        <v>0</v>
      </c>
      <c r="L1325" t="s">
        <v>60</v>
      </c>
      <c r="M1325">
        <v>1</v>
      </c>
      <c r="N1325" t="s">
        <v>67</v>
      </c>
      <c r="O1325" s="2">
        <v>0.51874999999999993</v>
      </c>
      <c r="P1325">
        <f>-0.0068891736*3600</f>
        <v>-24.801024960000003</v>
      </c>
      <c r="Q1325">
        <f>-0.0051657501*3600</f>
        <v>-18.59670036</v>
      </c>
    </row>
    <row r="1326" spans="1:17" x14ac:dyDescent="0.3">
      <c r="A1326" s="4" t="s">
        <v>47</v>
      </c>
      <c r="B1326" s="5" t="s">
        <v>924</v>
      </c>
      <c r="C1326">
        <v>99.123281000000006</v>
      </c>
      <c r="D1326">
        <v>108.745479</v>
      </c>
      <c r="E1326">
        <v>1</v>
      </c>
      <c r="F1326">
        <v>1</v>
      </c>
      <c r="G1326">
        <v>0.26100000000000001</v>
      </c>
      <c r="H1326">
        <v>0</v>
      </c>
      <c r="I1326" t="s">
        <v>0</v>
      </c>
      <c r="J1326" t="s">
        <v>59</v>
      </c>
      <c r="K1326">
        <v>0</v>
      </c>
      <c r="L1326" t="s">
        <v>60</v>
      </c>
      <c r="M1326">
        <v>1</v>
      </c>
      <c r="N1326" t="s">
        <v>67</v>
      </c>
      <c r="O1326" s="2">
        <v>0.51874999999999993</v>
      </c>
      <c r="P1326">
        <f>-0.0071266731*3600</f>
        <v>-25.65602316</v>
      </c>
      <c r="Q1326">
        <f>-0.0053408478*3600</f>
        <v>-19.22705208</v>
      </c>
    </row>
    <row r="1327" spans="1:17" x14ac:dyDescent="0.3">
      <c r="A1327" s="4" t="s">
        <v>47</v>
      </c>
      <c r="B1327" s="5" t="s">
        <v>925</v>
      </c>
      <c r="C1327">
        <v>99.123734999999996</v>
      </c>
      <c r="D1327">
        <v>108.74577600000001</v>
      </c>
      <c r="E1327">
        <v>1</v>
      </c>
      <c r="F1327">
        <v>1</v>
      </c>
      <c r="G1327">
        <v>0.26100000000000001</v>
      </c>
      <c r="H1327">
        <v>0</v>
      </c>
      <c r="I1327" t="s">
        <v>0</v>
      </c>
      <c r="J1327" t="s">
        <v>59</v>
      </c>
      <c r="K1327">
        <v>0</v>
      </c>
      <c r="L1327" t="s">
        <v>60</v>
      </c>
      <c r="M1327">
        <v>1</v>
      </c>
      <c r="N1327" t="s">
        <v>67</v>
      </c>
      <c r="O1327" s="2">
        <v>0.51874999999999993</v>
      </c>
      <c r="P1327">
        <f>-0.0068638487*3600</f>
        <v>-24.709855320000003</v>
      </c>
      <c r="Q1327">
        <f>-0.0050790999*3600</f>
        <v>-18.284759640000001</v>
      </c>
    </row>
    <row r="1328" spans="1:17" x14ac:dyDescent="0.3">
      <c r="A1328" s="4" t="s">
        <v>47</v>
      </c>
      <c r="B1328" s="5" t="s">
        <v>926</v>
      </c>
      <c r="C1328">
        <v>99.124380000000002</v>
      </c>
      <c r="D1328">
        <v>108.745571</v>
      </c>
      <c r="E1328">
        <v>1</v>
      </c>
      <c r="F1328">
        <v>1</v>
      </c>
      <c r="G1328">
        <v>0.26100000000000001</v>
      </c>
      <c r="H1328">
        <v>0</v>
      </c>
      <c r="I1328" t="s">
        <v>0</v>
      </c>
      <c r="J1328" t="s">
        <v>59</v>
      </c>
      <c r="K1328">
        <v>0</v>
      </c>
      <c r="L1328" t="s">
        <v>60</v>
      </c>
      <c r="M1328">
        <v>1</v>
      </c>
      <c r="N1328" t="s">
        <v>67</v>
      </c>
      <c r="O1328" s="2">
        <v>0.51944444444444449</v>
      </c>
      <c r="P1328">
        <f>-0.007020853*3600</f>
        <v>-25.275070799999998</v>
      </c>
      <c r="Q1328">
        <f>-0.0052530756*3600</f>
        <v>-18.91107216</v>
      </c>
    </row>
    <row r="1329" spans="1:17" x14ac:dyDescent="0.3">
      <c r="A1329" s="4" t="s">
        <v>47</v>
      </c>
      <c r="B1329" s="6" t="s">
        <v>927</v>
      </c>
      <c r="C1329">
        <v>299.12388700000002</v>
      </c>
      <c r="D1329">
        <v>291.12505800000002</v>
      </c>
      <c r="E1329">
        <v>8.0366999999999997</v>
      </c>
      <c r="F1329">
        <v>7.9573</v>
      </c>
      <c r="G1329">
        <v>0.26100000000000001</v>
      </c>
      <c r="H1329">
        <v>0</v>
      </c>
      <c r="I1329" t="s">
        <v>0</v>
      </c>
      <c r="J1329" t="s">
        <v>59</v>
      </c>
      <c r="K1329">
        <v>3.4000000000000002E-2</v>
      </c>
      <c r="L1329" t="s">
        <v>60</v>
      </c>
      <c r="M1329">
        <v>1</v>
      </c>
      <c r="N1329" t="s">
        <v>53</v>
      </c>
      <c r="O1329" s="2">
        <v>0.51944444444444449</v>
      </c>
      <c r="P1329">
        <f>0.0052745273*3600</f>
        <v>18.988298279999999</v>
      </c>
      <c r="Q1329">
        <f>0.0048635405*3600</f>
        <v>17.5087458</v>
      </c>
    </row>
    <row r="1330" spans="1:17" x14ac:dyDescent="0.3">
      <c r="A1330" s="4" t="s">
        <v>47</v>
      </c>
      <c r="B1330" s="6" t="s">
        <v>928</v>
      </c>
      <c r="C1330">
        <v>299.12396699999999</v>
      </c>
      <c r="D1330">
        <v>291.23753599999998</v>
      </c>
      <c r="E1330">
        <v>1</v>
      </c>
      <c r="F1330">
        <v>1</v>
      </c>
      <c r="G1330">
        <v>0.26100000000000001</v>
      </c>
      <c r="H1330">
        <v>0</v>
      </c>
      <c r="I1330" t="s">
        <v>0</v>
      </c>
      <c r="J1330" t="s">
        <v>59</v>
      </c>
      <c r="K1330">
        <v>0</v>
      </c>
      <c r="L1330" t="s">
        <v>60</v>
      </c>
      <c r="M1330">
        <v>1</v>
      </c>
      <c r="N1330" t="s">
        <v>67</v>
      </c>
      <c r="O1330" s="2">
        <v>0.51944444444444449</v>
      </c>
      <c r="P1330">
        <f>0.0053374148*3600</f>
        <v>19.214693279999999</v>
      </c>
      <c r="Q1330">
        <f>0.0054122662*3600</f>
        <v>19.484158319999999</v>
      </c>
    </row>
    <row r="1331" spans="1:17" x14ac:dyDescent="0.3">
      <c r="A1331" s="4" t="s">
        <v>47</v>
      </c>
      <c r="B1331" s="6" t="s">
        <v>929</v>
      </c>
      <c r="C1331">
        <v>299.12383399999999</v>
      </c>
      <c r="D1331">
        <v>291.23748499999999</v>
      </c>
      <c r="E1331">
        <v>1</v>
      </c>
      <c r="F1331">
        <v>1</v>
      </c>
      <c r="G1331">
        <v>0.26100000000000001</v>
      </c>
      <c r="H1331">
        <v>0</v>
      </c>
      <c r="I1331" t="s">
        <v>0</v>
      </c>
      <c r="J1331" t="s">
        <v>59</v>
      </c>
      <c r="K1331">
        <v>0</v>
      </c>
      <c r="L1331" t="s">
        <v>60</v>
      </c>
      <c r="M1331">
        <v>1</v>
      </c>
      <c r="N1331" t="s">
        <v>67</v>
      </c>
      <c r="O1331" s="2">
        <v>0.51944444444444449</v>
      </c>
      <c r="P1331">
        <f>0.00530059*3600</f>
        <v>19.082124</v>
      </c>
      <c r="Q1331">
        <f>0.0053637101*3600</f>
        <v>19.309356360000002</v>
      </c>
    </row>
    <row r="1332" spans="1:17" x14ac:dyDescent="0.3">
      <c r="A1332" s="4" t="s">
        <v>47</v>
      </c>
      <c r="B1332" s="6" t="s">
        <v>930</v>
      </c>
      <c r="C1332">
        <v>299.12420500000002</v>
      </c>
      <c r="D1332">
        <v>291.23746</v>
      </c>
      <c r="E1332">
        <v>1</v>
      </c>
      <c r="F1332">
        <v>1</v>
      </c>
      <c r="G1332">
        <v>0.26100000000000001</v>
      </c>
      <c r="H1332">
        <v>0</v>
      </c>
      <c r="I1332" t="s">
        <v>0</v>
      </c>
      <c r="J1332" t="s">
        <v>59</v>
      </c>
      <c r="K1332">
        <v>0</v>
      </c>
      <c r="L1332" t="s">
        <v>60</v>
      </c>
      <c r="M1332">
        <v>1</v>
      </c>
      <c r="N1332" t="s">
        <v>67</v>
      </c>
      <c r="O1332" s="2">
        <v>0.51944444444444449</v>
      </c>
      <c r="P1332">
        <f>0.005337879*3600</f>
        <v>19.2163644</v>
      </c>
      <c r="Q1332">
        <f>0.0053161247*3600</f>
        <v>19.138048919999999</v>
      </c>
    </row>
    <row r="1333" spans="1:17" x14ac:dyDescent="0.3">
      <c r="A1333" s="4" t="s">
        <v>47</v>
      </c>
      <c r="B1333" s="6" t="s">
        <v>931</v>
      </c>
      <c r="C1333">
        <v>299.12427700000001</v>
      </c>
      <c r="D1333">
        <v>291.23743899999999</v>
      </c>
      <c r="E1333">
        <v>1</v>
      </c>
      <c r="F1333">
        <v>1</v>
      </c>
      <c r="G1333">
        <v>0.26100000000000001</v>
      </c>
      <c r="H1333">
        <v>0</v>
      </c>
      <c r="I1333" t="s">
        <v>0</v>
      </c>
      <c r="J1333" t="s">
        <v>59</v>
      </c>
      <c r="K1333">
        <v>0</v>
      </c>
      <c r="L1333" t="s">
        <v>60</v>
      </c>
      <c r="M1333">
        <v>1</v>
      </c>
      <c r="N1333" t="s">
        <v>67</v>
      </c>
      <c r="O1333" s="2">
        <v>0.51944444444444449</v>
      </c>
      <c r="P1333">
        <f>0.0052739206*3600</f>
        <v>18.98611416</v>
      </c>
      <c r="Q1333">
        <f>0.005286663*3600</f>
        <v>19.031986799999999</v>
      </c>
    </row>
    <row r="1334" spans="1:17" x14ac:dyDescent="0.3">
      <c r="A1334" s="4" t="s">
        <v>47</v>
      </c>
      <c r="B1334" s="6" t="s">
        <v>932</v>
      </c>
      <c r="C1334">
        <v>299.12435399999998</v>
      </c>
      <c r="D1334">
        <v>291.23756500000002</v>
      </c>
      <c r="E1334">
        <v>1</v>
      </c>
      <c r="F1334">
        <v>1</v>
      </c>
      <c r="G1334">
        <v>0.26100000000000001</v>
      </c>
      <c r="H1334">
        <v>0</v>
      </c>
      <c r="I1334" t="s">
        <v>0</v>
      </c>
      <c r="J1334" t="s">
        <v>59</v>
      </c>
      <c r="K1334">
        <v>0</v>
      </c>
      <c r="L1334" t="s">
        <v>60</v>
      </c>
      <c r="M1334">
        <v>1</v>
      </c>
      <c r="N1334" t="s">
        <v>67</v>
      </c>
      <c r="O1334" s="2">
        <v>0.51944444444444449</v>
      </c>
      <c r="P1334">
        <f>0.0052588602*3600</f>
        <v>18.931896720000001</v>
      </c>
      <c r="Q1334">
        <f>0.0054174897*3600</f>
        <v>19.502962920000002</v>
      </c>
    </row>
    <row r="1335" spans="1:17" x14ac:dyDescent="0.3">
      <c r="A1335" s="4" t="s">
        <v>47</v>
      </c>
      <c r="B1335" s="6" t="s">
        <v>933</v>
      </c>
      <c r="C1335">
        <v>299.12450000000001</v>
      </c>
      <c r="D1335">
        <v>291.23748399999999</v>
      </c>
      <c r="E1335">
        <v>1</v>
      </c>
      <c r="F1335">
        <v>1</v>
      </c>
      <c r="G1335">
        <v>0.26100000000000001</v>
      </c>
      <c r="H1335">
        <v>0</v>
      </c>
      <c r="I1335" t="s">
        <v>0</v>
      </c>
      <c r="J1335" t="s">
        <v>59</v>
      </c>
      <c r="K1335">
        <v>0</v>
      </c>
      <c r="L1335" t="s">
        <v>60</v>
      </c>
      <c r="M1335">
        <v>1</v>
      </c>
      <c r="N1335" t="s">
        <v>67</v>
      </c>
      <c r="O1335" s="2">
        <v>0.51944444444444449</v>
      </c>
      <c r="P1335">
        <f>0.0054509002*3600</f>
        <v>19.623240719999998</v>
      </c>
      <c r="Q1335">
        <f>0.0053114275*3600</f>
        <v>19.121138999999999</v>
      </c>
    </row>
    <row r="1336" spans="1:17" x14ac:dyDescent="0.3">
      <c r="A1336" s="4" t="s">
        <v>47</v>
      </c>
      <c r="B1336" s="6" t="s">
        <v>934</v>
      </c>
      <c r="C1336">
        <v>299.12489199999999</v>
      </c>
      <c r="D1336">
        <v>291.237549</v>
      </c>
      <c r="E1336">
        <v>1</v>
      </c>
      <c r="F1336">
        <v>1</v>
      </c>
      <c r="G1336">
        <v>0.26100000000000001</v>
      </c>
      <c r="H1336">
        <v>0</v>
      </c>
      <c r="I1336" t="s">
        <v>0</v>
      </c>
      <c r="J1336" t="s">
        <v>59</v>
      </c>
      <c r="K1336">
        <v>0</v>
      </c>
      <c r="L1336" t="s">
        <v>60</v>
      </c>
      <c r="M1336">
        <v>1</v>
      </c>
      <c r="N1336" t="s">
        <v>67</v>
      </c>
      <c r="O1336" s="2">
        <v>0.51944444444444449</v>
      </c>
      <c r="P1336">
        <f>0.0055262362*3600</f>
        <v>19.894450320000001</v>
      </c>
      <c r="Q1336">
        <f>0.0053481126*3600</f>
        <v>19.253205359999999</v>
      </c>
    </row>
    <row r="1337" spans="1:17" x14ac:dyDescent="0.3">
      <c r="A1337" s="4" t="s">
        <v>47</v>
      </c>
      <c r="B1337" s="6" t="s">
        <v>935</v>
      </c>
      <c r="C1337">
        <v>299.12564099999997</v>
      </c>
      <c r="D1337">
        <v>291.23774300000002</v>
      </c>
      <c r="E1337">
        <v>1</v>
      </c>
      <c r="F1337">
        <v>1</v>
      </c>
      <c r="G1337">
        <v>0.26100000000000001</v>
      </c>
      <c r="H1337">
        <v>0</v>
      </c>
      <c r="I1337" t="s">
        <v>0</v>
      </c>
      <c r="J1337" t="s">
        <v>59</v>
      </c>
      <c r="K1337">
        <v>0</v>
      </c>
      <c r="L1337" t="s">
        <v>60</v>
      </c>
      <c r="M1337">
        <v>1</v>
      </c>
      <c r="N1337" t="s">
        <v>67</v>
      </c>
      <c r="O1337" s="2">
        <v>0.51944444444444449</v>
      </c>
      <c r="P1337">
        <f>0.0054670985*3600</f>
        <v>19.681554599999998</v>
      </c>
      <c r="Q1337">
        <f>0.0055404086*3600</f>
        <v>19.945470960000002</v>
      </c>
    </row>
    <row r="1338" spans="1:17" x14ac:dyDescent="0.3">
      <c r="A1338" s="4" t="s">
        <v>47</v>
      </c>
      <c r="B1338" s="6" t="s">
        <v>936</v>
      </c>
      <c r="C1338">
        <v>299.124754</v>
      </c>
      <c r="D1338">
        <v>291.23737799999998</v>
      </c>
      <c r="E1338">
        <v>1</v>
      </c>
      <c r="F1338">
        <v>1</v>
      </c>
      <c r="G1338">
        <v>0.26100000000000001</v>
      </c>
      <c r="H1338">
        <v>0</v>
      </c>
      <c r="I1338" t="s">
        <v>0</v>
      </c>
      <c r="J1338" t="s">
        <v>59</v>
      </c>
      <c r="K1338">
        <v>0</v>
      </c>
      <c r="L1338" t="s">
        <v>60</v>
      </c>
      <c r="M1338">
        <v>1</v>
      </c>
      <c r="N1338" t="s">
        <v>67</v>
      </c>
      <c r="O1338" s="2">
        <v>0.51944444444444449</v>
      </c>
      <c r="P1338">
        <f>0.0053766578*3600</f>
        <v>19.35596808</v>
      </c>
      <c r="Q1338">
        <f>0.0052052699*3600</f>
        <v>18.738971639999999</v>
      </c>
    </row>
    <row r="1339" spans="1:17" x14ac:dyDescent="0.3">
      <c r="A1339" s="4" t="s">
        <v>47</v>
      </c>
      <c r="B1339" s="6" t="s">
        <v>937</v>
      </c>
      <c r="C1339">
        <v>299.12450799999999</v>
      </c>
      <c r="D1339">
        <v>291.23743100000002</v>
      </c>
      <c r="E1339">
        <v>1</v>
      </c>
      <c r="F1339">
        <v>1</v>
      </c>
      <c r="G1339">
        <v>0.26100000000000001</v>
      </c>
      <c r="H1339">
        <v>0</v>
      </c>
      <c r="I1339" t="s">
        <v>0</v>
      </c>
      <c r="J1339" t="s">
        <v>59</v>
      </c>
      <c r="K1339">
        <v>0</v>
      </c>
      <c r="L1339" t="s">
        <v>60</v>
      </c>
      <c r="M1339">
        <v>1</v>
      </c>
      <c r="N1339" t="s">
        <v>67</v>
      </c>
      <c r="O1339" s="2">
        <v>0.51944444444444449</v>
      </c>
      <c r="P1339">
        <f>0.0054507866*3600</f>
        <v>19.62283176</v>
      </c>
      <c r="Q1339">
        <f>0.0052522879*3600</f>
        <v>18.90823644</v>
      </c>
    </row>
    <row r="1340" spans="1:17" x14ac:dyDescent="0.3">
      <c r="A1340" s="4" t="s">
        <v>47</v>
      </c>
      <c r="B1340" s="6" t="s">
        <v>938</v>
      </c>
      <c r="C1340">
        <v>299.12443400000001</v>
      </c>
      <c r="D1340">
        <v>291.23756300000002</v>
      </c>
      <c r="E1340">
        <v>1</v>
      </c>
      <c r="F1340">
        <v>1</v>
      </c>
      <c r="G1340">
        <v>0.26100000000000001</v>
      </c>
      <c r="H1340">
        <v>0</v>
      </c>
      <c r="I1340" t="s">
        <v>0</v>
      </c>
      <c r="J1340" t="s">
        <v>59</v>
      </c>
      <c r="K1340">
        <v>0</v>
      </c>
      <c r="L1340" t="s">
        <v>60</v>
      </c>
      <c r="M1340">
        <v>1</v>
      </c>
      <c r="N1340" t="s">
        <v>67</v>
      </c>
      <c r="O1340" s="2">
        <v>0.51944444444444449</v>
      </c>
      <c r="P1340">
        <f>0.0053503603*3600</f>
        <v>19.261297079999999</v>
      </c>
      <c r="Q1340">
        <f>0.0053896123*3600</f>
        <v>19.402604279999998</v>
      </c>
    </row>
    <row r="1341" spans="1:17" x14ac:dyDescent="0.3">
      <c r="A1341" s="4" t="s">
        <v>47</v>
      </c>
      <c r="B1341" s="6" t="s">
        <v>939</v>
      </c>
      <c r="C1341">
        <v>299.12440299999997</v>
      </c>
      <c r="D1341">
        <v>291.237368</v>
      </c>
      <c r="E1341">
        <v>1</v>
      </c>
      <c r="F1341">
        <v>1</v>
      </c>
      <c r="G1341">
        <v>0.26100000000000001</v>
      </c>
      <c r="H1341">
        <v>0</v>
      </c>
      <c r="I1341" t="s">
        <v>0</v>
      </c>
      <c r="J1341" t="s">
        <v>59</v>
      </c>
      <c r="K1341">
        <v>0</v>
      </c>
      <c r="L1341" t="s">
        <v>60</v>
      </c>
      <c r="M1341">
        <v>1</v>
      </c>
      <c r="N1341" t="s">
        <v>67</v>
      </c>
      <c r="O1341" s="2">
        <v>0.51944444444444449</v>
      </c>
      <c r="P1341">
        <f>0.005276575*3600</f>
        <v>18.99567</v>
      </c>
      <c r="Q1341">
        <f>0.0051689173*3600</f>
        <v>18.608102280000001</v>
      </c>
    </row>
    <row r="1342" spans="1:17" x14ac:dyDescent="0.3">
      <c r="A1342" s="4" t="s">
        <v>47</v>
      </c>
      <c r="B1342" s="6" t="s">
        <v>940</v>
      </c>
      <c r="C1342">
        <v>299.12451900000002</v>
      </c>
      <c r="D1342">
        <v>291.23739599999999</v>
      </c>
      <c r="E1342">
        <v>1</v>
      </c>
      <c r="F1342">
        <v>1</v>
      </c>
      <c r="G1342">
        <v>0.26100000000000001</v>
      </c>
      <c r="H1342">
        <v>0</v>
      </c>
      <c r="I1342" t="s">
        <v>0</v>
      </c>
      <c r="J1342" t="s">
        <v>59</v>
      </c>
      <c r="K1342">
        <v>0</v>
      </c>
      <c r="L1342" t="s">
        <v>60</v>
      </c>
      <c r="M1342">
        <v>1</v>
      </c>
      <c r="N1342" t="s">
        <v>67</v>
      </c>
      <c r="O1342" s="2">
        <v>0.51944444444444449</v>
      </c>
      <c r="P1342">
        <f>0.0053659665*3600</f>
        <v>19.3174794</v>
      </c>
      <c r="Q1342">
        <f>0.0052455967*3600</f>
        <v>18.884148119999999</v>
      </c>
    </row>
    <row r="1343" spans="1:17" x14ac:dyDescent="0.3">
      <c r="A1343" s="4" t="s">
        <v>47</v>
      </c>
      <c r="B1343" s="6" t="s">
        <v>941</v>
      </c>
      <c r="C1343">
        <v>299.12454300000002</v>
      </c>
      <c r="D1343">
        <v>291.23742700000003</v>
      </c>
      <c r="E1343">
        <v>1</v>
      </c>
      <c r="F1343">
        <v>1</v>
      </c>
      <c r="G1343">
        <v>0.26100000000000001</v>
      </c>
      <c r="H1343">
        <v>0</v>
      </c>
      <c r="I1343" t="s">
        <v>0</v>
      </c>
      <c r="J1343" t="s">
        <v>59</v>
      </c>
      <c r="K1343">
        <v>0</v>
      </c>
      <c r="L1343" t="s">
        <v>60</v>
      </c>
      <c r="M1343">
        <v>1</v>
      </c>
      <c r="N1343" t="s">
        <v>67</v>
      </c>
      <c r="O1343" s="2">
        <v>0.51944444444444449</v>
      </c>
      <c r="P1343">
        <f>0.0053514441*3600</f>
        <v>19.265198760000001</v>
      </c>
      <c r="Q1343">
        <f>0.0052266767*3600</f>
        <v>18.81603612</v>
      </c>
    </row>
    <row r="1344" spans="1:17" x14ac:dyDescent="0.3">
      <c r="A1344" s="4" t="s">
        <v>47</v>
      </c>
      <c r="B1344" s="6" t="s">
        <v>942</v>
      </c>
      <c r="C1344">
        <v>299.12432100000001</v>
      </c>
      <c r="D1344">
        <v>291.23752200000001</v>
      </c>
      <c r="E1344">
        <v>1</v>
      </c>
      <c r="F1344">
        <v>1</v>
      </c>
      <c r="G1344">
        <v>0.26100000000000001</v>
      </c>
      <c r="H1344">
        <v>0</v>
      </c>
      <c r="I1344" t="s">
        <v>0</v>
      </c>
      <c r="J1344" t="s">
        <v>59</v>
      </c>
      <c r="K1344">
        <v>0</v>
      </c>
      <c r="L1344" t="s">
        <v>60</v>
      </c>
      <c r="M1344">
        <v>1</v>
      </c>
      <c r="N1344" t="s">
        <v>67</v>
      </c>
      <c r="O1344" s="2">
        <v>0.51944444444444449</v>
      </c>
      <c r="P1344">
        <f>0.0054304906*3600</f>
        <v>19.549766160000001</v>
      </c>
      <c r="Q1344">
        <f>0.0053333096*3600</f>
        <v>19.19991456</v>
      </c>
    </row>
    <row r="1345" spans="1:17" x14ac:dyDescent="0.3">
      <c r="A1345" s="4" t="s">
        <v>47</v>
      </c>
      <c r="B1345" s="6" t="s">
        <v>943</v>
      </c>
      <c r="C1345">
        <v>299.12506200000001</v>
      </c>
      <c r="D1345">
        <v>291.23778099999998</v>
      </c>
      <c r="E1345">
        <v>1</v>
      </c>
      <c r="F1345">
        <v>1</v>
      </c>
      <c r="G1345">
        <v>0.26100000000000001</v>
      </c>
      <c r="H1345">
        <v>0</v>
      </c>
      <c r="I1345" t="s">
        <v>0</v>
      </c>
      <c r="J1345" t="s">
        <v>59</v>
      </c>
      <c r="K1345">
        <v>0</v>
      </c>
      <c r="L1345" t="s">
        <v>60</v>
      </c>
      <c r="M1345">
        <v>1</v>
      </c>
      <c r="N1345" t="s">
        <v>67</v>
      </c>
      <c r="O1345" s="2">
        <v>0.51944444444444449</v>
      </c>
      <c r="P1345">
        <f>0.0053499958*3600</f>
        <v>19.259984880000001</v>
      </c>
      <c r="Q1345">
        <f>0.0055822505*3600</f>
        <v>20.0961018</v>
      </c>
    </row>
    <row r="1346" spans="1:17" x14ac:dyDescent="0.3">
      <c r="A1346" s="4" t="s">
        <v>47</v>
      </c>
      <c r="B1346" s="6" t="s">
        <v>944</v>
      </c>
      <c r="C1346">
        <v>299.12481500000001</v>
      </c>
      <c r="D1346">
        <v>291.23750699999999</v>
      </c>
      <c r="E1346">
        <v>1</v>
      </c>
      <c r="F1346">
        <v>1</v>
      </c>
      <c r="G1346">
        <v>0.26100000000000001</v>
      </c>
      <c r="H1346">
        <v>0</v>
      </c>
      <c r="I1346" t="s">
        <v>0</v>
      </c>
      <c r="J1346" t="s">
        <v>59</v>
      </c>
      <c r="K1346">
        <v>0</v>
      </c>
      <c r="L1346" t="s">
        <v>60</v>
      </c>
      <c r="M1346">
        <v>1</v>
      </c>
      <c r="N1346" t="s">
        <v>67</v>
      </c>
      <c r="O1346" s="2">
        <v>0.51944444444444449</v>
      </c>
      <c r="P1346">
        <f>0.0052612581*3600</f>
        <v>18.940529160000001</v>
      </c>
      <c r="Q1346">
        <f>0.0053164403*3600</f>
        <v>19.139185080000001</v>
      </c>
    </row>
    <row r="1347" spans="1:17" x14ac:dyDescent="0.3">
      <c r="A1347" s="4" t="s">
        <v>47</v>
      </c>
      <c r="B1347" s="6" t="s">
        <v>945</v>
      </c>
      <c r="C1347">
        <v>299.12398999999999</v>
      </c>
      <c r="D1347">
        <v>291.23761000000002</v>
      </c>
      <c r="E1347">
        <v>1</v>
      </c>
      <c r="F1347">
        <v>1</v>
      </c>
      <c r="G1347">
        <v>0.26100000000000001</v>
      </c>
      <c r="H1347">
        <v>0</v>
      </c>
      <c r="I1347" t="s">
        <v>0</v>
      </c>
      <c r="J1347" t="s">
        <v>59</v>
      </c>
      <c r="K1347">
        <v>0</v>
      </c>
      <c r="L1347" t="s">
        <v>60</v>
      </c>
      <c r="M1347">
        <v>1</v>
      </c>
      <c r="N1347" t="s">
        <v>67</v>
      </c>
      <c r="O1347" s="2">
        <v>0.51944444444444449</v>
      </c>
      <c r="P1347">
        <f>0.0052488397*3600</f>
        <v>18.895822920000001</v>
      </c>
      <c r="Q1347">
        <f>0.0053726309*3600</f>
        <v>19.341471239999997</v>
      </c>
    </row>
    <row r="1348" spans="1:17" x14ac:dyDescent="0.3">
      <c r="A1348" s="4" t="s">
        <v>47</v>
      </c>
      <c r="B1348" s="6" t="s">
        <v>946</v>
      </c>
      <c r="C1348">
        <v>299.123673</v>
      </c>
      <c r="D1348">
        <v>291.23753699999997</v>
      </c>
      <c r="E1348">
        <v>1</v>
      </c>
      <c r="F1348">
        <v>1</v>
      </c>
      <c r="G1348">
        <v>0.26100000000000001</v>
      </c>
      <c r="H1348">
        <v>0</v>
      </c>
      <c r="I1348" t="s">
        <v>0</v>
      </c>
      <c r="J1348" t="s">
        <v>59</v>
      </c>
      <c r="K1348">
        <v>0</v>
      </c>
      <c r="L1348" t="s">
        <v>60</v>
      </c>
      <c r="M1348">
        <v>1</v>
      </c>
      <c r="N1348" t="s">
        <v>67</v>
      </c>
      <c r="O1348" s="2">
        <v>0.51944444444444449</v>
      </c>
      <c r="P1348">
        <f>0.0052132724*3600</f>
        <v>18.767780639999998</v>
      </c>
      <c r="Q1348">
        <f>0.005352325*3600</f>
        <v>19.268370000000001</v>
      </c>
    </row>
    <row r="1349" spans="1:17" x14ac:dyDescent="0.3">
      <c r="A1349" s="4" t="s">
        <v>47</v>
      </c>
      <c r="B1349" s="6" t="s">
        <v>947</v>
      </c>
      <c r="C1349">
        <v>299.12370900000002</v>
      </c>
      <c r="D1349">
        <v>291.23747500000002</v>
      </c>
      <c r="E1349">
        <v>1</v>
      </c>
      <c r="F1349">
        <v>1</v>
      </c>
      <c r="G1349">
        <v>0.26100000000000001</v>
      </c>
      <c r="H1349">
        <v>0</v>
      </c>
      <c r="I1349" t="s">
        <v>0</v>
      </c>
      <c r="J1349" t="s">
        <v>59</v>
      </c>
      <c r="K1349">
        <v>0</v>
      </c>
      <c r="L1349" t="s">
        <v>60</v>
      </c>
      <c r="M1349">
        <v>1</v>
      </c>
      <c r="N1349" t="s">
        <v>67</v>
      </c>
      <c r="O1349" s="2">
        <v>0.51944444444444449</v>
      </c>
      <c r="P1349">
        <f>0.0052637918*3600</f>
        <v>18.949650479999999</v>
      </c>
      <c r="Q1349">
        <f>0.0052868314*3600</f>
        <v>19.032593039999998</v>
      </c>
    </row>
    <row r="1350" spans="1:17" x14ac:dyDescent="0.3">
      <c r="A1350" s="4" t="s">
        <v>47</v>
      </c>
      <c r="B1350" s="6" t="s">
        <v>948</v>
      </c>
      <c r="C1350">
        <v>299.12428299999999</v>
      </c>
      <c r="D1350">
        <v>291.23752500000001</v>
      </c>
      <c r="E1350">
        <v>1</v>
      </c>
      <c r="F1350">
        <v>1</v>
      </c>
      <c r="G1350">
        <v>0.26100000000000001</v>
      </c>
      <c r="H1350">
        <v>0</v>
      </c>
      <c r="I1350" t="s">
        <v>0</v>
      </c>
      <c r="J1350" t="s">
        <v>59</v>
      </c>
      <c r="K1350">
        <v>0</v>
      </c>
      <c r="L1350" t="s">
        <v>60</v>
      </c>
      <c r="M1350">
        <v>1</v>
      </c>
      <c r="N1350" t="s">
        <v>67</v>
      </c>
      <c r="O1350" s="2">
        <v>0.51944444444444449</v>
      </c>
      <c r="P1350">
        <f>0.0052461085*3600</f>
        <v>18.8859906</v>
      </c>
      <c r="Q1350">
        <f>0.005301905*3600</f>
        <v>19.086857999999999</v>
      </c>
    </row>
    <row r="1351" spans="1:17" x14ac:dyDescent="0.3">
      <c r="A1351" s="4" t="s">
        <v>47</v>
      </c>
      <c r="B1351" s="6" t="s">
        <v>949</v>
      </c>
      <c r="C1351">
        <v>299.12413299999997</v>
      </c>
      <c r="D1351">
        <v>291.23768000000001</v>
      </c>
      <c r="E1351">
        <v>1</v>
      </c>
      <c r="F1351">
        <v>1</v>
      </c>
      <c r="G1351">
        <v>0.26100000000000001</v>
      </c>
      <c r="H1351">
        <v>0</v>
      </c>
      <c r="I1351" t="s">
        <v>0</v>
      </c>
      <c r="J1351" t="s">
        <v>59</v>
      </c>
      <c r="K1351">
        <v>0</v>
      </c>
      <c r="L1351" t="s">
        <v>60</v>
      </c>
      <c r="M1351">
        <v>1</v>
      </c>
      <c r="N1351" t="s">
        <v>67</v>
      </c>
      <c r="O1351" s="2">
        <v>0.51944444444444449</v>
      </c>
      <c r="P1351">
        <f>0.0053187365*3600</f>
        <v>19.147451399999998</v>
      </c>
      <c r="Q1351">
        <f>0.0054518056*3600</f>
        <v>19.626500159999999</v>
      </c>
    </row>
    <row r="1352" spans="1:17" x14ac:dyDescent="0.3">
      <c r="A1352" s="4" t="s">
        <v>47</v>
      </c>
      <c r="B1352" s="6" t="s">
        <v>950</v>
      </c>
      <c r="C1352">
        <v>299.12399699999997</v>
      </c>
      <c r="D1352">
        <v>291.23746</v>
      </c>
      <c r="E1352">
        <v>1</v>
      </c>
      <c r="F1352">
        <v>1</v>
      </c>
      <c r="G1352">
        <v>0.26100000000000001</v>
      </c>
      <c r="H1352">
        <v>0</v>
      </c>
      <c r="I1352" t="s">
        <v>0</v>
      </c>
      <c r="J1352" t="s">
        <v>59</v>
      </c>
      <c r="K1352">
        <v>0</v>
      </c>
      <c r="L1352" t="s">
        <v>60</v>
      </c>
      <c r="M1352">
        <v>1</v>
      </c>
      <c r="N1352" t="s">
        <v>67</v>
      </c>
      <c r="O1352" s="2">
        <v>0.51944444444444449</v>
      </c>
      <c r="P1352">
        <f>0.0051895135*3600</f>
        <v>18.682248600000001</v>
      </c>
      <c r="Q1352">
        <f>0.0052596365*3600</f>
        <v>18.934691400000002</v>
      </c>
    </row>
    <row r="1353" spans="1:17" x14ac:dyDescent="0.3">
      <c r="A1353" s="4" t="s">
        <v>47</v>
      </c>
      <c r="B1353" s="6" t="s">
        <v>951</v>
      </c>
      <c r="C1353">
        <v>299.12422800000002</v>
      </c>
      <c r="D1353">
        <v>291.23737999999997</v>
      </c>
      <c r="E1353">
        <v>1</v>
      </c>
      <c r="F1353">
        <v>1</v>
      </c>
      <c r="G1353">
        <v>0.26100000000000001</v>
      </c>
      <c r="H1353">
        <v>0</v>
      </c>
      <c r="I1353" t="s">
        <v>0</v>
      </c>
      <c r="J1353" t="s">
        <v>59</v>
      </c>
      <c r="K1353">
        <v>0</v>
      </c>
      <c r="L1353" t="s">
        <v>60</v>
      </c>
      <c r="M1353">
        <v>1</v>
      </c>
      <c r="N1353" t="s">
        <v>67</v>
      </c>
      <c r="O1353" s="2">
        <v>0.52013888888888882</v>
      </c>
      <c r="P1353">
        <f>0.0052493176*3600</f>
        <v>18.89754336</v>
      </c>
      <c r="Q1353">
        <f>0.0051603598*3600</f>
        <v>18.577295280000001</v>
      </c>
    </row>
    <row r="1354" spans="1:17" x14ac:dyDescent="0.3">
      <c r="A1354" s="4" t="s">
        <v>47</v>
      </c>
      <c r="B1354" s="6" t="s">
        <v>952</v>
      </c>
      <c r="C1354">
        <v>299.12384900000001</v>
      </c>
      <c r="D1354">
        <v>291.23748999999998</v>
      </c>
      <c r="E1354">
        <v>1</v>
      </c>
      <c r="F1354">
        <v>1</v>
      </c>
      <c r="G1354">
        <v>0.26100000000000001</v>
      </c>
      <c r="H1354">
        <v>0</v>
      </c>
      <c r="I1354" t="s">
        <v>0</v>
      </c>
      <c r="J1354" t="s">
        <v>59</v>
      </c>
      <c r="K1354">
        <v>0</v>
      </c>
      <c r="L1354" t="s">
        <v>60</v>
      </c>
      <c r="M1354">
        <v>1</v>
      </c>
      <c r="N1354" t="s">
        <v>67</v>
      </c>
      <c r="O1354" s="2">
        <v>0.52013888888888882</v>
      </c>
      <c r="P1354">
        <f>0.0052886933*3600</f>
        <v>19.039295880000001</v>
      </c>
      <c r="Q1354">
        <f>0.0052751227*3600</f>
        <v>18.99044172</v>
      </c>
    </row>
    <row r="1355" spans="1:17" x14ac:dyDescent="0.3">
      <c r="A1355" s="4" t="s">
        <v>47</v>
      </c>
      <c r="B1355" s="6" t="s">
        <v>953</v>
      </c>
      <c r="C1355">
        <v>299.12419699999998</v>
      </c>
      <c r="D1355">
        <v>291.23749299999997</v>
      </c>
      <c r="E1355">
        <v>1</v>
      </c>
      <c r="F1355">
        <v>1</v>
      </c>
      <c r="G1355">
        <v>0.26100000000000001</v>
      </c>
      <c r="H1355">
        <v>0</v>
      </c>
      <c r="I1355" t="s">
        <v>0</v>
      </c>
      <c r="J1355" t="s">
        <v>59</v>
      </c>
      <c r="K1355">
        <v>0</v>
      </c>
      <c r="L1355" t="s">
        <v>60</v>
      </c>
      <c r="M1355">
        <v>1</v>
      </c>
      <c r="N1355" t="s">
        <v>67</v>
      </c>
      <c r="O1355" s="2">
        <v>0.52013888888888882</v>
      </c>
      <c r="P1355">
        <f>0.0055102317*3600</f>
        <v>19.836834119999999</v>
      </c>
      <c r="Q1355">
        <f>0.0052639049*3600</f>
        <v>18.950057639999997</v>
      </c>
    </row>
    <row r="1356" spans="1:17" x14ac:dyDescent="0.3">
      <c r="A1356" s="4" t="s">
        <v>47</v>
      </c>
      <c r="B1356" s="6" t="s">
        <v>954</v>
      </c>
      <c r="C1356">
        <v>299.12479400000001</v>
      </c>
      <c r="D1356">
        <v>291.23750899999999</v>
      </c>
      <c r="E1356">
        <v>1</v>
      </c>
      <c r="F1356">
        <v>1</v>
      </c>
      <c r="G1356">
        <v>0.26100000000000001</v>
      </c>
      <c r="H1356">
        <v>0</v>
      </c>
      <c r="I1356" t="s">
        <v>0</v>
      </c>
      <c r="J1356" t="s">
        <v>59</v>
      </c>
      <c r="K1356">
        <v>0</v>
      </c>
      <c r="L1356" t="s">
        <v>60</v>
      </c>
      <c r="M1356">
        <v>1</v>
      </c>
      <c r="N1356" t="s">
        <v>67</v>
      </c>
      <c r="O1356" s="2">
        <v>0.52013888888888882</v>
      </c>
      <c r="P1356">
        <f>0.0055004302*3600</f>
        <v>19.80154872</v>
      </c>
      <c r="Q1356">
        <f>0.0052702859*3600</f>
        <v>18.973029240000002</v>
      </c>
    </row>
    <row r="1357" spans="1:17" x14ac:dyDescent="0.3">
      <c r="A1357" s="4" t="s">
        <v>47</v>
      </c>
      <c r="B1357" s="6" t="s">
        <v>955</v>
      </c>
      <c r="C1357">
        <v>299.12393400000002</v>
      </c>
      <c r="D1357">
        <v>291.23753599999998</v>
      </c>
      <c r="E1357">
        <v>1</v>
      </c>
      <c r="F1357">
        <v>1</v>
      </c>
      <c r="G1357">
        <v>0.26100000000000001</v>
      </c>
      <c r="H1357">
        <v>0</v>
      </c>
      <c r="I1357" t="s">
        <v>0</v>
      </c>
      <c r="J1357" t="s">
        <v>59</v>
      </c>
      <c r="K1357">
        <v>0</v>
      </c>
      <c r="L1357" t="s">
        <v>60</v>
      </c>
      <c r="M1357">
        <v>1</v>
      </c>
      <c r="N1357" t="s">
        <v>67</v>
      </c>
      <c r="O1357" s="2">
        <v>0.52013888888888882</v>
      </c>
      <c r="P1357">
        <f>0.0055131342*3600</f>
        <v>19.84728312</v>
      </c>
      <c r="Q1357">
        <f>0.0053200075*3600</f>
        <v>19.152026999999997</v>
      </c>
    </row>
    <row r="1358" spans="1:17" x14ac:dyDescent="0.3">
      <c r="A1358" s="4" t="s">
        <v>47</v>
      </c>
      <c r="B1358" s="6" t="s">
        <v>956</v>
      </c>
      <c r="C1358">
        <v>299.12385899999998</v>
      </c>
      <c r="D1358">
        <v>291.23742099999998</v>
      </c>
      <c r="E1358">
        <v>1</v>
      </c>
      <c r="F1358">
        <v>1</v>
      </c>
      <c r="G1358">
        <v>0.26100000000000001</v>
      </c>
      <c r="H1358">
        <v>0</v>
      </c>
      <c r="I1358" t="s">
        <v>0</v>
      </c>
      <c r="J1358" t="s">
        <v>59</v>
      </c>
      <c r="K1358">
        <v>0</v>
      </c>
      <c r="L1358" t="s">
        <v>60</v>
      </c>
      <c r="M1358">
        <v>1</v>
      </c>
      <c r="N1358" t="s">
        <v>67</v>
      </c>
      <c r="O1358" s="2">
        <v>0.52013888888888882</v>
      </c>
      <c r="P1358">
        <f>0.0054427933*3600</f>
        <v>19.594055879999999</v>
      </c>
      <c r="Q1358">
        <f>0.0051902173*3600</f>
        <v>18.68478228</v>
      </c>
    </row>
    <row r="1359" spans="1:17" x14ac:dyDescent="0.3">
      <c r="A1359" s="4" t="s">
        <v>47</v>
      </c>
      <c r="B1359" s="6" t="s">
        <v>957</v>
      </c>
      <c r="C1359">
        <v>299.12389200000001</v>
      </c>
      <c r="D1359">
        <v>291.23753599999998</v>
      </c>
      <c r="E1359">
        <v>1</v>
      </c>
      <c r="F1359">
        <v>1</v>
      </c>
      <c r="G1359">
        <v>0.26100000000000001</v>
      </c>
      <c r="H1359">
        <v>0</v>
      </c>
      <c r="I1359" t="s">
        <v>0</v>
      </c>
      <c r="J1359" t="s">
        <v>59</v>
      </c>
      <c r="K1359">
        <v>0</v>
      </c>
      <c r="L1359" t="s">
        <v>60</v>
      </c>
      <c r="M1359">
        <v>1</v>
      </c>
      <c r="N1359" t="s">
        <v>67</v>
      </c>
      <c r="O1359" s="2">
        <v>0.52013888888888882</v>
      </c>
      <c r="P1359">
        <f>0.0055341181*3600</f>
        <v>19.922825159999999</v>
      </c>
      <c r="Q1359">
        <f>0.0052967459*3600</f>
        <v>19.068285240000002</v>
      </c>
    </row>
    <row r="1360" spans="1:17" x14ac:dyDescent="0.3">
      <c r="A1360" s="4" t="s">
        <v>47</v>
      </c>
      <c r="B1360" s="6" t="s">
        <v>958</v>
      </c>
      <c r="C1360">
        <v>299.12379399999998</v>
      </c>
      <c r="D1360">
        <v>291.23770999999999</v>
      </c>
      <c r="E1360">
        <v>1</v>
      </c>
      <c r="F1360">
        <v>1</v>
      </c>
      <c r="G1360">
        <v>0.26100000000000001</v>
      </c>
      <c r="H1360">
        <v>0</v>
      </c>
      <c r="I1360" t="s">
        <v>0</v>
      </c>
      <c r="J1360" t="s">
        <v>59</v>
      </c>
      <c r="K1360">
        <v>0</v>
      </c>
      <c r="L1360" t="s">
        <v>60</v>
      </c>
      <c r="M1360">
        <v>1</v>
      </c>
      <c r="N1360" t="s">
        <v>67</v>
      </c>
      <c r="O1360" s="2">
        <v>0.52013888888888882</v>
      </c>
      <c r="P1360">
        <f>0.0054141445*3600</f>
        <v>19.490920199999998</v>
      </c>
      <c r="Q1360">
        <f>0.0054885912*3600</f>
        <v>19.758928319999999</v>
      </c>
    </row>
    <row r="1361" spans="1:17" x14ac:dyDescent="0.3">
      <c r="A1361" s="4" t="s">
        <v>47</v>
      </c>
      <c r="B1361" s="6" t="s">
        <v>959</v>
      </c>
      <c r="C1361">
        <v>299.12429700000001</v>
      </c>
      <c r="D1361">
        <v>291.23753199999999</v>
      </c>
      <c r="E1361">
        <v>1</v>
      </c>
      <c r="F1361">
        <v>1</v>
      </c>
      <c r="G1361">
        <v>0.26100000000000001</v>
      </c>
      <c r="H1361">
        <v>0</v>
      </c>
      <c r="I1361" t="s">
        <v>0</v>
      </c>
      <c r="J1361" t="s">
        <v>59</v>
      </c>
      <c r="K1361">
        <v>0</v>
      </c>
      <c r="L1361" t="s">
        <v>60</v>
      </c>
      <c r="M1361">
        <v>1</v>
      </c>
      <c r="N1361" t="s">
        <v>67</v>
      </c>
      <c r="O1361" s="2">
        <v>0.52013888888888882</v>
      </c>
      <c r="P1361">
        <f>0.005530452*3600</f>
        <v>19.909627199999999</v>
      </c>
      <c r="Q1361">
        <f>0.0053176336*3600</f>
        <v>19.143480959999998</v>
      </c>
    </row>
    <row r="1362" spans="1:17" x14ac:dyDescent="0.3">
      <c r="A1362" s="4" t="s">
        <v>47</v>
      </c>
      <c r="B1362" s="6" t="s">
        <v>960</v>
      </c>
      <c r="C1362">
        <v>299.123469</v>
      </c>
      <c r="D1362">
        <v>291.23731900000001</v>
      </c>
      <c r="E1362">
        <v>1</v>
      </c>
      <c r="F1362">
        <v>1</v>
      </c>
      <c r="G1362">
        <v>0.26100000000000001</v>
      </c>
      <c r="H1362">
        <v>0</v>
      </c>
      <c r="I1362" t="s">
        <v>0</v>
      </c>
      <c r="J1362" t="s">
        <v>59</v>
      </c>
      <c r="K1362">
        <v>0</v>
      </c>
      <c r="L1362" t="s">
        <v>60</v>
      </c>
      <c r="M1362">
        <v>1</v>
      </c>
      <c r="N1362" t="s">
        <v>67</v>
      </c>
      <c r="O1362" s="2">
        <v>0.52013888888888882</v>
      </c>
      <c r="P1362">
        <f>0.0055217693*3600</f>
        <v>19.87836948</v>
      </c>
      <c r="Q1362">
        <f>0.0051130593*3600</f>
        <v>18.40701348</v>
      </c>
    </row>
    <row r="1363" spans="1:17" x14ac:dyDescent="0.3">
      <c r="A1363" s="4" t="s">
        <v>47</v>
      </c>
      <c r="B1363" s="6" t="s">
        <v>961</v>
      </c>
      <c r="C1363">
        <v>299.12363299999998</v>
      </c>
      <c r="D1363">
        <v>291.237458</v>
      </c>
      <c r="E1363">
        <v>1</v>
      </c>
      <c r="F1363">
        <v>1</v>
      </c>
      <c r="G1363">
        <v>0.26100000000000001</v>
      </c>
      <c r="H1363">
        <v>0</v>
      </c>
      <c r="I1363" t="s">
        <v>0</v>
      </c>
      <c r="J1363" t="s">
        <v>59</v>
      </c>
      <c r="K1363">
        <v>0</v>
      </c>
      <c r="L1363" t="s">
        <v>60</v>
      </c>
      <c r="M1363">
        <v>1</v>
      </c>
      <c r="N1363" t="s">
        <v>67</v>
      </c>
      <c r="O1363" s="2">
        <v>0.52013888888888882</v>
      </c>
      <c r="P1363">
        <f>0.0053045275*3600</f>
        <v>19.096298999999998</v>
      </c>
      <c r="Q1363">
        <f>0.0052566442*3600</f>
        <v>18.923919119999997</v>
      </c>
    </row>
    <row r="1364" spans="1:17" x14ac:dyDescent="0.3">
      <c r="A1364" s="4" t="s">
        <v>47</v>
      </c>
      <c r="B1364" s="6" t="s">
        <v>962</v>
      </c>
      <c r="C1364">
        <v>299.12407300000001</v>
      </c>
      <c r="D1364">
        <v>291.23758700000002</v>
      </c>
      <c r="E1364">
        <v>1</v>
      </c>
      <c r="F1364">
        <v>1</v>
      </c>
      <c r="G1364">
        <v>0.26100000000000001</v>
      </c>
      <c r="H1364">
        <v>0</v>
      </c>
      <c r="I1364" t="s">
        <v>0</v>
      </c>
      <c r="J1364" t="s">
        <v>59</v>
      </c>
      <c r="K1364">
        <v>0</v>
      </c>
      <c r="L1364" t="s">
        <v>60</v>
      </c>
      <c r="M1364">
        <v>1</v>
      </c>
      <c r="N1364" t="s">
        <v>67</v>
      </c>
      <c r="O1364" s="2">
        <v>0.52013888888888882</v>
      </c>
      <c r="P1364">
        <f>0.0056132586*3600</f>
        <v>20.207730959999999</v>
      </c>
      <c r="Q1364">
        <f>0.0053563193*3600</f>
        <v>19.28274948</v>
      </c>
    </row>
    <row r="1365" spans="1:17" x14ac:dyDescent="0.3">
      <c r="A1365" s="4" t="s">
        <v>47</v>
      </c>
      <c r="B1365" s="6" t="s">
        <v>963</v>
      </c>
      <c r="C1365">
        <v>299.12390599999998</v>
      </c>
      <c r="D1365">
        <v>291.237572</v>
      </c>
      <c r="E1365">
        <v>1</v>
      </c>
      <c r="F1365">
        <v>1</v>
      </c>
      <c r="G1365">
        <v>0.26100000000000001</v>
      </c>
      <c r="H1365">
        <v>0</v>
      </c>
      <c r="I1365" t="s">
        <v>0</v>
      </c>
      <c r="J1365" t="s">
        <v>59</v>
      </c>
      <c r="K1365">
        <v>0</v>
      </c>
      <c r="L1365" t="s">
        <v>60</v>
      </c>
      <c r="M1365">
        <v>1</v>
      </c>
      <c r="N1365" t="s">
        <v>67</v>
      </c>
      <c r="O1365" s="2">
        <v>0.52013888888888882</v>
      </c>
      <c r="P1365">
        <f>0.0053733329*3600</f>
        <v>19.34399844</v>
      </c>
      <c r="Q1365">
        <f>0.0053468148*3600</f>
        <v>19.24853328</v>
      </c>
    </row>
    <row r="1366" spans="1:17" x14ac:dyDescent="0.3">
      <c r="A1366" s="4" t="s">
        <v>47</v>
      </c>
      <c r="B1366" s="6" t="s">
        <v>964</v>
      </c>
      <c r="C1366">
        <v>299.12415399999998</v>
      </c>
      <c r="D1366">
        <v>291.23751299999998</v>
      </c>
      <c r="E1366">
        <v>1</v>
      </c>
      <c r="F1366">
        <v>1</v>
      </c>
      <c r="G1366">
        <v>0.26100000000000001</v>
      </c>
      <c r="H1366">
        <v>0</v>
      </c>
      <c r="I1366" t="s">
        <v>0</v>
      </c>
      <c r="J1366" t="s">
        <v>59</v>
      </c>
      <c r="K1366">
        <v>0</v>
      </c>
      <c r="L1366" t="s">
        <v>60</v>
      </c>
      <c r="M1366">
        <v>1</v>
      </c>
      <c r="N1366" t="s">
        <v>67</v>
      </c>
      <c r="O1366" s="2">
        <v>0.52013888888888882</v>
      </c>
      <c r="P1366">
        <f>0.0056370257*3600</f>
        <v>20.293292520000001</v>
      </c>
      <c r="Q1366">
        <f>0.0053127524*3600</f>
        <v>19.125908639999999</v>
      </c>
    </row>
    <row r="1367" spans="1:17" x14ac:dyDescent="0.3">
      <c r="A1367" s="4" t="s">
        <v>47</v>
      </c>
      <c r="B1367" s="6" t="s">
        <v>965</v>
      </c>
      <c r="C1367">
        <v>299.12472000000002</v>
      </c>
      <c r="D1367">
        <v>291.237796</v>
      </c>
      <c r="E1367">
        <v>1</v>
      </c>
      <c r="F1367">
        <v>1</v>
      </c>
      <c r="G1367">
        <v>0.26100000000000001</v>
      </c>
      <c r="H1367">
        <v>0</v>
      </c>
      <c r="I1367" t="s">
        <v>0</v>
      </c>
      <c r="J1367" t="s">
        <v>59</v>
      </c>
      <c r="K1367">
        <v>0</v>
      </c>
      <c r="L1367" t="s">
        <v>60</v>
      </c>
      <c r="M1367">
        <v>1</v>
      </c>
      <c r="N1367" t="s">
        <v>67</v>
      </c>
      <c r="O1367" s="2">
        <v>0.52013888888888882</v>
      </c>
      <c r="P1367">
        <f>0.0057802128*3600</f>
        <v>20.808766080000002</v>
      </c>
      <c r="Q1367">
        <f>0.005550649*3600</f>
        <v>19.982336400000001</v>
      </c>
    </row>
    <row r="1368" spans="1:17" x14ac:dyDescent="0.3">
      <c r="A1368" s="4" t="s">
        <v>47</v>
      </c>
      <c r="B1368" s="6" t="s">
        <v>966</v>
      </c>
      <c r="C1368">
        <v>299.124144</v>
      </c>
      <c r="D1368">
        <v>291.23764799999998</v>
      </c>
      <c r="E1368">
        <v>1</v>
      </c>
      <c r="F1368">
        <v>1</v>
      </c>
      <c r="G1368">
        <v>0.26100000000000001</v>
      </c>
      <c r="H1368">
        <v>0</v>
      </c>
      <c r="I1368" t="s">
        <v>0</v>
      </c>
      <c r="J1368" t="s">
        <v>59</v>
      </c>
      <c r="K1368">
        <v>0</v>
      </c>
      <c r="L1368" t="s">
        <v>60</v>
      </c>
      <c r="M1368">
        <v>1</v>
      </c>
      <c r="N1368" t="s">
        <v>67</v>
      </c>
      <c r="O1368" s="2">
        <v>0.52013888888888882</v>
      </c>
      <c r="P1368">
        <f>0.0057439767*3600</f>
        <v>20.678316120000002</v>
      </c>
      <c r="Q1368">
        <f>0.0054034721*3600</f>
        <v>19.45249956</v>
      </c>
    </row>
    <row r="1369" spans="1:17" x14ac:dyDescent="0.3">
      <c r="A1369" s="4" t="s">
        <v>47</v>
      </c>
      <c r="B1369" s="6" t="s">
        <v>967</v>
      </c>
      <c r="C1369">
        <v>299.12385699999999</v>
      </c>
      <c r="D1369">
        <v>291.23764199999999</v>
      </c>
      <c r="E1369">
        <v>1</v>
      </c>
      <c r="F1369">
        <v>1</v>
      </c>
      <c r="G1369">
        <v>0.26100000000000001</v>
      </c>
      <c r="H1369">
        <v>0</v>
      </c>
      <c r="I1369" t="s">
        <v>0</v>
      </c>
      <c r="J1369" t="s">
        <v>59</v>
      </c>
      <c r="K1369">
        <v>0</v>
      </c>
      <c r="L1369" t="s">
        <v>60</v>
      </c>
      <c r="M1369">
        <v>1</v>
      </c>
      <c r="N1369" t="s">
        <v>67</v>
      </c>
      <c r="O1369" s="2">
        <v>0.52013888888888882</v>
      </c>
      <c r="P1369">
        <f>0.0057859594*3600</f>
        <v>20.829453840000003</v>
      </c>
      <c r="Q1369">
        <f>0.0054130127*3600</f>
        <v>19.486845719999998</v>
      </c>
    </row>
    <row r="1370" spans="1:17" x14ac:dyDescent="0.3">
      <c r="A1370" s="4" t="s">
        <v>47</v>
      </c>
      <c r="B1370" s="6" t="s">
        <v>968</v>
      </c>
      <c r="C1370">
        <v>299.12387200000001</v>
      </c>
      <c r="D1370">
        <v>291.23769299999998</v>
      </c>
      <c r="E1370">
        <v>1</v>
      </c>
      <c r="F1370">
        <v>1</v>
      </c>
      <c r="G1370">
        <v>0.26100000000000001</v>
      </c>
      <c r="H1370">
        <v>0</v>
      </c>
      <c r="I1370" t="s">
        <v>0</v>
      </c>
      <c r="J1370" t="s">
        <v>59</v>
      </c>
      <c r="K1370">
        <v>0</v>
      </c>
      <c r="L1370" t="s">
        <v>60</v>
      </c>
      <c r="M1370">
        <v>1</v>
      </c>
      <c r="N1370" t="s">
        <v>67</v>
      </c>
      <c r="O1370" s="2">
        <v>0.52013888888888882</v>
      </c>
      <c r="P1370">
        <f>0.0058359432*3600</f>
        <v>21.009395519999998</v>
      </c>
      <c r="Q1370">
        <f>0.0054728887*3600</f>
        <v>19.702399320000001</v>
      </c>
    </row>
    <row r="1371" spans="1:17" x14ac:dyDescent="0.3">
      <c r="A1371" s="4" t="s">
        <v>47</v>
      </c>
      <c r="B1371" s="6" t="s">
        <v>969</v>
      </c>
      <c r="C1371">
        <v>299.12382300000002</v>
      </c>
      <c r="D1371">
        <v>291.23780299999999</v>
      </c>
      <c r="E1371">
        <v>1</v>
      </c>
      <c r="F1371">
        <v>1</v>
      </c>
      <c r="G1371">
        <v>0.26100000000000001</v>
      </c>
      <c r="H1371">
        <v>0</v>
      </c>
      <c r="I1371" t="s">
        <v>0</v>
      </c>
      <c r="J1371" t="s">
        <v>59</v>
      </c>
      <c r="K1371">
        <v>0</v>
      </c>
      <c r="L1371" t="s">
        <v>60</v>
      </c>
      <c r="M1371">
        <v>1</v>
      </c>
      <c r="N1371" t="s">
        <v>67</v>
      </c>
      <c r="O1371" s="2">
        <v>0.52013888888888882</v>
      </c>
      <c r="P1371">
        <f>0.0057732584*3600</f>
        <v>20.783730240000001</v>
      </c>
      <c r="Q1371">
        <f>0.0055883722*3600</f>
        <v>20.118139920000001</v>
      </c>
    </row>
    <row r="1372" spans="1:17" x14ac:dyDescent="0.3">
      <c r="A1372" s="4" t="s">
        <v>47</v>
      </c>
      <c r="B1372" s="6" t="s">
        <v>970</v>
      </c>
      <c r="C1372">
        <v>299.124438</v>
      </c>
      <c r="D1372">
        <v>291.237798</v>
      </c>
      <c r="E1372">
        <v>1</v>
      </c>
      <c r="F1372">
        <v>1</v>
      </c>
      <c r="G1372">
        <v>0.26100000000000001</v>
      </c>
      <c r="H1372">
        <v>0</v>
      </c>
      <c r="I1372" t="s">
        <v>0</v>
      </c>
      <c r="J1372" t="s">
        <v>59</v>
      </c>
      <c r="K1372">
        <v>0</v>
      </c>
      <c r="L1372" t="s">
        <v>60</v>
      </c>
      <c r="M1372">
        <v>1</v>
      </c>
      <c r="N1372" t="s">
        <v>67</v>
      </c>
      <c r="O1372" s="2">
        <v>0.52013888888888882</v>
      </c>
      <c r="P1372">
        <f>0.0058480026*3600</f>
        <v>21.052809360000001</v>
      </c>
      <c r="Q1372">
        <f>0.0055261049*3600</f>
        <v>19.893977640000003</v>
      </c>
    </row>
    <row r="1373" spans="1:17" x14ac:dyDescent="0.3">
      <c r="A1373" s="4" t="s">
        <v>47</v>
      </c>
      <c r="B1373" s="6" t="s">
        <v>971</v>
      </c>
      <c r="C1373">
        <v>299.12409400000001</v>
      </c>
      <c r="D1373">
        <v>291.237774</v>
      </c>
      <c r="E1373">
        <v>1</v>
      </c>
      <c r="F1373">
        <v>1</v>
      </c>
      <c r="G1373">
        <v>0.26100000000000001</v>
      </c>
      <c r="H1373">
        <v>0</v>
      </c>
      <c r="I1373" t="s">
        <v>0</v>
      </c>
      <c r="J1373" t="s">
        <v>59</v>
      </c>
      <c r="K1373">
        <v>0</v>
      </c>
      <c r="L1373" t="s">
        <v>60</v>
      </c>
      <c r="M1373">
        <v>1</v>
      </c>
      <c r="N1373" t="s">
        <v>67</v>
      </c>
      <c r="O1373" s="2">
        <v>0.52013888888888882</v>
      </c>
      <c r="P1373">
        <f>0.0058323667*3600</f>
        <v>20.99652012</v>
      </c>
      <c r="Q1373">
        <f>0.0055348591*3600</f>
        <v>19.925492760000001</v>
      </c>
    </row>
    <row r="1374" spans="1:17" x14ac:dyDescent="0.3">
      <c r="A1374" s="4" t="s">
        <v>47</v>
      </c>
      <c r="B1374" s="6" t="s">
        <v>972</v>
      </c>
      <c r="C1374">
        <v>299.12406399999998</v>
      </c>
      <c r="D1374">
        <v>291.237821</v>
      </c>
      <c r="E1374">
        <v>1</v>
      </c>
      <c r="F1374">
        <v>1</v>
      </c>
      <c r="G1374">
        <v>0.26100000000000001</v>
      </c>
      <c r="H1374">
        <v>0</v>
      </c>
      <c r="I1374" t="s">
        <v>0</v>
      </c>
      <c r="J1374" t="s">
        <v>59</v>
      </c>
      <c r="K1374">
        <v>0</v>
      </c>
      <c r="L1374" t="s">
        <v>60</v>
      </c>
      <c r="M1374">
        <v>1</v>
      </c>
      <c r="N1374" t="s">
        <v>67</v>
      </c>
      <c r="O1374" s="2">
        <v>0.52013888888888882</v>
      </c>
      <c r="P1374">
        <f>0.0058450243*3600</f>
        <v>21.042087480000003</v>
      </c>
      <c r="Q1374">
        <f>0.0055839721*3600</f>
        <v>20.102299559999999</v>
      </c>
    </row>
    <row r="1375" spans="1:17" x14ac:dyDescent="0.3">
      <c r="A1375" s="4" t="s">
        <v>47</v>
      </c>
      <c r="B1375" s="6" t="s">
        <v>973</v>
      </c>
      <c r="C1375">
        <v>299.12388800000002</v>
      </c>
      <c r="D1375">
        <v>291.23778600000003</v>
      </c>
      <c r="E1375">
        <v>1</v>
      </c>
      <c r="F1375">
        <v>1</v>
      </c>
      <c r="G1375">
        <v>0.26100000000000001</v>
      </c>
      <c r="H1375">
        <v>0</v>
      </c>
      <c r="I1375" t="s">
        <v>0</v>
      </c>
      <c r="J1375" t="s">
        <v>59</v>
      </c>
      <c r="K1375">
        <v>0</v>
      </c>
      <c r="L1375" t="s">
        <v>60</v>
      </c>
      <c r="M1375">
        <v>1</v>
      </c>
      <c r="N1375" t="s">
        <v>67</v>
      </c>
      <c r="O1375" s="2">
        <v>0.52013888888888882</v>
      </c>
      <c r="P1375">
        <f>0.005809118*3600</f>
        <v>20.912824799999999</v>
      </c>
      <c r="Q1375">
        <f>0.0055402949*3600</f>
        <v>19.945061640000002</v>
      </c>
    </row>
    <row r="1376" spans="1:17" x14ac:dyDescent="0.3">
      <c r="A1376" s="4" t="s">
        <v>47</v>
      </c>
      <c r="B1376" s="6" t="s">
        <v>974</v>
      </c>
      <c r="C1376">
        <v>299.12383599999998</v>
      </c>
      <c r="D1376">
        <v>291.23777699999999</v>
      </c>
      <c r="E1376">
        <v>1</v>
      </c>
      <c r="F1376">
        <v>1</v>
      </c>
      <c r="G1376">
        <v>0.26100000000000001</v>
      </c>
      <c r="H1376">
        <v>0</v>
      </c>
      <c r="I1376" t="s">
        <v>0</v>
      </c>
      <c r="J1376" t="s">
        <v>59</v>
      </c>
      <c r="K1376">
        <v>0</v>
      </c>
      <c r="L1376" t="s">
        <v>60</v>
      </c>
      <c r="M1376">
        <v>1</v>
      </c>
      <c r="N1376" t="s">
        <v>67</v>
      </c>
      <c r="O1376" s="2">
        <v>0.52013888888888882</v>
      </c>
      <c r="P1376">
        <f>0.0057660603*3600</f>
        <v>20.757817079999999</v>
      </c>
      <c r="Q1376">
        <f>0.0055347867*3600</f>
        <v>19.92523212</v>
      </c>
    </row>
    <row r="1377" spans="1:18" x14ac:dyDescent="0.3">
      <c r="A1377" s="4" t="s">
        <v>47</v>
      </c>
      <c r="B1377" s="6" t="s">
        <v>975</v>
      </c>
      <c r="C1377">
        <v>299.12413199999997</v>
      </c>
      <c r="D1377">
        <v>291.23778700000003</v>
      </c>
      <c r="E1377">
        <v>1</v>
      </c>
      <c r="F1377">
        <v>1</v>
      </c>
      <c r="G1377">
        <v>0.26100000000000001</v>
      </c>
      <c r="H1377">
        <v>0</v>
      </c>
      <c r="I1377" t="s">
        <v>0</v>
      </c>
      <c r="J1377" t="s">
        <v>59</v>
      </c>
      <c r="K1377">
        <v>0</v>
      </c>
      <c r="L1377" t="s">
        <v>60</v>
      </c>
      <c r="M1377">
        <v>1</v>
      </c>
      <c r="N1377" t="s">
        <v>67</v>
      </c>
      <c r="O1377" s="2">
        <v>0.52013888888888882</v>
      </c>
      <c r="P1377">
        <f>0.0057249077*3600</f>
        <v>20.609667720000001</v>
      </c>
      <c r="Q1377">
        <f>0.005542311*3600</f>
        <v>19.952319600000003</v>
      </c>
    </row>
    <row r="1378" spans="1:18" x14ac:dyDescent="0.3">
      <c r="A1378" s="4" t="s">
        <v>47</v>
      </c>
      <c r="B1378" s="6" t="s">
        <v>976</v>
      </c>
      <c r="C1378">
        <v>299.12373100000002</v>
      </c>
      <c r="D1378">
        <v>291.23782899999998</v>
      </c>
      <c r="E1378">
        <v>1</v>
      </c>
      <c r="F1378">
        <v>1</v>
      </c>
      <c r="G1378">
        <v>0.26100000000000001</v>
      </c>
      <c r="H1378">
        <v>0</v>
      </c>
      <c r="I1378" t="s">
        <v>0</v>
      </c>
      <c r="J1378" t="s">
        <v>59</v>
      </c>
      <c r="K1378">
        <v>0</v>
      </c>
      <c r="L1378" t="s">
        <v>60</v>
      </c>
      <c r="M1378">
        <v>1</v>
      </c>
      <c r="N1378" t="s">
        <v>67</v>
      </c>
      <c r="O1378" s="2">
        <v>0.52013888888888882</v>
      </c>
      <c r="P1378">
        <f>0.0058179384*3600</f>
        <v>20.944578239999998</v>
      </c>
      <c r="Q1378">
        <f>0.0055955009*3600</f>
        <v>20.14380324</v>
      </c>
    </row>
    <row r="1379" spans="1:18" x14ac:dyDescent="0.3">
      <c r="A1379" s="4" t="s">
        <v>47</v>
      </c>
      <c r="B1379" s="5" t="s">
        <v>49</v>
      </c>
      <c r="C1379">
        <v>202.34948700000001</v>
      </c>
      <c r="D1379">
        <v>99.289062999999999</v>
      </c>
      <c r="E1379">
        <v>502.99880000000002</v>
      </c>
      <c r="F1379">
        <v>502.87709999999998</v>
      </c>
      <c r="G1379">
        <v>0.26100000000000001</v>
      </c>
      <c r="H1379">
        <v>1.746</v>
      </c>
      <c r="I1379" t="s">
        <v>0</v>
      </c>
      <c r="J1379" t="s">
        <v>50</v>
      </c>
      <c r="K1379" t="s">
        <v>51</v>
      </c>
      <c r="L1379">
        <v>0</v>
      </c>
      <c r="M1379" t="s">
        <v>52</v>
      </c>
      <c r="N1379">
        <v>1</v>
      </c>
      <c r="O1379" t="s">
        <v>53</v>
      </c>
      <c r="P1379" s="2">
        <v>0.52152777777777781</v>
      </c>
      <c r="Q1379">
        <f>0.0057769066*3600</f>
        <v>20.796863760000001</v>
      </c>
      <c r="R1379">
        <f>-0.006519785*3600</f>
        <v>-23.471226000000001</v>
      </c>
    </row>
    <row r="1380" spans="1:18" x14ac:dyDescent="0.3">
      <c r="A1380" s="4" t="s">
        <v>47</v>
      </c>
      <c r="B1380" s="6" t="s">
        <v>49</v>
      </c>
      <c r="C1380">
        <v>2.3489270000000002</v>
      </c>
      <c r="D1380">
        <v>300.7097</v>
      </c>
      <c r="E1380">
        <v>502.9991</v>
      </c>
      <c r="F1380">
        <v>502.8775</v>
      </c>
      <c r="G1380">
        <v>0.26100000000000001</v>
      </c>
      <c r="H1380">
        <v>1.746</v>
      </c>
      <c r="I1380" t="s">
        <v>0</v>
      </c>
      <c r="J1380" t="s">
        <v>50</v>
      </c>
      <c r="K1380" t="s">
        <v>51</v>
      </c>
      <c r="L1380">
        <v>0</v>
      </c>
      <c r="M1380" t="s">
        <v>52</v>
      </c>
      <c r="N1380">
        <v>1</v>
      </c>
      <c r="O1380" t="s">
        <v>53</v>
      </c>
      <c r="P1380" s="2">
        <v>0.52222222222222225</v>
      </c>
      <c r="Q1380">
        <f>-0.0065379813*3600</f>
        <v>-23.53673268</v>
      </c>
      <c r="R1380">
        <f>0.0059759358*3600</f>
        <v>21.513368880000002</v>
      </c>
    </row>
    <row r="1381" spans="1:18" x14ac:dyDescent="0.3">
      <c r="A1381" s="4" t="s">
        <v>47</v>
      </c>
      <c r="B1381" s="5" t="s">
        <v>57</v>
      </c>
      <c r="C1381">
        <v>1.2856069999999999</v>
      </c>
      <c r="D1381">
        <v>99.158372</v>
      </c>
      <c r="E1381">
        <v>37.385599999999997</v>
      </c>
      <c r="F1381">
        <v>37.375700000000002</v>
      </c>
      <c r="G1381">
        <v>0.26100000000000001</v>
      </c>
      <c r="H1381">
        <v>0</v>
      </c>
      <c r="I1381" t="s">
        <v>0</v>
      </c>
      <c r="J1381" t="s">
        <v>50</v>
      </c>
      <c r="K1381" t="s">
        <v>51</v>
      </c>
      <c r="L1381">
        <v>0</v>
      </c>
      <c r="M1381" t="s">
        <v>52</v>
      </c>
      <c r="N1381">
        <v>1</v>
      </c>
      <c r="O1381" t="s">
        <v>53</v>
      </c>
      <c r="P1381" s="2">
        <v>0.52222222222222225</v>
      </c>
      <c r="Q1381">
        <f>-0.0071567904*3600</f>
        <v>-25.764445439999999</v>
      </c>
      <c r="R1381">
        <f>0.0067039421*3600</f>
        <v>24.134191559999998</v>
      </c>
    </row>
    <row r="1382" spans="1:18" x14ac:dyDescent="0.3">
      <c r="A1382" s="4" t="s">
        <v>47</v>
      </c>
      <c r="B1382" s="6" t="s">
        <v>57</v>
      </c>
      <c r="C1382">
        <v>201.285089</v>
      </c>
      <c r="D1382">
        <v>300.84086400000001</v>
      </c>
      <c r="E1382">
        <v>37.385599999999997</v>
      </c>
      <c r="F1382">
        <v>37.375700000000002</v>
      </c>
      <c r="G1382">
        <v>0.26100000000000001</v>
      </c>
      <c r="H1382">
        <v>0</v>
      </c>
      <c r="I1382" t="s">
        <v>0</v>
      </c>
      <c r="J1382" t="s">
        <v>50</v>
      </c>
      <c r="K1382" t="s">
        <v>51</v>
      </c>
      <c r="L1382">
        <v>0</v>
      </c>
      <c r="M1382" t="s">
        <v>52</v>
      </c>
      <c r="N1382">
        <v>1</v>
      </c>
      <c r="O1382" t="s">
        <v>53</v>
      </c>
      <c r="P1382" s="2">
        <v>0.5229166666666667</v>
      </c>
      <c r="Q1382">
        <f>0.0061258658*3600</f>
        <v>22.053116879999997</v>
      </c>
      <c r="R1382">
        <f>-0.0069764369*3600</f>
        <v>-25.11517284</v>
      </c>
    </row>
    <row r="1383" spans="1:18" x14ac:dyDescent="0.3">
      <c r="A1383" s="4" t="s">
        <v>47</v>
      </c>
      <c r="B1383" s="5" t="s">
        <v>977</v>
      </c>
      <c r="C1383">
        <v>99.124041000000005</v>
      </c>
      <c r="D1383">
        <v>108.843959</v>
      </c>
      <c r="E1383">
        <v>8.0368999999999993</v>
      </c>
      <c r="F1383">
        <v>7.9580000000000002</v>
      </c>
      <c r="G1383">
        <v>0.26100000000000001</v>
      </c>
      <c r="H1383">
        <v>0</v>
      </c>
      <c r="I1383" t="s">
        <v>0</v>
      </c>
      <c r="J1383" t="s">
        <v>59</v>
      </c>
      <c r="K1383">
        <v>3.4000000000000002E-2</v>
      </c>
      <c r="L1383" t="s">
        <v>60</v>
      </c>
      <c r="M1383">
        <v>1</v>
      </c>
      <c r="N1383" t="s">
        <v>53</v>
      </c>
      <c r="O1383" s="2">
        <v>0.52777777777777779</v>
      </c>
      <c r="P1383">
        <f>-0.0073163633*3600</f>
        <v>-26.338907880000001</v>
      </c>
      <c r="Q1383">
        <f>-0.0057430348*3600</f>
        <v>-20.67492528</v>
      </c>
    </row>
    <row r="1384" spans="1:18" x14ac:dyDescent="0.3">
      <c r="A1384" s="4" t="s">
        <v>47</v>
      </c>
      <c r="B1384" s="5" t="s">
        <v>978</v>
      </c>
      <c r="C1384">
        <v>99.123931999999996</v>
      </c>
      <c r="D1384">
        <v>108.717681</v>
      </c>
      <c r="E1384">
        <v>1</v>
      </c>
      <c r="F1384">
        <v>1</v>
      </c>
      <c r="G1384">
        <v>0.26100000000000001</v>
      </c>
      <c r="H1384">
        <v>0</v>
      </c>
      <c r="I1384" t="s">
        <v>0</v>
      </c>
      <c r="J1384" t="s">
        <v>59</v>
      </c>
      <c r="K1384">
        <v>0</v>
      </c>
      <c r="L1384" t="s">
        <v>60</v>
      </c>
      <c r="M1384">
        <v>1</v>
      </c>
      <c r="N1384" t="s">
        <v>67</v>
      </c>
      <c r="O1384" s="2">
        <v>0.52777777777777779</v>
      </c>
      <c r="P1384">
        <f>-0.0073602877*3600</f>
        <v>-26.49703572</v>
      </c>
      <c r="Q1384">
        <f>-0.0061585298*3600</f>
        <v>-22.170707279999998</v>
      </c>
    </row>
    <row r="1385" spans="1:18" x14ac:dyDescent="0.3">
      <c r="A1385" s="4" t="s">
        <v>47</v>
      </c>
      <c r="B1385" s="5" t="s">
        <v>979</v>
      </c>
      <c r="C1385">
        <v>99.124024000000006</v>
      </c>
      <c r="D1385">
        <v>108.717709</v>
      </c>
      <c r="E1385">
        <v>1</v>
      </c>
      <c r="F1385">
        <v>1</v>
      </c>
      <c r="G1385">
        <v>0.26100000000000001</v>
      </c>
      <c r="H1385">
        <v>0</v>
      </c>
      <c r="I1385" t="s">
        <v>0</v>
      </c>
      <c r="J1385" t="s">
        <v>59</v>
      </c>
      <c r="K1385">
        <v>0</v>
      </c>
      <c r="L1385" t="s">
        <v>60</v>
      </c>
      <c r="M1385">
        <v>1</v>
      </c>
      <c r="N1385" t="s">
        <v>67</v>
      </c>
      <c r="O1385" s="2">
        <v>0.52777777777777779</v>
      </c>
      <c r="P1385">
        <f>-0.0072914593*3600</f>
        <v>-26.24925348</v>
      </c>
      <c r="Q1385">
        <f>-0.006157596*3600</f>
        <v>-22.167345600000001</v>
      </c>
    </row>
    <row r="1386" spans="1:18" x14ac:dyDescent="0.3">
      <c r="A1386" s="4" t="s">
        <v>47</v>
      </c>
      <c r="B1386" s="5" t="s">
        <v>980</v>
      </c>
      <c r="C1386">
        <v>99.124225999999993</v>
      </c>
      <c r="D1386">
        <v>108.717705</v>
      </c>
      <c r="E1386">
        <v>1</v>
      </c>
      <c r="F1386">
        <v>1</v>
      </c>
      <c r="G1386">
        <v>0.26100000000000001</v>
      </c>
      <c r="H1386">
        <v>0</v>
      </c>
      <c r="I1386" t="s">
        <v>0</v>
      </c>
      <c r="J1386" t="s">
        <v>59</v>
      </c>
      <c r="K1386">
        <v>0</v>
      </c>
      <c r="L1386" t="s">
        <v>60</v>
      </c>
      <c r="M1386">
        <v>1</v>
      </c>
      <c r="N1386" t="s">
        <v>67</v>
      </c>
      <c r="O1386" s="2">
        <v>0.52777777777777779</v>
      </c>
      <c r="P1386">
        <f>-0.0073911193*3600</f>
        <v>-26.608029480000003</v>
      </c>
      <c r="Q1386">
        <f>-0.0062187713*3600</f>
        <v>-22.387576680000002</v>
      </c>
    </row>
    <row r="1387" spans="1:18" x14ac:dyDescent="0.3">
      <c r="A1387" s="4" t="s">
        <v>47</v>
      </c>
      <c r="B1387" s="5" t="s">
        <v>981</v>
      </c>
      <c r="C1387">
        <v>99.124131000000006</v>
      </c>
      <c r="D1387">
        <v>108.71777299999999</v>
      </c>
      <c r="E1387">
        <v>1</v>
      </c>
      <c r="F1387">
        <v>1</v>
      </c>
      <c r="G1387">
        <v>0.26100000000000001</v>
      </c>
      <c r="H1387">
        <v>0</v>
      </c>
      <c r="I1387" t="s">
        <v>0</v>
      </c>
      <c r="J1387" t="s">
        <v>59</v>
      </c>
      <c r="K1387">
        <v>0</v>
      </c>
      <c r="L1387" t="s">
        <v>60</v>
      </c>
      <c r="M1387">
        <v>1</v>
      </c>
      <c r="N1387" t="s">
        <v>67</v>
      </c>
      <c r="O1387" s="2">
        <v>0.52847222222222223</v>
      </c>
      <c r="P1387">
        <f>-0.007315062*3600</f>
        <v>-26.3342232</v>
      </c>
      <c r="Q1387">
        <f>-0.0061590546*3600</f>
        <v>-22.172596559999999</v>
      </c>
    </row>
    <row r="1388" spans="1:18" x14ac:dyDescent="0.3">
      <c r="A1388" s="4" t="s">
        <v>47</v>
      </c>
      <c r="B1388" s="5" t="s">
        <v>982</v>
      </c>
      <c r="C1388">
        <v>99.124073999999993</v>
      </c>
      <c r="D1388">
        <v>108.71777899999999</v>
      </c>
      <c r="E1388">
        <v>1</v>
      </c>
      <c r="F1388">
        <v>1</v>
      </c>
      <c r="G1388">
        <v>0.26100000000000001</v>
      </c>
      <c r="H1388">
        <v>0</v>
      </c>
      <c r="I1388" t="s">
        <v>0</v>
      </c>
      <c r="J1388" t="s">
        <v>59</v>
      </c>
      <c r="K1388">
        <v>0</v>
      </c>
      <c r="L1388" t="s">
        <v>60</v>
      </c>
      <c r="M1388">
        <v>1</v>
      </c>
      <c r="N1388" t="s">
        <v>67</v>
      </c>
      <c r="O1388" s="2">
        <v>0.52847222222222223</v>
      </c>
      <c r="P1388">
        <f>-0.0071984924*3600</f>
        <v>-25.914572639999999</v>
      </c>
      <c r="Q1388">
        <f>-0.0062064302*3600</f>
        <v>-22.343148719999999</v>
      </c>
    </row>
    <row r="1389" spans="1:18" x14ac:dyDescent="0.3">
      <c r="A1389" s="4" t="s">
        <v>47</v>
      </c>
      <c r="B1389" s="5" t="s">
        <v>983</v>
      </c>
      <c r="C1389">
        <v>99.124014000000003</v>
      </c>
      <c r="D1389">
        <v>108.71782</v>
      </c>
      <c r="E1389">
        <v>1</v>
      </c>
      <c r="F1389">
        <v>1</v>
      </c>
      <c r="G1389">
        <v>0.26100000000000001</v>
      </c>
      <c r="H1389">
        <v>0</v>
      </c>
      <c r="I1389" t="s">
        <v>0</v>
      </c>
      <c r="J1389" t="s">
        <v>59</v>
      </c>
      <c r="K1389">
        <v>0</v>
      </c>
      <c r="L1389" t="s">
        <v>60</v>
      </c>
      <c r="M1389">
        <v>1</v>
      </c>
      <c r="N1389" t="s">
        <v>67</v>
      </c>
      <c r="O1389" s="2">
        <v>0.52847222222222223</v>
      </c>
      <c r="P1389">
        <f>-0.0072924819*3600</f>
        <v>-26.252934839999998</v>
      </c>
      <c r="Q1389">
        <f>-0.0061708304*3600</f>
        <v>-22.21498944</v>
      </c>
    </row>
    <row r="1390" spans="1:18" x14ac:dyDescent="0.3">
      <c r="A1390" s="4" t="s">
        <v>47</v>
      </c>
      <c r="B1390" s="5" t="s">
        <v>984</v>
      </c>
      <c r="C1390">
        <v>99.124101999999993</v>
      </c>
      <c r="D1390">
        <v>108.717809</v>
      </c>
      <c r="E1390">
        <v>1</v>
      </c>
      <c r="F1390">
        <v>1</v>
      </c>
      <c r="G1390">
        <v>0.26100000000000001</v>
      </c>
      <c r="H1390">
        <v>0</v>
      </c>
      <c r="I1390" t="s">
        <v>0</v>
      </c>
      <c r="J1390" t="s">
        <v>59</v>
      </c>
      <c r="K1390">
        <v>0</v>
      </c>
      <c r="L1390" t="s">
        <v>60</v>
      </c>
      <c r="M1390">
        <v>1</v>
      </c>
      <c r="N1390" t="s">
        <v>67</v>
      </c>
      <c r="O1390" s="2">
        <v>0.52847222222222223</v>
      </c>
      <c r="P1390">
        <f>-0.0072366514*3600</f>
        <v>-26.05194504</v>
      </c>
      <c r="Q1390">
        <f>-0.0061902423*3600</f>
        <v>-22.284872279999998</v>
      </c>
    </row>
    <row r="1391" spans="1:18" x14ac:dyDescent="0.3">
      <c r="A1391" s="4" t="s">
        <v>47</v>
      </c>
      <c r="B1391" s="5" t="s">
        <v>985</v>
      </c>
      <c r="C1391">
        <v>99.124315999999993</v>
      </c>
      <c r="D1391">
        <v>108.71776300000001</v>
      </c>
      <c r="E1391">
        <v>1</v>
      </c>
      <c r="F1391">
        <v>1</v>
      </c>
      <c r="G1391">
        <v>0.26100000000000001</v>
      </c>
      <c r="H1391">
        <v>0</v>
      </c>
      <c r="I1391" t="s">
        <v>0</v>
      </c>
      <c r="J1391" t="s">
        <v>59</v>
      </c>
      <c r="K1391">
        <v>0</v>
      </c>
      <c r="L1391" t="s">
        <v>60</v>
      </c>
      <c r="M1391">
        <v>1</v>
      </c>
      <c r="N1391" t="s">
        <v>67</v>
      </c>
      <c r="O1391" s="2">
        <v>0.52847222222222223</v>
      </c>
      <c r="P1391">
        <f>-0.0071436818*3600</f>
        <v>-25.717254480000001</v>
      </c>
      <c r="Q1391">
        <f>-0.0062588282*3600</f>
        <v>-22.531781519999999</v>
      </c>
    </row>
    <row r="1392" spans="1:18" x14ac:dyDescent="0.3">
      <c r="A1392" s="4" t="s">
        <v>47</v>
      </c>
      <c r="B1392" s="5" t="s">
        <v>986</v>
      </c>
      <c r="C1392">
        <v>99.124039999999994</v>
      </c>
      <c r="D1392">
        <v>108.717844</v>
      </c>
      <c r="E1392">
        <v>1</v>
      </c>
      <c r="F1392">
        <v>1</v>
      </c>
      <c r="G1392">
        <v>0.26100000000000001</v>
      </c>
      <c r="H1392">
        <v>0</v>
      </c>
      <c r="I1392" t="s">
        <v>0</v>
      </c>
      <c r="J1392" t="s">
        <v>59</v>
      </c>
      <c r="K1392">
        <v>0</v>
      </c>
      <c r="L1392" t="s">
        <v>60</v>
      </c>
      <c r="M1392">
        <v>1</v>
      </c>
      <c r="N1392" t="s">
        <v>67</v>
      </c>
      <c r="O1392" s="2">
        <v>0.52847222222222223</v>
      </c>
      <c r="P1392">
        <f>-0.0070295864*3600</f>
        <v>-25.30651104</v>
      </c>
      <c r="Q1392">
        <f>-0.0061839257*3600</f>
        <v>-22.262132519999998</v>
      </c>
    </row>
    <row r="1393" spans="1:17" x14ac:dyDescent="0.3">
      <c r="A1393" s="4" t="s">
        <v>47</v>
      </c>
      <c r="B1393" s="5" t="s">
        <v>987</v>
      </c>
      <c r="C1393">
        <v>99.124046000000007</v>
      </c>
      <c r="D1393">
        <v>108.71786</v>
      </c>
      <c r="E1393">
        <v>1</v>
      </c>
      <c r="F1393">
        <v>1</v>
      </c>
      <c r="G1393">
        <v>0.26100000000000001</v>
      </c>
      <c r="H1393">
        <v>0</v>
      </c>
      <c r="I1393" t="s">
        <v>0</v>
      </c>
      <c r="J1393" t="s">
        <v>59</v>
      </c>
      <c r="K1393">
        <v>0</v>
      </c>
      <c r="L1393" t="s">
        <v>60</v>
      </c>
      <c r="M1393">
        <v>1</v>
      </c>
      <c r="N1393" t="s">
        <v>67</v>
      </c>
      <c r="O1393" s="2">
        <v>0.52847222222222223</v>
      </c>
      <c r="P1393">
        <f>-0.0071370272*3600</f>
        <v>-25.693297919999999</v>
      </c>
      <c r="Q1393">
        <f>-0.0061515286*3600</f>
        <v>-22.145502960000002</v>
      </c>
    </row>
    <row r="1394" spans="1:17" x14ac:dyDescent="0.3">
      <c r="A1394" s="4" t="s">
        <v>47</v>
      </c>
      <c r="B1394" s="5" t="s">
        <v>988</v>
      </c>
      <c r="C1394">
        <v>99.124134999999995</v>
      </c>
      <c r="D1394">
        <v>108.717873</v>
      </c>
      <c r="E1394">
        <v>1</v>
      </c>
      <c r="F1394">
        <v>1</v>
      </c>
      <c r="G1394">
        <v>0.26100000000000001</v>
      </c>
      <c r="H1394">
        <v>0</v>
      </c>
      <c r="I1394" t="s">
        <v>0</v>
      </c>
      <c r="J1394" t="s">
        <v>59</v>
      </c>
      <c r="K1394">
        <v>0</v>
      </c>
      <c r="L1394" t="s">
        <v>60</v>
      </c>
      <c r="M1394">
        <v>1</v>
      </c>
      <c r="N1394" t="s">
        <v>67</v>
      </c>
      <c r="O1394" s="2">
        <v>0.52847222222222223</v>
      </c>
      <c r="P1394">
        <f>-0.0071904004*3600</f>
        <v>-25.885441439999997</v>
      </c>
      <c r="Q1394">
        <f>-0.0061799029*3600</f>
        <v>-22.247650440000001</v>
      </c>
    </row>
    <row r="1395" spans="1:17" x14ac:dyDescent="0.3">
      <c r="A1395" s="4" t="s">
        <v>47</v>
      </c>
      <c r="B1395" s="5" t="s">
        <v>989</v>
      </c>
      <c r="C1395">
        <v>99.124692999999994</v>
      </c>
      <c r="D1395">
        <v>108.717837</v>
      </c>
      <c r="E1395">
        <v>1</v>
      </c>
      <c r="F1395">
        <v>1</v>
      </c>
      <c r="G1395">
        <v>0.26100000000000001</v>
      </c>
      <c r="H1395">
        <v>0</v>
      </c>
      <c r="I1395" t="s">
        <v>0</v>
      </c>
      <c r="J1395" t="s">
        <v>59</v>
      </c>
      <c r="K1395">
        <v>0</v>
      </c>
      <c r="L1395" t="s">
        <v>60</v>
      </c>
      <c r="M1395">
        <v>1</v>
      </c>
      <c r="N1395" t="s">
        <v>67</v>
      </c>
      <c r="O1395" s="2">
        <v>0.52847222222222223</v>
      </c>
      <c r="P1395">
        <f>-0.0072764435*3600</f>
        <v>-26.195196599999999</v>
      </c>
      <c r="Q1395">
        <f>-0.0062052521*3600</f>
        <v>-22.338907559999999</v>
      </c>
    </row>
    <row r="1396" spans="1:17" x14ac:dyDescent="0.3">
      <c r="A1396" s="4" t="s">
        <v>47</v>
      </c>
      <c r="B1396" s="5" t="s">
        <v>990</v>
      </c>
      <c r="C1396">
        <v>99.124369999999999</v>
      </c>
      <c r="D1396">
        <v>108.71782399999999</v>
      </c>
      <c r="E1396">
        <v>1</v>
      </c>
      <c r="F1396">
        <v>1</v>
      </c>
      <c r="G1396">
        <v>0.26100000000000001</v>
      </c>
      <c r="H1396">
        <v>0</v>
      </c>
      <c r="I1396" t="s">
        <v>0</v>
      </c>
      <c r="J1396" t="s">
        <v>59</v>
      </c>
      <c r="K1396">
        <v>0</v>
      </c>
      <c r="L1396" t="s">
        <v>60</v>
      </c>
      <c r="M1396">
        <v>1</v>
      </c>
      <c r="N1396" t="s">
        <v>67</v>
      </c>
      <c r="O1396" s="2">
        <v>0.52847222222222223</v>
      </c>
      <c r="P1396">
        <f>-0.0072164378*3600</f>
        <v>-25.979176080000002</v>
      </c>
      <c r="Q1396">
        <f>-0.00620818*3600</f>
        <v>-22.349447999999999</v>
      </c>
    </row>
    <row r="1397" spans="1:17" x14ac:dyDescent="0.3">
      <c r="A1397" s="4" t="s">
        <v>47</v>
      </c>
      <c r="B1397" s="5" t="s">
        <v>991</v>
      </c>
      <c r="C1397">
        <v>99.124137000000005</v>
      </c>
      <c r="D1397">
        <v>108.717887</v>
      </c>
      <c r="E1397">
        <v>1</v>
      </c>
      <c r="F1397">
        <v>1</v>
      </c>
      <c r="G1397">
        <v>0.26100000000000001</v>
      </c>
      <c r="H1397">
        <v>0</v>
      </c>
      <c r="I1397" t="s">
        <v>0</v>
      </c>
      <c r="J1397" t="s">
        <v>59</v>
      </c>
      <c r="K1397">
        <v>0</v>
      </c>
      <c r="L1397" t="s">
        <v>60</v>
      </c>
      <c r="M1397">
        <v>1</v>
      </c>
      <c r="N1397" t="s">
        <v>67</v>
      </c>
      <c r="O1397" s="2">
        <v>0.52847222222222223</v>
      </c>
      <c r="P1397">
        <f>-0.0072834166*3600</f>
        <v>-26.22029976</v>
      </c>
      <c r="Q1397">
        <f>-0.0061636887*3600</f>
        <v>-22.189279320000001</v>
      </c>
    </row>
    <row r="1398" spans="1:17" x14ac:dyDescent="0.3">
      <c r="A1398" s="4" t="s">
        <v>47</v>
      </c>
      <c r="B1398" s="5" t="s">
        <v>992</v>
      </c>
      <c r="C1398">
        <v>99.123875999999996</v>
      </c>
      <c r="D1398">
        <v>108.7179</v>
      </c>
      <c r="E1398">
        <v>1</v>
      </c>
      <c r="F1398">
        <v>1</v>
      </c>
      <c r="G1398">
        <v>0.26100000000000001</v>
      </c>
      <c r="H1398">
        <v>0</v>
      </c>
      <c r="I1398" t="s">
        <v>0</v>
      </c>
      <c r="J1398" t="s">
        <v>59</v>
      </c>
      <c r="K1398">
        <v>0</v>
      </c>
      <c r="L1398" t="s">
        <v>60</v>
      </c>
      <c r="M1398">
        <v>1</v>
      </c>
      <c r="N1398" t="s">
        <v>67</v>
      </c>
      <c r="O1398" s="2">
        <v>0.52847222222222223</v>
      </c>
      <c r="P1398">
        <f>-0.007152884*3600</f>
        <v>-25.750382399999999</v>
      </c>
      <c r="Q1398">
        <f>-0.0061334676*3600</f>
        <v>-22.080483360000002</v>
      </c>
    </row>
    <row r="1399" spans="1:17" x14ac:dyDescent="0.3">
      <c r="A1399" s="4" t="s">
        <v>47</v>
      </c>
      <c r="B1399" s="5" t="s">
        <v>993</v>
      </c>
      <c r="C1399">
        <v>99.123921999999993</v>
      </c>
      <c r="D1399">
        <v>108.717899</v>
      </c>
      <c r="E1399">
        <v>1</v>
      </c>
      <c r="F1399">
        <v>1</v>
      </c>
      <c r="G1399">
        <v>0.26100000000000001</v>
      </c>
      <c r="H1399">
        <v>0</v>
      </c>
      <c r="I1399" t="s">
        <v>0</v>
      </c>
      <c r="J1399" t="s">
        <v>59</v>
      </c>
      <c r="K1399">
        <v>0</v>
      </c>
      <c r="L1399" t="s">
        <v>60</v>
      </c>
      <c r="M1399">
        <v>1</v>
      </c>
      <c r="N1399" t="s">
        <v>67</v>
      </c>
      <c r="O1399" s="2">
        <v>0.52847222222222223</v>
      </c>
      <c r="P1399">
        <f>-0.0071932424*3600</f>
        <v>-25.895672640000001</v>
      </c>
      <c r="Q1399">
        <f>-0.0061418342*3600</f>
        <v>-22.11060312</v>
      </c>
    </row>
    <row r="1400" spans="1:17" x14ac:dyDescent="0.3">
      <c r="A1400" s="4" t="s">
        <v>47</v>
      </c>
      <c r="B1400" s="5" t="s">
        <v>994</v>
      </c>
      <c r="C1400">
        <v>99.123951000000005</v>
      </c>
      <c r="D1400">
        <v>108.717989</v>
      </c>
      <c r="E1400">
        <v>1</v>
      </c>
      <c r="F1400">
        <v>1</v>
      </c>
      <c r="G1400">
        <v>0.26100000000000001</v>
      </c>
      <c r="H1400">
        <v>0</v>
      </c>
      <c r="I1400" t="s">
        <v>0</v>
      </c>
      <c r="J1400" t="s">
        <v>59</v>
      </c>
      <c r="K1400">
        <v>0</v>
      </c>
      <c r="L1400" t="s">
        <v>60</v>
      </c>
      <c r="M1400">
        <v>1</v>
      </c>
      <c r="N1400" t="s">
        <v>67</v>
      </c>
      <c r="O1400" s="2">
        <v>0.52847222222222223</v>
      </c>
      <c r="P1400">
        <f>-0.0071416135*3600</f>
        <v>-25.709808600000002</v>
      </c>
      <c r="Q1400">
        <f>-0.0060624934*3600</f>
        <v>-21.824976239999998</v>
      </c>
    </row>
    <row r="1401" spans="1:17" x14ac:dyDescent="0.3">
      <c r="A1401" s="4" t="s">
        <v>47</v>
      </c>
      <c r="B1401" s="5" t="s">
        <v>995</v>
      </c>
      <c r="C1401">
        <v>99.124365999999995</v>
      </c>
      <c r="D1401">
        <v>108.717885</v>
      </c>
      <c r="E1401">
        <v>1</v>
      </c>
      <c r="F1401">
        <v>1</v>
      </c>
      <c r="G1401">
        <v>0.26100000000000001</v>
      </c>
      <c r="H1401">
        <v>0</v>
      </c>
      <c r="I1401" t="s">
        <v>0</v>
      </c>
      <c r="J1401" t="s">
        <v>59</v>
      </c>
      <c r="K1401">
        <v>0</v>
      </c>
      <c r="L1401" t="s">
        <v>60</v>
      </c>
      <c r="M1401">
        <v>1</v>
      </c>
      <c r="N1401" t="s">
        <v>67</v>
      </c>
      <c r="O1401" s="2">
        <v>0.52847222222222223</v>
      </c>
      <c r="P1401">
        <f>-0.0071834566*3600</f>
        <v>-25.860443759999999</v>
      </c>
      <c r="Q1401">
        <f>-0.0061606316*3600</f>
        <v>-22.17827376</v>
      </c>
    </row>
    <row r="1402" spans="1:17" x14ac:dyDescent="0.3">
      <c r="A1402" s="4" t="s">
        <v>47</v>
      </c>
      <c r="B1402" s="5" t="s">
        <v>996</v>
      </c>
      <c r="C1402">
        <v>99.123962000000006</v>
      </c>
      <c r="D1402">
        <v>108.71792499999999</v>
      </c>
      <c r="E1402">
        <v>1</v>
      </c>
      <c r="F1402">
        <v>1</v>
      </c>
      <c r="G1402">
        <v>0.26100000000000001</v>
      </c>
      <c r="H1402">
        <v>0</v>
      </c>
      <c r="I1402" t="s">
        <v>0</v>
      </c>
      <c r="J1402" t="s">
        <v>59</v>
      </c>
      <c r="K1402">
        <v>0</v>
      </c>
      <c r="L1402" t="s">
        <v>60</v>
      </c>
      <c r="M1402">
        <v>1</v>
      </c>
      <c r="N1402" t="s">
        <v>67</v>
      </c>
      <c r="O1402" s="2">
        <v>0.52847222222222223</v>
      </c>
      <c r="P1402">
        <f>-0.0071872803*3600</f>
        <v>-25.87420908</v>
      </c>
      <c r="Q1402">
        <f>-0.0061400852*3600</f>
        <v>-22.10430672</v>
      </c>
    </row>
    <row r="1403" spans="1:17" x14ac:dyDescent="0.3">
      <c r="A1403" s="4" t="s">
        <v>47</v>
      </c>
      <c r="B1403" s="5" t="s">
        <v>997</v>
      </c>
      <c r="C1403">
        <v>99.124168999999995</v>
      </c>
      <c r="D1403">
        <v>108.717929</v>
      </c>
      <c r="E1403">
        <v>1</v>
      </c>
      <c r="F1403">
        <v>1</v>
      </c>
      <c r="G1403">
        <v>0.26100000000000001</v>
      </c>
      <c r="H1403">
        <v>0</v>
      </c>
      <c r="I1403" t="s">
        <v>0</v>
      </c>
      <c r="J1403" t="s">
        <v>59</v>
      </c>
      <c r="K1403">
        <v>0</v>
      </c>
      <c r="L1403" t="s">
        <v>60</v>
      </c>
      <c r="M1403">
        <v>1</v>
      </c>
      <c r="N1403" t="s">
        <v>67</v>
      </c>
      <c r="O1403" s="2">
        <v>0.52847222222222223</v>
      </c>
      <c r="P1403">
        <f>-0.0071768529*3600</f>
        <v>-25.836670439999999</v>
      </c>
      <c r="Q1403">
        <f>-0.0061438531*3600</f>
        <v>-22.11787116</v>
      </c>
    </row>
    <row r="1404" spans="1:17" x14ac:dyDescent="0.3">
      <c r="A1404" s="4" t="s">
        <v>47</v>
      </c>
      <c r="B1404" s="5" t="s">
        <v>998</v>
      </c>
      <c r="C1404">
        <v>99.124739000000005</v>
      </c>
      <c r="D1404">
        <v>108.71789200000001</v>
      </c>
      <c r="E1404">
        <v>1</v>
      </c>
      <c r="F1404">
        <v>1</v>
      </c>
      <c r="G1404">
        <v>0.26100000000000001</v>
      </c>
      <c r="H1404">
        <v>0</v>
      </c>
      <c r="I1404" t="s">
        <v>0</v>
      </c>
      <c r="J1404" t="s">
        <v>59</v>
      </c>
      <c r="K1404">
        <v>0</v>
      </c>
      <c r="L1404" t="s">
        <v>60</v>
      </c>
      <c r="M1404">
        <v>1</v>
      </c>
      <c r="N1404" t="s">
        <v>67</v>
      </c>
      <c r="O1404" s="2">
        <v>0.52847222222222223</v>
      </c>
      <c r="P1404">
        <f>-0.0072029703*3600</f>
        <v>-25.930693080000001</v>
      </c>
      <c r="Q1404">
        <f>-0.0061624259*3600</f>
        <v>-22.18473324</v>
      </c>
    </row>
    <row r="1405" spans="1:17" x14ac:dyDescent="0.3">
      <c r="A1405" s="4" t="s">
        <v>47</v>
      </c>
      <c r="B1405" s="5" t="s">
        <v>999</v>
      </c>
      <c r="C1405">
        <v>99.124088</v>
      </c>
      <c r="D1405">
        <v>108.717946</v>
      </c>
      <c r="E1405">
        <v>1</v>
      </c>
      <c r="F1405">
        <v>1</v>
      </c>
      <c r="G1405">
        <v>0.26100000000000001</v>
      </c>
      <c r="H1405">
        <v>0</v>
      </c>
      <c r="I1405" t="s">
        <v>0</v>
      </c>
      <c r="J1405" t="s">
        <v>59</v>
      </c>
      <c r="K1405">
        <v>0</v>
      </c>
      <c r="L1405" t="s">
        <v>60</v>
      </c>
      <c r="M1405">
        <v>1</v>
      </c>
      <c r="N1405" t="s">
        <v>67</v>
      </c>
      <c r="O1405" s="2">
        <v>0.52847222222222223</v>
      </c>
      <c r="P1405">
        <f>-0.0071606564*3600</f>
        <v>-25.778363039999999</v>
      </c>
      <c r="Q1405">
        <f>-0.0061119043*3600</f>
        <v>-22.002855480000001</v>
      </c>
    </row>
    <row r="1406" spans="1:17" x14ac:dyDescent="0.3">
      <c r="A1406" s="4" t="s">
        <v>47</v>
      </c>
      <c r="B1406" s="5" t="s">
        <v>1000</v>
      </c>
      <c r="C1406">
        <v>99.124380000000002</v>
      </c>
      <c r="D1406">
        <v>108.71782399999999</v>
      </c>
      <c r="E1406">
        <v>1</v>
      </c>
      <c r="F1406">
        <v>1</v>
      </c>
      <c r="G1406">
        <v>0.26100000000000001</v>
      </c>
      <c r="H1406">
        <v>0</v>
      </c>
      <c r="I1406" t="s">
        <v>0</v>
      </c>
      <c r="J1406" t="s">
        <v>59</v>
      </c>
      <c r="K1406">
        <v>0</v>
      </c>
      <c r="L1406" t="s">
        <v>60</v>
      </c>
      <c r="M1406">
        <v>1</v>
      </c>
      <c r="N1406" t="s">
        <v>67</v>
      </c>
      <c r="O1406" s="2">
        <v>0.52847222222222223</v>
      </c>
      <c r="P1406">
        <f>-0.0072287776*3600</f>
        <v>-26.023599359999999</v>
      </c>
      <c r="Q1406">
        <f>-0.0062184619*3600</f>
        <v>-22.38646284</v>
      </c>
    </row>
    <row r="1407" spans="1:17" x14ac:dyDescent="0.3">
      <c r="A1407" s="4" t="s">
        <v>47</v>
      </c>
      <c r="B1407" s="5" t="s">
        <v>1001</v>
      </c>
      <c r="C1407">
        <v>99.124009999999998</v>
      </c>
      <c r="D1407">
        <v>108.717871</v>
      </c>
      <c r="E1407">
        <v>1</v>
      </c>
      <c r="F1407">
        <v>1</v>
      </c>
      <c r="G1407">
        <v>0.26100000000000001</v>
      </c>
      <c r="H1407">
        <v>0</v>
      </c>
      <c r="I1407" t="s">
        <v>0</v>
      </c>
      <c r="J1407" t="s">
        <v>59</v>
      </c>
      <c r="K1407">
        <v>0</v>
      </c>
      <c r="L1407" t="s">
        <v>60</v>
      </c>
      <c r="M1407">
        <v>1</v>
      </c>
      <c r="N1407" t="s">
        <v>67</v>
      </c>
      <c r="O1407" s="2">
        <v>0.52847222222222223</v>
      </c>
      <c r="P1407">
        <f>-0.0072301631*3600</f>
        <v>-26.028587160000001</v>
      </c>
      <c r="Q1407">
        <f>-0.0061815935*3600</f>
        <v>-22.2537366</v>
      </c>
    </row>
    <row r="1408" spans="1:17" x14ac:dyDescent="0.3">
      <c r="A1408" s="4" t="s">
        <v>47</v>
      </c>
      <c r="B1408" s="5" t="s">
        <v>1002</v>
      </c>
      <c r="C1408">
        <v>99.123868999999999</v>
      </c>
      <c r="D1408">
        <v>108.717894</v>
      </c>
      <c r="E1408">
        <v>1</v>
      </c>
      <c r="F1408">
        <v>1</v>
      </c>
      <c r="G1408">
        <v>0.26100000000000001</v>
      </c>
      <c r="H1408">
        <v>0</v>
      </c>
      <c r="I1408" t="s">
        <v>0</v>
      </c>
      <c r="J1408" t="s">
        <v>59</v>
      </c>
      <c r="K1408">
        <v>0</v>
      </c>
      <c r="L1408" t="s">
        <v>60</v>
      </c>
      <c r="M1408">
        <v>1</v>
      </c>
      <c r="N1408" t="s">
        <v>67</v>
      </c>
      <c r="O1408" s="2">
        <v>0.52847222222222223</v>
      </c>
      <c r="P1408">
        <f>-0.0072566945*3600</f>
        <v>-26.124100200000001</v>
      </c>
      <c r="Q1408">
        <f>-0.0061664307*3600</f>
        <v>-22.19915052</v>
      </c>
    </row>
    <row r="1409" spans="1:17" x14ac:dyDescent="0.3">
      <c r="A1409" s="4" t="s">
        <v>47</v>
      </c>
      <c r="B1409" s="5" t="s">
        <v>1003</v>
      </c>
      <c r="C1409">
        <v>99.123903999999996</v>
      </c>
      <c r="D1409">
        <v>108.71791</v>
      </c>
      <c r="E1409">
        <v>1</v>
      </c>
      <c r="F1409">
        <v>1</v>
      </c>
      <c r="G1409">
        <v>0.26100000000000001</v>
      </c>
      <c r="H1409">
        <v>0</v>
      </c>
      <c r="I1409" t="s">
        <v>0</v>
      </c>
      <c r="J1409" t="s">
        <v>59</v>
      </c>
      <c r="K1409">
        <v>0</v>
      </c>
      <c r="L1409" t="s">
        <v>60</v>
      </c>
      <c r="M1409">
        <v>1</v>
      </c>
      <c r="N1409" t="s">
        <v>67</v>
      </c>
      <c r="O1409" s="2">
        <v>0.52847222222222223</v>
      </c>
      <c r="P1409">
        <f>-0.007193609*3600</f>
        <v>-25.896992400000002</v>
      </c>
      <c r="Q1409">
        <f>-0.0061553887*3600</f>
        <v>-22.159399320000002</v>
      </c>
    </row>
    <row r="1410" spans="1:17" x14ac:dyDescent="0.3">
      <c r="A1410" s="4" t="s">
        <v>47</v>
      </c>
      <c r="B1410" s="5" t="s">
        <v>1004</v>
      </c>
      <c r="C1410">
        <v>99.124009000000001</v>
      </c>
      <c r="D1410">
        <v>108.71785800000001</v>
      </c>
      <c r="E1410">
        <v>1</v>
      </c>
      <c r="F1410">
        <v>1</v>
      </c>
      <c r="G1410">
        <v>0.26100000000000001</v>
      </c>
      <c r="H1410">
        <v>0</v>
      </c>
      <c r="I1410" t="s">
        <v>0</v>
      </c>
      <c r="J1410" t="s">
        <v>59</v>
      </c>
      <c r="K1410">
        <v>0</v>
      </c>
      <c r="L1410" t="s">
        <v>60</v>
      </c>
      <c r="M1410">
        <v>1</v>
      </c>
      <c r="N1410" t="s">
        <v>67</v>
      </c>
      <c r="O1410" s="2">
        <v>0.52847222222222223</v>
      </c>
      <c r="P1410">
        <f>-0.0072724535*3600</f>
        <v>-26.180832599999999</v>
      </c>
      <c r="Q1410">
        <f>-0.0062013016*3600</f>
        <v>-22.324685760000001</v>
      </c>
    </row>
    <row r="1411" spans="1:17" x14ac:dyDescent="0.3">
      <c r="A1411" s="4" t="s">
        <v>47</v>
      </c>
      <c r="B1411" s="5" t="s">
        <v>1005</v>
      </c>
      <c r="C1411">
        <v>99.124125000000006</v>
      </c>
      <c r="D1411">
        <v>108.717911</v>
      </c>
      <c r="E1411">
        <v>1</v>
      </c>
      <c r="F1411">
        <v>1</v>
      </c>
      <c r="G1411">
        <v>0.26100000000000001</v>
      </c>
      <c r="H1411">
        <v>0</v>
      </c>
      <c r="I1411" t="s">
        <v>0</v>
      </c>
      <c r="J1411" t="s">
        <v>59</v>
      </c>
      <c r="K1411">
        <v>0</v>
      </c>
      <c r="L1411" t="s">
        <v>60</v>
      </c>
      <c r="M1411">
        <v>1</v>
      </c>
      <c r="N1411" t="s">
        <v>67</v>
      </c>
      <c r="O1411" s="2">
        <v>0.52847222222222223</v>
      </c>
      <c r="P1411">
        <f>-0.0071709264*3600</f>
        <v>-25.815335040000001</v>
      </c>
      <c r="Q1411">
        <f>-0.006125175*3600</f>
        <v>-22.050630000000002</v>
      </c>
    </row>
    <row r="1412" spans="1:17" x14ac:dyDescent="0.3">
      <c r="A1412" s="4" t="s">
        <v>47</v>
      </c>
      <c r="B1412" s="5" t="s">
        <v>1006</v>
      </c>
      <c r="C1412">
        <v>99.124585999999994</v>
      </c>
      <c r="D1412">
        <v>108.717938</v>
      </c>
      <c r="E1412">
        <v>1</v>
      </c>
      <c r="F1412">
        <v>1</v>
      </c>
      <c r="G1412">
        <v>0.26100000000000001</v>
      </c>
      <c r="H1412">
        <v>0</v>
      </c>
      <c r="I1412" t="s">
        <v>0</v>
      </c>
      <c r="J1412" t="s">
        <v>59</v>
      </c>
      <c r="K1412">
        <v>0</v>
      </c>
      <c r="L1412" t="s">
        <v>60</v>
      </c>
      <c r="M1412">
        <v>1</v>
      </c>
      <c r="N1412" t="s">
        <v>67</v>
      </c>
      <c r="O1412" s="2">
        <v>0.52847222222222223</v>
      </c>
      <c r="P1412">
        <f>-0.0071960562*3600</f>
        <v>-25.905802319999999</v>
      </c>
      <c r="Q1412">
        <f>-0.0061611014*3600</f>
        <v>-22.179965039999999</v>
      </c>
    </row>
    <row r="1413" spans="1:17" x14ac:dyDescent="0.3">
      <c r="A1413" s="4" t="s">
        <v>47</v>
      </c>
      <c r="B1413" s="5" t="s">
        <v>1007</v>
      </c>
      <c r="C1413">
        <v>99.124714999999995</v>
      </c>
      <c r="D1413">
        <v>108.718031</v>
      </c>
      <c r="E1413">
        <v>1</v>
      </c>
      <c r="F1413">
        <v>1</v>
      </c>
      <c r="G1413">
        <v>0.26100000000000001</v>
      </c>
      <c r="H1413">
        <v>0</v>
      </c>
      <c r="I1413" t="s">
        <v>0</v>
      </c>
      <c r="J1413" t="s">
        <v>59</v>
      </c>
      <c r="K1413">
        <v>0</v>
      </c>
      <c r="L1413" t="s">
        <v>60</v>
      </c>
      <c r="M1413">
        <v>1</v>
      </c>
      <c r="N1413" t="s">
        <v>67</v>
      </c>
      <c r="O1413" s="2">
        <v>0.52847222222222223</v>
      </c>
      <c r="P1413">
        <f>-0.007175256*3600</f>
        <v>-25.8309216</v>
      </c>
      <c r="Q1413">
        <f>-0.0060942503*3600</f>
        <v>-21.93930108</v>
      </c>
    </row>
    <row r="1414" spans="1:17" x14ac:dyDescent="0.3">
      <c r="A1414" s="4" t="s">
        <v>47</v>
      </c>
      <c r="B1414" s="5" t="s">
        <v>1008</v>
      </c>
      <c r="C1414">
        <v>99.124723000000003</v>
      </c>
      <c r="D1414">
        <v>108.717896</v>
      </c>
      <c r="E1414">
        <v>1</v>
      </c>
      <c r="F1414">
        <v>1</v>
      </c>
      <c r="G1414">
        <v>0.26100000000000001</v>
      </c>
      <c r="H1414">
        <v>0</v>
      </c>
      <c r="I1414" t="s">
        <v>0</v>
      </c>
      <c r="J1414" t="s">
        <v>59</v>
      </c>
      <c r="K1414">
        <v>0</v>
      </c>
      <c r="L1414" t="s">
        <v>60</v>
      </c>
      <c r="M1414">
        <v>1</v>
      </c>
      <c r="N1414" t="s">
        <v>67</v>
      </c>
      <c r="O1414" s="2">
        <v>0.52847222222222223</v>
      </c>
      <c r="P1414">
        <f>-0.0071136196*3600</f>
        <v>-25.609030560000001</v>
      </c>
      <c r="Q1414">
        <f>-0.0061562763*3600</f>
        <v>-22.162594680000002</v>
      </c>
    </row>
    <row r="1415" spans="1:17" x14ac:dyDescent="0.3">
      <c r="A1415" s="4" t="s">
        <v>47</v>
      </c>
      <c r="B1415" s="5" t="s">
        <v>1009</v>
      </c>
      <c r="C1415">
        <v>99.124173999999996</v>
      </c>
      <c r="D1415">
        <v>108.717957</v>
      </c>
      <c r="E1415">
        <v>1</v>
      </c>
      <c r="F1415">
        <v>1</v>
      </c>
      <c r="G1415">
        <v>0.26100000000000001</v>
      </c>
      <c r="H1415">
        <v>0</v>
      </c>
      <c r="I1415" t="s">
        <v>0</v>
      </c>
      <c r="J1415" t="s">
        <v>59</v>
      </c>
      <c r="K1415">
        <v>0</v>
      </c>
      <c r="L1415" t="s">
        <v>60</v>
      </c>
      <c r="M1415">
        <v>1</v>
      </c>
      <c r="N1415" t="s">
        <v>67</v>
      </c>
      <c r="O1415" s="2">
        <v>0.52847222222222223</v>
      </c>
      <c r="P1415">
        <f>-0.007056072*3600</f>
        <v>-25.401859200000001</v>
      </c>
      <c r="Q1415">
        <f>-0.0061438106*3600</f>
        <v>-22.117718159999999</v>
      </c>
    </row>
    <row r="1416" spans="1:17" x14ac:dyDescent="0.3">
      <c r="A1416" s="4" t="s">
        <v>47</v>
      </c>
      <c r="B1416" s="5" t="s">
        <v>1010</v>
      </c>
      <c r="C1416">
        <v>99.123956000000007</v>
      </c>
      <c r="D1416">
        <v>108.717966</v>
      </c>
      <c r="E1416">
        <v>1</v>
      </c>
      <c r="F1416">
        <v>1</v>
      </c>
      <c r="G1416">
        <v>0.26100000000000001</v>
      </c>
      <c r="H1416">
        <v>0</v>
      </c>
      <c r="I1416" t="s">
        <v>0</v>
      </c>
      <c r="J1416" t="s">
        <v>59</v>
      </c>
      <c r="K1416">
        <v>0</v>
      </c>
      <c r="L1416" t="s">
        <v>60</v>
      </c>
      <c r="M1416">
        <v>1</v>
      </c>
      <c r="N1416" t="s">
        <v>67</v>
      </c>
      <c r="O1416" s="2">
        <v>0.52847222222222223</v>
      </c>
      <c r="P1416">
        <f>-0.0071302681*3600</f>
        <v>-25.668965159999999</v>
      </c>
      <c r="Q1416">
        <f>-0.00609117*3600</f>
        <v>-21.928211999999998</v>
      </c>
    </row>
    <row r="1417" spans="1:17" x14ac:dyDescent="0.3">
      <c r="A1417" s="4" t="s">
        <v>47</v>
      </c>
      <c r="B1417" s="5" t="s">
        <v>1011</v>
      </c>
      <c r="C1417">
        <v>99.124409</v>
      </c>
      <c r="D1417">
        <v>108.717974</v>
      </c>
      <c r="E1417">
        <v>1</v>
      </c>
      <c r="F1417">
        <v>1</v>
      </c>
      <c r="G1417">
        <v>0.26100000000000001</v>
      </c>
      <c r="H1417">
        <v>0</v>
      </c>
      <c r="I1417" t="s">
        <v>0</v>
      </c>
      <c r="J1417" t="s">
        <v>59</v>
      </c>
      <c r="K1417">
        <v>0</v>
      </c>
      <c r="L1417" t="s">
        <v>60</v>
      </c>
      <c r="M1417">
        <v>1</v>
      </c>
      <c r="N1417" t="s">
        <v>67</v>
      </c>
      <c r="O1417" s="2">
        <v>0.52847222222222223</v>
      </c>
      <c r="P1417">
        <f>-0.0071850525*3600</f>
        <v>-25.866188999999999</v>
      </c>
      <c r="Q1417">
        <f>-0.0061354998*3600</f>
        <v>-22.087799280000002</v>
      </c>
    </row>
    <row r="1418" spans="1:17" x14ac:dyDescent="0.3">
      <c r="A1418" s="4" t="s">
        <v>47</v>
      </c>
      <c r="B1418" s="5" t="s">
        <v>1012</v>
      </c>
      <c r="C1418">
        <v>99.123994999999994</v>
      </c>
      <c r="D1418">
        <v>108.71798699999999</v>
      </c>
      <c r="E1418">
        <v>1</v>
      </c>
      <c r="F1418">
        <v>1</v>
      </c>
      <c r="G1418">
        <v>0.26100000000000001</v>
      </c>
      <c r="H1418">
        <v>0</v>
      </c>
      <c r="I1418" t="s">
        <v>0</v>
      </c>
      <c r="J1418" t="s">
        <v>59</v>
      </c>
      <c r="K1418">
        <v>0</v>
      </c>
      <c r="L1418" t="s">
        <v>60</v>
      </c>
      <c r="M1418">
        <v>1</v>
      </c>
      <c r="N1418" t="s">
        <v>67</v>
      </c>
      <c r="O1418" s="2">
        <v>0.52847222222222223</v>
      </c>
      <c r="P1418">
        <f>-0.0071022319*3600</f>
        <v>-25.568034840000003</v>
      </c>
      <c r="Q1418">
        <f>-0.0060834938*3600</f>
        <v>-21.900577680000001</v>
      </c>
    </row>
    <row r="1419" spans="1:17" x14ac:dyDescent="0.3">
      <c r="A1419" s="4" t="s">
        <v>47</v>
      </c>
      <c r="B1419" s="5" t="s">
        <v>1013</v>
      </c>
      <c r="C1419">
        <v>99.124098000000004</v>
      </c>
      <c r="D1419">
        <v>108.718017</v>
      </c>
      <c r="E1419">
        <v>1</v>
      </c>
      <c r="F1419">
        <v>1</v>
      </c>
      <c r="G1419">
        <v>0.26100000000000001</v>
      </c>
      <c r="H1419">
        <v>0</v>
      </c>
      <c r="I1419" t="s">
        <v>0</v>
      </c>
      <c r="J1419" t="s">
        <v>59</v>
      </c>
      <c r="K1419">
        <v>0</v>
      </c>
      <c r="L1419" t="s">
        <v>60</v>
      </c>
      <c r="M1419">
        <v>1</v>
      </c>
      <c r="N1419" t="s">
        <v>67</v>
      </c>
      <c r="O1419" s="2">
        <v>0.52847222222222223</v>
      </c>
      <c r="P1419">
        <f>-0.0070807556*3600</f>
        <v>-25.490720160000002</v>
      </c>
      <c r="Q1419">
        <f>-0.0060477831*3600</f>
        <v>-21.772019159999999</v>
      </c>
    </row>
    <row r="1420" spans="1:17" x14ac:dyDescent="0.3">
      <c r="A1420" s="4" t="s">
        <v>47</v>
      </c>
      <c r="B1420" s="5" t="s">
        <v>1014</v>
      </c>
      <c r="C1420">
        <v>99.123997000000003</v>
      </c>
      <c r="D1420">
        <v>108.718006</v>
      </c>
      <c r="E1420">
        <v>1</v>
      </c>
      <c r="F1420">
        <v>1</v>
      </c>
      <c r="G1420">
        <v>0.26100000000000001</v>
      </c>
      <c r="H1420">
        <v>0</v>
      </c>
      <c r="I1420" t="s">
        <v>0</v>
      </c>
      <c r="J1420" t="s">
        <v>59</v>
      </c>
      <c r="K1420">
        <v>0</v>
      </c>
      <c r="L1420" t="s">
        <v>60</v>
      </c>
      <c r="M1420">
        <v>1</v>
      </c>
      <c r="N1420" t="s">
        <v>67</v>
      </c>
      <c r="O1420" s="2">
        <v>0.52847222222222223</v>
      </c>
      <c r="P1420">
        <f>-0.00709244*3600</f>
        <v>-25.532783999999999</v>
      </c>
      <c r="Q1420">
        <f>-0.0060630128*3600</f>
        <v>-21.826846079999999</v>
      </c>
    </row>
    <row r="1421" spans="1:17" x14ac:dyDescent="0.3">
      <c r="A1421" s="4" t="s">
        <v>47</v>
      </c>
      <c r="B1421" s="5" t="s">
        <v>1015</v>
      </c>
      <c r="C1421">
        <v>99.123932999999994</v>
      </c>
      <c r="D1421">
        <v>108.717945</v>
      </c>
      <c r="E1421">
        <v>1</v>
      </c>
      <c r="F1421">
        <v>1</v>
      </c>
      <c r="G1421">
        <v>0.26100000000000001</v>
      </c>
      <c r="H1421">
        <v>0</v>
      </c>
      <c r="I1421" t="s">
        <v>0</v>
      </c>
      <c r="J1421" t="s">
        <v>59</v>
      </c>
      <c r="K1421">
        <v>0</v>
      </c>
      <c r="L1421" t="s">
        <v>60</v>
      </c>
      <c r="M1421">
        <v>1</v>
      </c>
      <c r="N1421" t="s">
        <v>67</v>
      </c>
      <c r="O1421" s="2">
        <v>0.52847222222222223</v>
      </c>
      <c r="P1421">
        <f>-0.0071401507*3600</f>
        <v>-25.70454252</v>
      </c>
      <c r="Q1421">
        <f>-0.0061045458*3600</f>
        <v>-21.976364879999998</v>
      </c>
    </row>
    <row r="1422" spans="1:17" x14ac:dyDescent="0.3">
      <c r="A1422" s="4" t="s">
        <v>47</v>
      </c>
      <c r="B1422" s="5" t="s">
        <v>1016</v>
      </c>
      <c r="C1422">
        <v>99.124037999999999</v>
      </c>
      <c r="D1422">
        <v>108.718019</v>
      </c>
      <c r="E1422">
        <v>1</v>
      </c>
      <c r="F1422">
        <v>1</v>
      </c>
      <c r="G1422">
        <v>0.26100000000000001</v>
      </c>
      <c r="H1422">
        <v>0</v>
      </c>
      <c r="I1422" t="s">
        <v>0</v>
      </c>
      <c r="J1422" t="s">
        <v>59</v>
      </c>
      <c r="K1422">
        <v>0</v>
      </c>
      <c r="L1422" t="s">
        <v>60</v>
      </c>
      <c r="M1422">
        <v>1</v>
      </c>
      <c r="N1422" t="s">
        <v>67</v>
      </c>
      <c r="O1422" s="2">
        <v>0.52847222222222223</v>
      </c>
      <c r="P1422">
        <f>-0.0071636724*3600</f>
        <v>-25.78922064</v>
      </c>
      <c r="Q1422">
        <f>-0.0060589001*3600</f>
        <v>-21.812040360000001</v>
      </c>
    </row>
    <row r="1423" spans="1:17" x14ac:dyDescent="0.3">
      <c r="A1423" s="4" t="s">
        <v>47</v>
      </c>
      <c r="B1423" s="5" t="s">
        <v>1017</v>
      </c>
      <c r="C1423">
        <v>99.123654999999999</v>
      </c>
      <c r="D1423">
        <v>108.717956</v>
      </c>
      <c r="E1423">
        <v>1</v>
      </c>
      <c r="F1423">
        <v>1</v>
      </c>
      <c r="G1423">
        <v>0.26100000000000001</v>
      </c>
      <c r="H1423">
        <v>0</v>
      </c>
      <c r="I1423" t="s">
        <v>0</v>
      </c>
      <c r="J1423" t="s">
        <v>59</v>
      </c>
      <c r="K1423">
        <v>0</v>
      </c>
      <c r="L1423" t="s">
        <v>60</v>
      </c>
      <c r="M1423">
        <v>1</v>
      </c>
      <c r="N1423" t="s">
        <v>67</v>
      </c>
      <c r="O1423" s="2">
        <v>0.52847222222222223</v>
      </c>
      <c r="P1423">
        <f>-0.0068892619*3600</f>
        <v>-24.80134284</v>
      </c>
      <c r="Q1423">
        <f>-0.0061594903*3600</f>
        <v>-22.174165079999998</v>
      </c>
    </row>
    <row r="1424" spans="1:17" x14ac:dyDescent="0.3">
      <c r="A1424" s="4" t="s">
        <v>47</v>
      </c>
      <c r="B1424" s="5" t="s">
        <v>1018</v>
      </c>
      <c r="C1424">
        <v>99.123918000000003</v>
      </c>
      <c r="D1424">
        <v>108.718108</v>
      </c>
      <c r="E1424">
        <v>1</v>
      </c>
      <c r="F1424">
        <v>1</v>
      </c>
      <c r="G1424">
        <v>0.26100000000000001</v>
      </c>
      <c r="H1424">
        <v>0</v>
      </c>
      <c r="I1424" t="s">
        <v>0</v>
      </c>
      <c r="J1424" t="s">
        <v>59</v>
      </c>
      <c r="K1424">
        <v>0</v>
      </c>
      <c r="L1424" t="s">
        <v>60</v>
      </c>
      <c r="M1424">
        <v>1</v>
      </c>
      <c r="N1424" t="s">
        <v>67</v>
      </c>
      <c r="O1424" s="2">
        <v>0.52847222222222223</v>
      </c>
      <c r="P1424">
        <f>-0.0066054542*3600</f>
        <v>-23.779635120000002</v>
      </c>
      <c r="Q1424">
        <f>-0.0060292968*3600</f>
        <v>-21.70546848</v>
      </c>
    </row>
    <row r="1425" spans="1:17" x14ac:dyDescent="0.3">
      <c r="A1425" s="4" t="s">
        <v>47</v>
      </c>
      <c r="B1425" s="5" t="s">
        <v>1019</v>
      </c>
      <c r="C1425">
        <v>99.123683</v>
      </c>
      <c r="D1425">
        <v>108.718074</v>
      </c>
      <c r="E1425">
        <v>1</v>
      </c>
      <c r="F1425">
        <v>1</v>
      </c>
      <c r="G1425">
        <v>0.26100000000000001</v>
      </c>
      <c r="H1425">
        <v>0</v>
      </c>
      <c r="I1425" t="s">
        <v>0</v>
      </c>
      <c r="J1425" t="s">
        <v>59</v>
      </c>
      <c r="K1425">
        <v>0</v>
      </c>
      <c r="L1425" t="s">
        <v>60</v>
      </c>
      <c r="M1425">
        <v>1</v>
      </c>
      <c r="N1425" t="s">
        <v>67</v>
      </c>
      <c r="O1425" s="2">
        <v>0.52847222222222223</v>
      </c>
      <c r="P1425">
        <f>-0.0064529478*3600</f>
        <v>-23.23061208</v>
      </c>
      <c r="Q1425">
        <f>-0.0060409092*3600</f>
        <v>-21.747273119999999</v>
      </c>
    </row>
    <row r="1426" spans="1:17" x14ac:dyDescent="0.3">
      <c r="A1426" s="4" t="s">
        <v>47</v>
      </c>
      <c r="B1426" s="5" t="s">
        <v>1020</v>
      </c>
      <c r="C1426">
        <v>99.124371999999994</v>
      </c>
      <c r="D1426">
        <v>108.717992</v>
      </c>
      <c r="E1426">
        <v>1</v>
      </c>
      <c r="F1426">
        <v>1</v>
      </c>
      <c r="G1426">
        <v>0.26100000000000001</v>
      </c>
      <c r="H1426">
        <v>0</v>
      </c>
      <c r="I1426" t="s">
        <v>0</v>
      </c>
      <c r="J1426" t="s">
        <v>59</v>
      </c>
      <c r="K1426">
        <v>0</v>
      </c>
      <c r="L1426" t="s">
        <v>60</v>
      </c>
      <c r="M1426">
        <v>1</v>
      </c>
      <c r="N1426" t="s">
        <v>67</v>
      </c>
      <c r="O1426" s="2">
        <v>0.52847222222222223</v>
      </c>
      <c r="P1426">
        <f>-0.0068892875*3600</f>
        <v>-24.801434999999998</v>
      </c>
      <c r="Q1426">
        <f>-0.0061726706*3600</f>
        <v>-22.221614160000001</v>
      </c>
    </row>
    <row r="1427" spans="1:17" x14ac:dyDescent="0.3">
      <c r="A1427" s="4" t="s">
        <v>47</v>
      </c>
      <c r="B1427" s="5" t="s">
        <v>1021</v>
      </c>
      <c r="C1427">
        <v>99.124009999999998</v>
      </c>
      <c r="D1427">
        <v>108.717946</v>
      </c>
      <c r="E1427">
        <v>1</v>
      </c>
      <c r="F1427">
        <v>1</v>
      </c>
      <c r="G1427">
        <v>0.26100000000000001</v>
      </c>
      <c r="H1427">
        <v>0</v>
      </c>
      <c r="I1427" t="s">
        <v>0</v>
      </c>
      <c r="J1427" t="s">
        <v>59</v>
      </c>
      <c r="K1427">
        <v>0</v>
      </c>
      <c r="L1427" t="s">
        <v>60</v>
      </c>
      <c r="M1427">
        <v>1</v>
      </c>
      <c r="N1427" t="s">
        <v>67</v>
      </c>
      <c r="O1427" s="2">
        <v>0.52847222222222223</v>
      </c>
      <c r="P1427">
        <f>-0.0070775326*3600</f>
        <v>-25.47911736</v>
      </c>
      <c r="Q1427">
        <f>-0.0061772415*3600</f>
        <v>-22.238069400000001</v>
      </c>
    </row>
    <row r="1428" spans="1:17" x14ac:dyDescent="0.3">
      <c r="A1428" s="4" t="s">
        <v>47</v>
      </c>
      <c r="B1428" s="5" t="s">
        <v>1022</v>
      </c>
      <c r="C1428">
        <v>99.123827000000006</v>
      </c>
      <c r="D1428">
        <v>108.71787399999999</v>
      </c>
      <c r="E1428">
        <v>1</v>
      </c>
      <c r="F1428">
        <v>1</v>
      </c>
      <c r="G1428">
        <v>0.26100000000000001</v>
      </c>
      <c r="H1428">
        <v>0</v>
      </c>
      <c r="I1428" t="s">
        <v>0</v>
      </c>
      <c r="J1428" t="s">
        <v>59</v>
      </c>
      <c r="K1428">
        <v>0</v>
      </c>
      <c r="L1428" t="s">
        <v>60</v>
      </c>
      <c r="M1428">
        <v>1</v>
      </c>
      <c r="N1428" t="s">
        <v>67</v>
      </c>
      <c r="O1428" s="2">
        <v>0.52847222222222223</v>
      </c>
      <c r="P1428">
        <f>-0.00707023*3600</f>
        <v>-25.452828</v>
      </c>
      <c r="Q1428">
        <f>-0.0062283004*3600</f>
        <v>-22.42188144</v>
      </c>
    </row>
    <row r="1429" spans="1:17" x14ac:dyDescent="0.3">
      <c r="A1429" s="4" t="s">
        <v>47</v>
      </c>
      <c r="B1429" s="5" t="s">
        <v>1023</v>
      </c>
      <c r="C1429">
        <v>99.123858999999996</v>
      </c>
      <c r="D1429">
        <v>108.717906</v>
      </c>
      <c r="E1429">
        <v>1</v>
      </c>
      <c r="F1429">
        <v>1</v>
      </c>
      <c r="G1429">
        <v>0.26100000000000001</v>
      </c>
      <c r="H1429">
        <v>0</v>
      </c>
      <c r="I1429" t="s">
        <v>0</v>
      </c>
      <c r="J1429" t="s">
        <v>59</v>
      </c>
      <c r="K1429">
        <v>0</v>
      </c>
      <c r="L1429" t="s">
        <v>60</v>
      </c>
      <c r="M1429">
        <v>1</v>
      </c>
      <c r="N1429" t="s">
        <v>67</v>
      </c>
      <c r="O1429" s="2">
        <v>0.52847222222222223</v>
      </c>
      <c r="P1429">
        <f>-0.0070893235*3600</f>
        <v>-25.521564600000001</v>
      </c>
      <c r="Q1429">
        <f>-0.006232337*3600</f>
        <v>-22.436413200000001</v>
      </c>
    </row>
    <row r="1430" spans="1:17" x14ac:dyDescent="0.3">
      <c r="A1430" s="4" t="s">
        <v>47</v>
      </c>
      <c r="B1430" s="5" t="s">
        <v>1024</v>
      </c>
      <c r="C1430">
        <v>99.123626000000002</v>
      </c>
      <c r="D1430">
        <v>108.717857</v>
      </c>
      <c r="E1430">
        <v>1</v>
      </c>
      <c r="F1430">
        <v>1</v>
      </c>
      <c r="G1430">
        <v>0.26100000000000001</v>
      </c>
      <c r="H1430">
        <v>0</v>
      </c>
      <c r="I1430" t="s">
        <v>0</v>
      </c>
      <c r="J1430" t="s">
        <v>59</v>
      </c>
      <c r="K1430">
        <v>0</v>
      </c>
      <c r="L1430" t="s">
        <v>60</v>
      </c>
      <c r="M1430">
        <v>1</v>
      </c>
      <c r="N1430" t="s">
        <v>67</v>
      </c>
      <c r="O1430" s="2">
        <v>0.52847222222222223</v>
      </c>
      <c r="P1430">
        <f>-0.0072297066*3600</f>
        <v>-26.026943760000002</v>
      </c>
      <c r="Q1430">
        <f>-0.0062530184*3600</f>
        <v>-22.510866239999999</v>
      </c>
    </row>
    <row r="1431" spans="1:17" x14ac:dyDescent="0.3">
      <c r="A1431" s="4" t="s">
        <v>47</v>
      </c>
      <c r="B1431" s="5" t="s">
        <v>1025</v>
      </c>
      <c r="C1431">
        <v>99.123665000000003</v>
      </c>
      <c r="D1431">
        <v>108.717975</v>
      </c>
      <c r="E1431">
        <v>1</v>
      </c>
      <c r="F1431">
        <v>1</v>
      </c>
      <c r="G1431">
        <v>0.26100000000000001</v>
      </c>
      <c r="H1431">
        <v>0</v>
      </c>
      <c r="I1431" t="s">
        <v>0</v>
      </c>
      <c r="J1431" t="s">
        <v>59</v>
      </c>
      <c r="K1431">
        <v>0</v>
      </c>
      <c r="L1431" t="s">
        <v>60</v>
      </c>
      <c r="M1431">
        <v>1</v>
      </c>
      <c r="N1431" t="s">
        <v>67</v>
      </c>
      <c r="O1431" s="2">
        <v>0.52847222222222223</v>
      </c>
      <c r="P1431">
        <f>-0.0070711075*3600</f>
        <v>-25.455987</v>
      </c>
      <c r="Q1431">
        <f>-0.0061502145*3600</f>
        <v>-22.140772200000001</v>
      </c>
    </row>
    <row r="1432" spans="1:17" x14ac:dyDescent="0.3">
      <c r="A1432" s="4" t="s">
        <v>47</v>
      </c>
      <c r="B1432" s="5" t="s">
        <v>1026</v>
      </c>
      <c r="C1432">
        <v>99.124172000000002</v>
      </c>
      <c r="D1432">
        <v>108.718048</v>
      </c>
      <c r="E1432">
        <v>1</v>
      </c>
      <c r="F1432">
        <v>1</v>
      </c>
      <c r="G1432">
        <v>0.26100000000000001</v>
      </c>
      <c r="H1432">
        <v>0</v>
      </c>
      <c r="I1432" t="s">
        <v>0</v>
      </c>
      <c r="J1432" t="s">
        <v>59</v>
      </c>
      <c r="K1432">
        <v>0</v>
      </c>
      <c r="L1432" t="s">
        <v>60</v>
      </c>
      <c r="M1432">
        <v>1</v>
      </c>
      <c r="N1432" t="s">
        <v>67</v>
      </c>
      <c r="O1432" s="2">
        <v>0.52847222222222223</v>
      </c>
      <c r="P1432">
        <f>-0.0069872915*3600</f>
        <v>-25.154249400000001</v>
      </c>
      <c r="Q1432">
        <f>-0.0060627352*3600</f>
        <v>-21.825846719999998</v>
      </c>
    </row>
    <row r="1433" spans="1:17" x14ac:dyDescent="0.3">
      <c r="A1433" s="4" t="s">
        <v>47</v>
      </c>
      <c r="B1433" s="6" t="s">
        <v>1027</v>
      </c>
      <c r="C1433">
        <v>299.12426599999998</v>
      </c>
      <c r="D1433">
        <v>291.12755199999998</v>
      </c>
      <c r="E1433">
        <v>8.0365000000000002</v>
      </c>
      <c r="F1433">
        <v>7.9570999999999996</v>
      </c>
      <c r="G1433">
        <v>0.26100000000000001</v>
      </c>
      <c r="H1433">
        <v>0</v>
      </c>
      <c r="I1433" t="s">
        <v>0</v>
      </c>
      <c r="J1433" t="s">
        <v>59</v>
      </c>
      <c r="K1433">
        <v>3.4000000000000002E-2</v>
      </c>
      <c r="L1433" t="s">
        <v>60</v>
      </c>
      <c r="M1433">
        <v>1</v>
      </c>
      <c r="N1433" t="s">
        <v>53</v>
      </c>
      <c r="O1433" s="2">
        <v>0.53055555555555556</v>
      </c>
      <c r="P1433">
        <f>0.0056952789*3600</f>
        <v>20.50300404</v>
      </c>
      <c r="Q1433">
        <f>0.0055209419*3600</f>
        <v>19.875390839999998</v>
      </c>
    </row>
    <row r="1434" spans="1:17" x14ac:dyDescent="0.3">
      <c r="A1434" s="4" t="s">
        <v>47</v>
      </c>
      <c r="B1434" s="6" t="s">
        <v>1028</v>
      </c>
      <c r="C1434">
        <v>299.12380300000001</v>
      </c>
      <c r="D1434">
        <v>291.25127700000002</v>
      </c>
      <c r="E1434">
        <v>1</v>
      </c>
      <c r="F1434">
        <v>1</v>
      </c>
      <c r="G1434">
        <v>0.26100000000000001</v>
      </c>
      <c r="H1434">
        <v>0</v>
      </c>
      <c r="I1434" t="s">
        <v>0</v>
      </c>
      <c r="J1434" t="s">
        <v>59</v>
      </c>
      <c r="K1434">
        <v>0</v>
      </c>
      <c r="L1434" t="s">
        <v>60</v>
      </c>
      <c r="M1434">
        <v>1</v>
      </c>
      <c r="N1434" t="s">
        <v>67</v>
      </c>
      <c r="O1434" s="2">
        <v>0.53055555555555556</v>
      </c>
      <c r="P1434">
        <f>0.0058556343*3600</f>
        <v>21.080283479999999</v>
      </c>
      <c r="Q1434">
        <f>0.005680876*3600</f>
        <v>20.451153599999998</v>
      </c>
    </row>
    <row r="1435" spans="1:17" x14ac:dyDescent="0.3">
      <c r="A1435" s="4" t="s">
        <v>47</v>
      </c>
      <c r="B1435" s="6" t="s">
        <v>1029</v>
      </c>
      <c r="C1435">
        <v>299.12363699999997</v>
      </c>
      <c r="D1435">
        <v>291.25134300000002</v>
      </c>
      <c r="E1435">
        <v>1</v>
      </c>
      <c r="F1435">
        <v>1</v>
      </c>
      <c r="G1435">
        <v>0.26100000000000001</v>
      </c>
      <c r="H1435">
        <v>0</v>
      </c>
      <c r="I1435" t="s">
        <v>0</v>
      </c>
      <c r="J1435" t="s">
        <v>59</v>
      </c>
      <c r="K1435">
        <v>0</v>
      </c>
      <c r="L1435" t="s">
        <v>60</v>
      </c>
      <c r="M1435">
        <v>1</v>
      </c>
      <c r="N1435" t="s">
        <v>67</v>
      </c>
      <c r="O1435" s="2">
        <v>0.53055555555555556</v>
      </c>
      <c r="P1435">
        <f>0.0057322791*3600</f>
        <v>20.636204760000002</v>
      </c>
      <c r="Q1435">
        <f>0.0057311115*3600</f>
        <v>20.6320014</v>
      </c>
    </row>
    <row r="1436" spans="1:17" x14ac:dyDescent="0.3">
      <c r="A1436" s="4" t="s">
        <v>47</v>
      </c>
      <c r="B1436" s="6" t="s">
        <v>1030</v>
      </c>
      <c r="C1436">
        <v>299.12345099999999</v>
      </c>
      <c r="D1436">
        <v>291.25122199999998</v>
      </c>
      <c r="E1436">
        <v>1</v>
      </c>
      <c r="F1436">
        <v>1</v>
      </c>
      <c r="G1436">
        <v>0.26100000000000001</v>
      </c>
      <c r="H1436">
        <v>0</v>
      </c>
      <c r="I1436" t="s">
        <v>0</v>
      </c>
      <c r="J1436" t="s">
        <v>59</v>
      </c>
      <c r="K1436">
        <v>0</v>
      </c>
      <c r="L1436" t="s">
        <v>60</v>
      </c>
      <c r="M1436">
        <v>1</v>
      </c>
      <c r="N1436" t="s">
        <v>67</v>
      </c>
      <c r="O1436" s="2">
        <v>0.53055555555555556</v>
      </c>
      <c r="P1436">
        <f>0.0057446306*3600</f>
        <v>20.680670159999998</v>
      </c>
      <c r="Q1436">
        <f>0.0056056033*3600</f>
        <v>20.18017188</v>
      </c>
    </row>
    <row r="1437" spans="1:17" x14ac:dyDescent="0.3">
      <c r="A1437" s="4" t="s">
        <v>47</v>
      </c>
      <c r="B1437" s="6" t="s">
        <v>1031</v>
      </c>
      <c r="C1437">
        <v>299.12352099999998</v>
      </c>
      <c r="D1437">
        <v>291.25137100000001</v>
      </c>
      <c r="E1437">
        <v>1</v>
      </c>
      <c r="F1437">
        <v>1</v>
      </c>
      <c r="G1437">
        <v>0.26100000000000001</v>
      </c>
      <c r="H1437">
        <v>0</v>
      </c>
      <c r="I1437" t="s">
        <v>0</v>
      </c>
      <c r="J1437" t="s">
        <v>59</v>
      </c>
      <c r="K1437">
        <v>0</v>
      </c>
      <c r="L1437" t="s">
        <v>60</v>
      </c>
      <c r="M1437">
        <v>1</v>
      </c>
      <c r="N1437" t="s">
        <v>67</v>
      </c>
      <c r="O1437" s="2">
        <v>0.53055555555555556</v>
      </c>
      <c r="P1437">
        <f>0.0058801939*3600</f>
        <v>21.168698039999999</v>
      </c>
      <c r="Q1437">
        <f>0.0057363171*3600</f>
        <v>20.65074156</v>
      </c>
    </row>
    <row r="1438" spans="1:17" x14ac:dyDescent="0.3">
      <c r="A1438" s="4" t="s">
        <v>47</v>
      </c>
      <c r="B1438" s="6" t="s">
        <v>1032</v>
      </c>
      <c r="C1438">
        <v>299.12357100000003</v>
      </c>
      <c r="D1438">
        <v>291.25124699999998</v>
      </c>
      <c r="E1438">
        <v>1</v>
      </c>
      <c r="F1438">
        <v>1</v>
      </c>
      <c r="G1438">
        <v>0.26100000000000001</v>
      </c>
      <c r="H1438">
        <v>0</v>
      </c>
      <c r="I1438" t="s">
        <v>0</v>
      </c>
      <c r="J1438" t="s">
        <v>59</v>
      </c>
      <c r="K1438">
        <v>0</v>
      </c>
      <c r="L1438" t="s">
        <v>60</v>
      </c>
      <c r="M1438">
        <v>1</v>
      </c>
      <c r="N1438" t="s">
        <v>67</v>
      </c>
      <c r="O1438" s="2">
        <v>0.53055555555555556</v>
      </c>
      <c r="P1438">
        <f>0.0058339356*3600</f>
        <v>21.00216816</v>
      </c>
      <c r="Q1438">
        <f>0.0056101647*3600</f>
        <v>20.196592920000001</v>
      </c>
    </row>
    <row r="1439" spans="1:17" x14ac:dyDescent="0.3">
      <c r="A1439" s="4" t="s">
        <v>47</v>
      </c>
      <c r="B1439" s="6" t="s">
        <v>1033</v>
      </c>
      <c r="C1439">
        <v>299.12343499999997</v>
      </c>
      <c r="D1439">
        <v>291.25116800000001</v>
      </c>
      <c r="E1439">
        <v>1</v>
      </c>
      <c r="F1439">
        <v>1</v>
      </c>
      <c r="G1439">
        <v>0.26100000000000001</v>
      </c>
      <c r="H1439">
        <v>0</v>
      </c>
      <c r="I1439" t="s">
        <v>0</v>
      </c>
      <c r="J1439" t="s">
        <v>59</v>
      </c>
      <c r="K1439">
        <v>0</v>
      </c>
      <c r="L1439" t="s">
        <v>60</v>
      </c>
      <c r="M1439">
        <v>1</v>
      </c>
      <c r="N1439" t="s">
        <v>67</v>
      </c>
      <c r="O1439" s="2">
        <v>0.53055555555555556</v>
      </c>
      <c r="P1439">
        <f>0.0058122365*3600</f>
        <v>20.9240514</v>
      </c>
      <c r="Q1439">
        <f>0.0055348255*3600</f>
        <v>19.925371800000001</v>
      </c>
    </row>
    <row r="1440" spans="1:17" x14ac:dyDescent="0.3">
      <c r="A1440" s="4" t="s">
        <v>47</v>
      </c>
      <c r="B1440" s="6" t="s">
        <v>1034</v>
      </c>
      <c r="C1440">
        <v>299.12362100000001</v>
      </c>
      <c r="D1440">
        <v>291.25124299999999</v>
      </c>
      <c r="E1440">
        <v>1</v>
      </c>
      <c r="F1440">
        <v>1</v>
      </c>
      <c r="G1440">
        <v>0.26100000000000001</v>
      </c>
      <c r="H1440">
        <v>0</v>
      </c>
      <c r="I1440" t="s">
        <v>0</v>
      </c>
      <c r="J1440" t="s">
        <v>59</v>
      </c>
      <c r="K1440">
        <v>0</v>
      </c>
      <c r="L1440" t="s">
        <v>60</v>
      </c>
      <c r="M1440">
        <v>1</v>
      </c>
      <c r="N1440" t="s">
        <v>67</v>
      </c>
      <c r="O1440" s="2">
        <v>0.53055555555555556</v>
      </c>
      <c r="P1440">
        <f>0.0057848026*3600</f>
        <v>20.825289359999999</v>
      </c>
      <c r="Q1440">
        <f>0.0056154328*3600</f>
        <v>20.215558080000001</v>
      </c>
    </row>
    <row r="1441" spans="1:17" x14ac:dyDescent="0.3">
      <c r="A1441" s="4" t="s">
        <v>47</v>
      </c>
      <c r="B1441" s="6" t="s">
        <v>1035</v>
      </c>
      <c r="C1441">
        <v>299.12391600000001</v>
      </c>
      <c r="D1441">
        <v>291.25131900000002</v>
      </c>
      <c r="E1441">
        <v>1</v>
      </c>
      <c r="F1441">
        <v>1</v>
      </c>
      <c r="G1441">
        <v>0.26100000000000001</v>
      </c>
      <c r="H1441">
        <v>0</v>
      </c>
      <c r="I1441" t="s">
        <v>0</v>
      </c>
      <c r="J1441" t="s">
        <v>59</v>
      </c>
      <c r="K1441">
        <v>0</v>
      </c>
      <c r="L1441" t="s">
        <v>60</v>
      </c>
      <c r="M1441">
        <v>1</v>
      </c>
      <c r="N1441" t="s">
        <v>67</v>
      </c>
      <c r="O1441" s="2">
        <v>0.53055555555555556</v>
      </c>
      <c r="P1441">
        <f>0.00593334*3600</f>
        <v>21.360023999999999</v>
      </c>
      <c r="Q1441">
        <f>0.0056823998*3600</f>
        <v>20.456639279999997</v>
      </c>
    </row>
    <row r="1442" spans="1:17" x14ac:dyDescent="0.3">
      <c r="A1442" s="4" t="s">
        <v>47</v>
      </c>
      <c r="B1442" s="6" t="s">
        <v>1036</v>
      </c>
      <c r="C1442">
        <v>299.12377800000002</v>
      </c>
      <c r="D1442">
        <v>291.25113900000002</v>
      </c>
      <c r="E1442">
        <v>1</v>
      </c>
      <c r="F1442">
        <v>1</v>
      </c>
      <c r="G1442">
        <v>0.26100000000000001</v>
      </c>
      <c r="H1442">
        <v>0</v>
      </c>
      <c r="I1442" t="s">
        <v>0</v>
      </c>
      <c r="J1442" t="s">
        <v>59</v>
      </c>
      <c r="K1442">
        <v>0</v>
      </c>
      <c r="L1442" t="s">
        <v>60</v>
      </c>
      <c r="M1442">
        <v>1</v>
      </c>
      <c r="N1442" t="s">
        <v>67</v>
      </c>
      <c r="O1442" s="2">
        <v>0.53055555555555556</v>
      </c>
      <c r="P1442">
        <f>0.0057774413*3600</f>
        <v>20.798788680000001</v>
      </c>
      <c r="Q1442">
        <f>0.0055013313*3600</f>
        <v>19.804792679999998</v>
      </c>
    </row>
    <row r="1443" spans="1:17" x14ac:dyDescent="0.3">
      <c r="A1443" s="4" t="s">
        <v>47</v>
      </c>
      <c r="B1443" s="6" t="s">
        <v>1037</v>
      </c>
      <c r="C1443">
        <v>299.12445600000001</v>
      </c>
      <c r="D1443">
        <v>291.251259</v>
      </c>
      <c r="E1443">
        <v>1</v>
      </c>
      <c r="F1443">
        <v>1</v>
      </c>
      <c r="G1443">
        <v>0.26100000000000001</v>
      </c>
      <c r="H1443">
        <v>0</v>
      </c>
      <c r="I1443" t="s">
        <v>0</v>
      </c>
      <c r="J1443" t="s">
        <v>59</v>
      </c>
      <c r="K1443">
        <v>0</v>
      </c>
      <c r="L1443" t="s">
        <v>60</v>
      </c>
      <c r="M1443">
        <v>1</v>
      </c>
      <c r="N1443" t="s">
        <v>67</v>
      </c>
      <c r="O1443" s="2">
        <v>0.53055555555555556</v>
      </c>
      <c r="P1443">
        <f>0.0057126294*3600</f>
        <v>20.565465839999998</v>
      </c>
      <c r="Q1443">
        <f>0.0056068416*3600</f>
        <v>20.18462976</v>
      </c>
    </row>
    <row r="1444" spans="1:17" x14ac:dyDescent="0.3">
      <c r="A1444" s="4" t="s">
        <v>47</v>
      </c>
      <c r="B1444" s="6" t="s">
        <v>1038</v>
      </c>
      <c r="C1444">
        <v>299.12389400000001</v>
      </c>
      <c r="D1444">
        <v>291.25122699999997</v>
      </c>
      <c r="E1444">
        <v>1</v>
      </c>
      <c r="F1444">
        <v>1</v>
      </c>
      <c r="G1444">
        <v>0.26100000000000001</v>
      </c>
      <c r="H1444">
        <v>0</v>
      </c>
      <c r="I1444" t="s">
        <v>0</v>
      </c>
      <c r="J1444" t="s">
        <v>59</v>
      </c>
      <c r="K1444">
        <v>0</v>
      </c>
      <c r="L1444" t="s">
        <v>60</v>
      </c>
      <c r="M1444">
        <v>1</v>
      </c>
      <c r="N1444" t="s">
        <v>67</v>
      </c>
      <c r="O1444" s="2">
        <v>0.53055555555555556</v>
      </c>
      <c r="P1444">
        <f>0.0057296767*3600</f>
        <v>20.62683612</v>
      </c>
      <c r="Q1444">
        <f>0.0055917474*3600</f>
        <v>20.130290640000002</v>
      </c>
    </row>
    <row r="1445" spans="1:17" x14ac:dyDescent="0.3">
      <c r="A1445" s="4" t="s">
        <v>47</v>
      </c>
      <c r="B1445" s="6" t="s">
        <v>1039</v>
      </c>
      <c r="C1445">
        <v>299.12412399999999</v>
      </c>
      <c r="D1445">
        <v>291.25120099999998</v>
      </c>
      <c r="E1445">
        <v>1</v>
      </c>
      <c r="F1445">
        <v>1</v>
      </c>
      <c r="G1445">
        <v>0.26100000000000001</v>
      </c>
      <c r="H1445">
        <v>0</v>
      </c>
      <c r="I1445" t="s">
        <v>0</v>
      </c>
      <c r="J1445" t="s">
        <v>59</v>
      </c>
      <c r="K1445">
        <v>0</v>
      </c>
      <c r="L1445" t="s">
        <v>60</v>
      </c>
      <c r="M1445">
        <v>1</v>
      </c>
      <c r="N1445" t="s">
        <v>67</v>
      </c>
      <c r="O1445" s="2">
        <v>0.53055555555555556</v>
      </c>
      <c r="P1445">
        <f>0.0056891512*3600</f>
        <v>20.480944319999999</v>
      </c>
      <c r="Q1445">
        <f>0.0055565106*3600</f>
        <v>20.003438159999998</v>
      </c>
    </row>
    <row r="1446" spans="1:17" x14ac:dyDescent="0.3">
      <c r="A1446" s="4" t="s">
        <v>47</v>
      </c>
      <c r="B1446" s="6" t="s">
        <v>1040</v>
      </c>
      <c r="C1446">
        <v>299.12423999999999</v>
      </c>
      <c r="D1446">
        <v>291.25129299999998</v>
      </c>
      <c r="E1446">
        <v>1</v>
      </c>
      <c r="F1446">
        <v>1</v>
      </c>
      <c r="G1446">
        <v>0.26100000000000001</v>
      </c>
      <c r="H1446">
        <v>0</v>
      </c>
      <c r="I1446" t="s">
        <v>0</v>
      </c>
      <c r="J1446" t="s">
        <v>59</v>
      </c>
      <c r="K1446">
        <v>0</v>
      </c>
      <c r="L1446" t="s">
        <v>60</v>
      </c>
      <c r="M1446">
        <v>1</v>
      </c>
      <c r="N1446" t="s">
        <v>67</v>
      </c>
      <c r="O1446" s="2">
        <v>0.53055555555555556</v>
      </c>
      <c r="P1446">
        <f>0.005732024*3600</f>
        <v>20.635286399999998</v>
      </c>
      <c r="Q1446">
        <f>0.0056400124*3600</f>
        <v>20.304044640000001</v>
      </c>
    </row>
    <row r="1447" spans="1:17" x14ac:dyDescent="0.3">
      <c r="A1447" s="4" t="s">
        <v>47</v>
      </c>
      <c r="B1447" s="6" t="s">
        <v>1041</v>
      </c>
      <c r="C1447">
        <v>299.12334499999997</v>
      </c>
      <c r="D1447">
        <v>291.251172</v>
      </c>
      <c r="E1447">
        <v>1</v>
      </c>
      <c r="F1447">
        <v>1</v>
      </c>
      <c r="G1447">
        <v>0.26100000000000001</v>
      </c>
      <c r="H1447">
        <v>0</v>
      </c>
      <c r="I1447" t="s">
        <v>0</v>
      </c>
      <c r="J1447" t="s">
        <v>59</v>
      </c>
      <c r="K1447">
        <v>0</v>
      </c>
      <c r="L1447" t="s">
        <v>60</v>
      </c>
      <c r="M1447">
        <v>1</v>
      </c>
      <c r="N1447" t="s">
        <v>67</v>
      </c>
      <c r="O1447" s="2">
        <v>0.53055555555555556</v>
      </c>
      <c r="P1447">
        <f>0.0057261946*3600</f>
        <v>20.61430056</v>
      </c>
      <c r="Q1447">
        <f>0.005529002*3600</f>
        <v>19.904407199999998</v>
      </c>
    </row>
    <row r="1448" spans="1:17" x14ac:dyDescent="0.3">
      <c r="A1448" s="4" t="s">
        <v>47</v>
      </c>
      <c r="B1448" s="6" t="s">
        <v>1042</v>
      </c>
      <c r="C1448">
        <v>299.123469</v>
      </c>
      <c r="D1448">
        <v>291.25123600000001</v>
      </c>
      <c r="E1448">
        <v>1</v>
      </c>
      <c r="F1448">
        <v>1</v>
      </c>
      <c r="G1448">
        <v>0.26100000000000001</v>
      </c>
      <c r="H1448">
        <v>0</v>
      </c>
      <c r="I1448" t="s">
        <v>0</v>
      </c>
      <c r="J1448" t="s">
        <v>59</v>
      </c>
      <c r="K1448">
        <v>0</v>
      </c>
      <c r="L1448" t="s">
        <v>60</v>
      </c>
      <c r="M1448">
        <v>1</v>
      </c>
      <c r="N1448" t="s">
        <v>67</v>
      </c>
      <c r="O1448" s="2">
        <v>0.53055555555555556</v>
      </c>
      <c r="P1448">
        <f>0.0057205181*3600</f>
        <v>20.59386516</v>
      </c>
      <c r="Q1448">
        <f>0.0056154179*3600</f>
        <v>20.21550444</v>
      </c>
    </row>
    <row r="1449" spans="1:17" x14ac:dyDescent="0.3">
      <c r="A1449" s="4" t="s">
        <v>47</v>
      </c>
      <c r="B1449" s="6" t="s">
        <v>1043</v>
      </c>
      <c r="C1449">
        <v>299.12336299999998</v>
      </c>
      <c r="D1449">
        <v>291.25125600000001</v>
      </c>
      <c r="E1449">
        <v>1</v>
      </c>
      <c r="F1449">
        <v>1</v>
      </c>
      <c r="G1449">
        <v>0.26100000000000001</v>
      </c>
      <c r="H1449">
        <v>0</v>
      </c>
      <c r="I1449" t="s">
        <v>0</v>
      </c>
      <c r="J1449" t="s">
        <v>59</v>
      </c>
      <c r="K1449">
        <v>0</v>
      </c>
      <c r="L1449" t="s">
        <v>60</v>
      </c>
      <c r="M1449">
        <v>1</v>
      </c>
      <c r="N1449" t="s">
        <v>67</v>
      </c>
      <c r="O1449" s="2">
        <v>0.53055555555555556</v>
      </c>
      <c r="P1449">
        <f>0.005727257*3600</f>
        <v>20.618125200000001</v>
      </c>
      <c r="Q1449">
        <f>0.0056156088*3600</f>
        <v>20.216191679999998</v>
      </c>
    </row>
    <row r="1450" spans="1:17" x14ac:dyDescent="0.3">
      <c r="A1450" s="4" t="s">
        <v>47</v>
      </c>
      <c r="B1450" s="6" t="s">
        <v>1044</v>
      </c>
      <c r="C1450">
        <v>299.12336399999998</v>
      </c>
      <c r="D1450">
        <v>291.25122800000003</v>
      </c>
      <c r="E1450">
        <v>1</v>
      </c>
      <c r="F1450">
        <v>1</v>
      </c>
      <c r="G1450">
        <v>0.26100000000000001</v>
      </c>
      <c r="H1450">
        <v>0</v>
      </c>
      <c r="I1450" t="s">
        <v>0</v>
      </c>
      <c r="J1450" t="s">
        <v>59</v>
      </c>
      <c r="K1450">
        <v>0</v>
      </c>
      <c r="L1450" t="s">
        <v>60</v>
      </c>
      <c r="M1450">
        <v>1</v>
      </c>
      <c r="N1450" t="s">
        <v>67</v>
      </c>
      <c r="O1450" s="2">
        <v>0.53055555555555556</v>
      </c>
      <c r="P1450">
        <f>0.0057632099*3600</f>
        <v>20.747555639999998</v>
      </c>
      <c r="Q1450">
        <f>0.0055762172*3600</f>
        <v>20.07438192</v>
      </c>
    </row>
    <row r="1451" spans="1:17" x14ac:dyDescent="0.3">
      <c r="A1451" s="4" t="s">
        <v>47</v>
      </c>
      <c r="B1451" s="6" t="s">
        <v>1045</v>
      </c>
      <c r="C1451">
        <v>299.123696</v>
      </c>
      <c r="D1451">
        <v>291.25125300000002</v>
      </c>
      <c r="E1451">
        <v>1</v>
      </c>
      <c r="F1451">
        <v>1</v>
      </c>
      <c r="G1451">
        <v>0.26100000000000001</v>
      </c>
      <c r="H1451">
        <v>0</v>
      </c>
      <c r="I1451" t="s">
        <v>0</v>
      </c>
      <c r="J1451" t="s">
        <v>59</v>
      </c>
      <c r="K1451">
        <v>0</v>
      </c>
      <c r="L1451" t="s">
        <v>60</v>
      </c>
      <c r="M1451">
        <v>1</v>
      </c>
      <c r="N1451" t="s">
        <v>67</v>
      </c>
      <c r="O1451" s="2">
        <v>0.53055555555555556</v>
      </c>
      <c r="P1451">
        <f>0.0057577436*3600</f>
        <v>20.72787696</v>
      </c>
      <c r="Q1451">
        <f>0.0056155693*3600</f>
        <v>20.216049479999999</v>
      </c>
    </row>
    <row r="1452" spans="1:17" x14ac:dyDescent="0.3">
      <c r="A1452" s="4" t="s">
        <v>47</v>
      </c>
      <c r="B1452" s="6" t="s">
        <v>1046</v>
      </c>
      <c r="C1452">
        <v>299.123763</v>
      </c>
      <c r="D1452">
        <v>291.25128999999998</v>
      </c>
      <c r="E1452">
        <v>1</v>
      </c>
      <c r="F1452">
        <v>1</v>
      </c>
      <c r="G1452">
        <v>0.26100000000000001</v>
      </c>
      <c r="H1452">
        <v>0</v>
      </c>
      <c r="I1452" t="s">
        <v>0</v>
      </c>
      <c r="J1452" t="s">
        <v>59</v>
      </c>
      <c r="K1452">
        <v>0</v>
      </c>
      <c r="L1452" t="s">
        <v>60</v>
      </c>
      <c r="M1452">
        <v>1</v>
      </c>
      <c r="N1452" t="s">
        <v>67</v>
      </c>
      <c r="O1452" s="2">
        <v>0.53055555555555556</v>
      </c>
      <c r="P1452">
        <f>0.0057136357*3600</f>
        <v>20.569088519999998</v>
      </c>
      <c r="Q1452">
        <f>0.0056470543*3600</f>
        <v>20.329395479999999</v>
      </c>
    </row>
    <row r="1453" spans="1:17" x14ac:dyDescent="0.3">
      <c r="A1453" s="4" t="s">
        <v>47</v>
      </c>
      <c r="B1453" s="6" t="s">
        <v>1047</v>
      </c>
      <c r="C1453">
        <v>299.12337500000001</v>
      </c>
      <c r="D1453">
        <v>291.25125400000002</v>
      </c>
      <c r="E1453">
        <v>1</v>
      </c>
      <c r="F1453">
        <v>1</v>
      </c>
      <c r="G1453">
        <v>0.26100000000000001</v>
      </c>
      <c r="H1453">
        <v>0</v>
      </c>
      <c r="I1453" t="s">
        <v>0</v>
      </c>
      <c r="J1453" t="s">
        <v>59</v>
      </c>
      <c r="K1453">
        <v>0</v>
      </c>
      <c r="L1453" t="s">
        <v>60</v>
      </c>
      <c r="M1453">
        <v>1</v>
      </c>
      <c r="N1453" t="s">
        <v>67</v>
      </c>
      <c r="O1453" s="2">
        <v>0.53055555555555556</v>
      </c>
      <c r="P1453">
        <f>0.005723929*3600</f>
        <v>20.606144400000002</v>
      </c>
      <c r="Q1453">
        <f>0.0056204811*3600</f>
        <v>20.23373196</v>
      </c>
    </row>
    <row r="1454" spans="1:17" x14ac:dyDescent="0.3">
      <c r="A1454" s="4" t="s">
        <v>47</v>
      </c>
      <c r="B1454" s="6" t="s">
        <v>1048</v>
      </c>
      <c r="C1454">
        <v>299.12361199999998</v>
      </c>
      <c r="D1454">
        <v>291.25134800000001</v>
      </c>
      <c r="E1454">
        <v>1</v>
      </c>
      <c r="F1454">
        <v>1</v>
      </c>
      <c r="G1454">
        <v>0.26100000000000001</v>
      </c>
      <c r="H1454">
        <v>0</v>
      </c>
      <c r="I1454" t="s">
        <v>0</v>
      </c>
      <c r="J1454" t="s">
        <v>59</v>
      </c>
      <c r="K1454">
        <v>0</v>
      </c>
      <c r="L1454" t="s">
        <v>60</v>
      </c>
      <c r="M1454">
        <v>1</v>
      </c>
      <c r="N1454" t="s">
        <v>67</v>
      </c>
      <c r="O1454" s="2">
        <v>0.53055555555555556</v>
      </c>
      <c r="P1454">
        <f>0.0057113669*3600</f>
        <v>20.560920839999998</v>
      </c>
      <c r="Q1454">
        <f>0.0056968817*3600</f>
        <v>20.508774119999998</v>
      </c>
    </row>
    <row r="1455" spans="1:17" x14ac:dyDescent="0.3">
      <c r="A1455" s="4" t="s">
        <v>47</v>
      </c>
      <c r="B1455" s="6" t="s">
        <v>1049</v>
      </c>
      <c r="C1455">
        <v>299.12313799999998</v>
      </c>
      <c r="D1455">
        <v>291.25131900000002</v>
      </c>
      <c r="E1455">
        <v>1</v>
      </c>
      <c r="F1455">
        <v>1</v>
      </c>
      <c r="G1455">
        <v>0.26100000000000001</v>
      </c>
      <c r="H1455">
        <v>0</v>
      </c>
      <c r="I1455" t="s">
        <v>0</v>
      </c>
      <c r="J1455" t="s">
        <v>59</v>
      </c>
      <c r="K1455">
        <v>0</v>
      </c>
      <c r="L1455" t="s">
        <v>60</v>
      </c>
      <c r="M1455">
        <v>1</v>
      </c>
      <c r="N1455" t="s">
        <v>67</v>
      </c>
      <c r="O1455" s="2">
        <v>0.53055555555555556</v>
      </c>
      <c r="P1455">
        <f>0.0057606232*3600</f>
        <v>20.738243520000001</v>
      </c>
      <c r="Q1455">
        <f>0.0056926331*3600</f>
        <v>20.49347916</v>
      </c>
    </row>
    <row r="1456" spans="1:17" x14ac:dyDescent="0.3">
      <c r="A1456" s="4" t="s">
        <v>47</v>
      </c>
      <c r="B1456" s="6" t="s">
        <v>1050</v>
      </c>
      <c r="C1456">
        <v>299.12337400000001</v>
      </c>
      <c r="D1456">
        <v>291.251305</v>
      </c>
      <c r="E1456">
        <v>1</v>
      </c>
      <c r="F1456">
        <v>1</v>
      </c>
      <c r="G1456">
        <v>0.26100000000000001</v>
      </c>
      <c r="H1456">
        <v>0</v>
      </c>
      <c r="I1456" t="s">
        <v>0</v>
      </c>
      <c r="J1456" t="s">
        <v>59</v>
      </c>
      <c r="K1456">
        <v>0</v>
      </c>
      <c r="L1456" t="s">
        <v>60</v>
      </c>
      <c r="M1456">
        <v>1</v>
      </c>
      <c r="N1456" t="s">
        <v>67</v>
      </c>
      <c r="O1456" s="2">
        <v>0.53055555555555556</v>
      </c>
      <c r="P1456">
        <f>0.0057480689*3600</f>
        <v>20.693048040000001</v>
      </c>
      <c r="Q1456">
        <f>0.0056529962*3600</f>
        <v>20.350786319999997</v>
      </c>
    </row>
    <row r="1457" spans="1:17" x14ac:dyDescent="0.3">
      <c r="A1457" s="4" t="s">
        <v>47</v>
      </c>
      <c r="B1457" s="6" t="s">
        <v>1051</v>
      </c>
      <c r="C1457">
        <v>299.12459999999999</v>
      </c>
      <c r="D1457">
        <v>291.25135699999998</v>
      </c>
      <c r="E1457">
        <v>1</v>
      </c>
      <c r="F1457">
        <v>1</v>
      </c>
      <c r="G1457">
        <v>0.26100000000000001</v>
      </c>
      <c r="H1457">
        <v>0</v>
      </c>
      <c r="I1457" t="s">
        <v>0</v>
      </c>
      <c r="J1457" t="s">
        <v>59</v>
      </c>
      <c r="K1457">
        <v>0</v>
      </c>
      <c r="L1457" t="s">
        <v>60</v>
      </c>
      <c r="M1457">
        <v>1</v>
      </c>
      <c r="N1457" t="s">
        <v>67</v>
      </c>
      <c r="O1457" s="2">
        <v>0.53055555555555556</v>
      </c>
      <c r="P1457">
        <f>0.0058037357*3600</f>
        <v>20.89344852</v>
      </c>
      <c r="Q1457">
        <f>0.0057076253*3600</f>
        <v>20.547451079999998</v>
      </c>
    </row>
    <row r="1458" spans="1:17" x14ac:dyDescent="0.3">
      <c r="A1458" s="4" t="s">
        <v>47</v>
      </c>
      <c r="B1458" s="6" t="s">
        <v>1052</v>
      </c>
      <c r="C1458">
        <v>299.12340899999998</v>
      </c>
      <c r="D1458">
        <v>291.25137999999998</v>
      </c>
      <c r="E1458">
        <v>1</v>
      </c>
      <c r="F1458">
        <v>1</v>
      </c>
      <c r="G1458">
        <v>0.26100000000000001</v>
      </c>
      <c r="H1458">
        <v>0</v>
      </c>
      <c r="I1458" t="s">
        <v>0</v>
      </c>
      <c r="J1458" t="s">
        <v>59</v>
      </c>
      <c r="K1458">
        <v>0</v>
      </c>
      <c r="L1458" t="s">
        <v>60</v>
      </c>
      <c r="M1458">
        <v>1</v>
      </c>
      <c r="N1458" t="s">
        <v>67</v>
      </c>
      <c r="O1458" s="2">
        <v>0.53055555555555556</v>
      </c>
      <c r="P1458">
        <f>0.0057365875*3600</f>
        <v>20.651714999999999</v>
      </c>
      <c r="Q1458">
        <f>0.0057426341*3600</f>
        <v>20.673482760000002</v>
      </c>
    </row>
    <row r="1459" spans="1:17" x14ac:dyDescent="0.3">
      <c r="A1459" s="4" t="s">
        <v>47</v>
      </c>
      <c r="B1459" s="6" t="s">
        <v>1053</v>
      </c>
      <c r="C1459">
        <v>299.12390399999998</v>
      </c>
      <c r="D1459">
        <v>291.25133699999998</v>
      </c>
      <c r="E1459">
        <v>1</v>
      </c>
      <c r="F1459">
        <v>1</v>
      </c>
      <c r="G1459">
        <v>0.26100000000000001</v>
      </c>
      <c r="H1459">
        <v>0</v>
      </c>
      <c r="I1459" t="s">
        <v>0</v>
      </c>
      <c r="J1459" t="s">
        <v>59</v>
      </c>
      <c r="K1459">
        <v>0</v>
      </c>
      <c r="L1459" t="s">
        <v>60</v>
      </c>
      <c r="M1459">
        <v>1</v>
      </c>
      <c r="N1459" t="s">
        <v>67</v>
      </c>
      <c r="O1459" s="2">
        <v>0.53055555555555556</v>
      </c>
      <c r="P1459">
        <f>0.0057741263*3600</f>
        <v>20.786854679999998</v>
      </c>
      <c r="Q1459">
        <f>0.0056728106*3600</f>
        <v>20.42211816</v>
      </c>
    </row>
    <row r="1460" spans="1:17" x14ac:dyDescent="0.3">
      <c r="A1460" s="4" t="s">
        <v>47</v>
      </c>
      <c r="B1460" s="6" t="s">
        <v>1054</v>
      </c>
      <c r="C1460">
        <v>299.12323800000001</v>
      </c>
      <c r="D1460">
        <v>291.25121300000001</v>
      </c>
      <c r="E1460">
        <v>1</v>
      </c>
      <c r="F1460">
        <v>1</v>
      </c>
      <c r="G1460">
        <v>0.26100000000000001</v>
      </c>
      <c r="H1460">
        <v>0</v>
      </c>
      <c r="I1460" t="s">
        <v>0</v>
      </c>
      <c r="J1460" t="s">
        <v>59</v>
      </c>
      <c r="K1460">
        <v>0</v>
      </c>
      <c r="L1460" t="s">
        <v>60</v>
      </c>
      <c r="M1460">
        <v>1</v>
      </c>
      <c r="N1460" t="s">
        <v>67</v>
      </c>
      <c r="O1460" s="2">
        <v>0.53055555555555556</v>
      </c>
      <c r="P1460">
        <f>0.0057380295*3600</f>
        <v>20.656906200000002</v>
      </c>
      <c r="Q1460">
        <f>0.0055736979*3600</f>
        <v>20.06531244</v>
      </c>
    </row>
    <row r="1461" spans="1:17" x14ac:dyDescent="0.3">
      <c r="A1461" s="4" t="s">
        <v>47</v>
      </c>
      <c r="B1461" s="6" t="s">
        <v>1055</v>
      </c>
      <c r="C1461">
        <v>299.123155</v>
      </c>
      <c r="D1461">
        <v>291.25123300000001</v>
      </c>
      <c r="E1461">
        <v>1</v>
      </c>
      <c r="F1461">
        <v>1</v>
      </c>
      <c r="G1461">
        <v>0.26100000000000001</v>
      </c>
      <c r="H1461">
        <v>0</v>
      </c>
      <c r="I1461" t="s">
        <v>0</v>
      </c>
      <c r="J1461" t="s">
        <v>59</v>
      </c>
      <c r="K1461">
        <v>0</v>
      </c>
      <c r="L1461" t="s">
        <v>60</v>
      </c>
      <c r="M1461">
        <v>1</v>
      </c>
      <c r="N1461" t="s">
        <v>67</v>
      </c>
      <c r="O1461" s="2">
        <v>0.53055555555555556</v>
      </c>
      <c r="P1461">
        <f>0.0057125845*3600</f>
        <v>20.5653042</v>
      </c>
      <c r="Q1461">
        <f>0.0056123713*3600</f>
        <v>20.20453668</v>
      </c>
    </row>
    <row r="1462" spans="1:17" x14ac:dyDescent="0.3">
      <c r="A1462" s="4" t="s">
        <v>47</v>
      </c>
      <c r="B1462" s="6" t="s">
        <v>1056</v>
      </c>
      <c r="C1462">
        <v>299.12311199999999</v>
      </c>
      <c r="D1462">
        <v>291.25120800000002</v>
      </c>
      <c r="E1462">
        <v>1</v>
      </c>
      <c r="F1462">
        <v>1</v>
      </c>
      <c r="G1462">
        <v>0.26100000000000001</v>
      </c>
      <c r="H1462">
        <v>0</v>
      </c>
      <c r="I1462" t="s">
        <v>0</v>
      </c>
      <c r="J1462" t="s">
        <v>59</v>
      </c>
      <c r="K1462">
        <v>0</v>
      </c>
      <c r="L1462" t="s">
        <v>60</v>
      </c>
      <c r="M1462">
        <v>1</v>
      </c>
      <c r="N1462" t="s">
        <v>67</v>
      </c>
      <c r="O1462" s="2">
        <v>0.53055555555555556</v>
      </c>
      <c r="P1462">
        <f>0.005722109*3600</f>
        <v>20.599592400000002</v>
      </c>
      <c r="Q1462">
        <f>0.0055756174*3600</f>
        <v>20.07222264</v>
      </c>
    </row>
    <row r="1463" spans="1:17" x14ac:dyDescent="0.3">
      <c r="A1463" s="4" t="s">
        <v>47</v>
      </c>
      <c r="B1463" s="6" t="s">
        <v>1057</v>
      </c>
      <c r="C1463">
        <v>299.12346400000001</v>
      </c>
      <c r="D1463">
        <v>291.25135299999999</v>
      </c>
      <c r="E1463">
        <v>1</v>
      </c>
      <c r="F1463">
        <v>1</v>
      </c>
      <c r="G1463">
        <v>0.26100000000000001</v>
      </c>
      <c r="H1463">
        <v>0</v>
      </c>
      <c r="I1463" t="s">
        <v>0</v>
      </c>
      <c r="J1463" t="s">
        <v>59</v>
      </c>
      <c r="K1463">
        <v>0</v>
      </c>
      <c r="L1463" t="s">
        <v>60</v>
      </c>
      <c r="M1463">
        <v>1</v>
      </c>
      <c r="N1463" t="s">
        <v>67</v>
      </c>
      <c r="O1463" s="2">
        <v>0.53055555555555556</v>
      </c>
      <c r="P1463">
        <f>0.0058237914*3600</f>
        <v>20.965649040000002</v>
      </c>
      <c r="Q1463">
        <f>0.0057137243*3600</f>
        <v>20.569407480000002</v>
      </c>
    </row>
    <row r="1464" spans="1:17" x14ac:dyDescent="0.3">
      <c r="A1464" s="4" t="s">
        <v>47</v>
      </c>
      <c r="B1464" s="6" t="s">
        <v>1058</v>
      </c>
      <c r="C1464">
        <v>299.12381199999999</v>
      </c>
      <c r="D1464">
        <v>291.25129900000002</v>
      </c>
      <c r="E1464">
        <v>1</v>
      </c>
      <c r="F1464">
        <v>1</v>
      </c>
      <c r="G1464">
        <v>0.26100000000000001</v>
      </c>
      <c r="H1464">
        <v>0</v>
      </c>
      <c r="I1464" t="s">
        <v>0</v>
      </c>
      <c r="J1464" t="s">
        <v>59</v>
      </c>
      <c r="K1464">
        <v>0</v>
      </c>
      <c r="L1464" t="s">
        <v>60</v>
      </c>
      <c r="M1464">
        <v>1</v>
      </c>
      <c r="N1464" t="s">
        <v>67</v>
      </c>
      <c r="O1464" s="2">
        <v>0.53055555555555556</v>
      </c>
      <c r="P1464">
        <f>0.005681306*3600</f>
        <v>20.452701599999997</v>
      </c>
      <c r="Q1464">
        <f>0.0056502022*3600</f>
        <v>20.340727919999999</v>
      </c>
    </row>
    <row r="1465" spans="1:17" x14ac:dyDescent="0.3">
      <c r="A1465" s="4" t="s">
        <v>47</v>
      </c>
      <c r="B1465" s="6" t="s">
        <v>1059</v>
      </c>
      <c r="C1465">
        <v>299.12381599999998</v>
      </c>
      <c r="D1465">
        <v>291.25126799999998</v>
      </c>
      <c r="E1465">
        <v>1</v>
      </c>
      <c r="F1465">
        <v>1</v>
      </c>
      <c r="G1465">
        <v>0.26100000000000001</v>
      </c>
      <c r="H1465">
        <v>0</v>
      </c>
      <c r="I1465" t="s">
        <v>0</v>
      </c>
      <c r="J1465" t="s">
        <v>59</v>
      </c>
      <c r="K1465">
        <v>0</v>
      </c>
      <c r="L1465" t="s">
        <v>60</v>
      </c>
      <c r="M1465">
        <v>1</v>
      </c>
      <c r="N1465" t="s">
        <v>67</v>
      </c>
      <c r="O1465" s="2">
        <v>0.53055555555555556</v>
      </c>
      <c r="P1465">
        <f>0.0056683001*3600</f>
        <v>20.405880360000001</v>
      </c>
      <c r="Q1465">
        <f>0.0056334666*3600</f>
        <v>20.280479760000002</v>
      </c>
    </row>
    <row r="1466" spans="1:17" x14ac:dyDescent="0.3">
      <c r="A1466" s="4" t="s">
        <v>47</v>
      </c>
      <c r="B1466" s="6" t="s">
        <v>1060</v>
      </c>
      <c r="C1466">
        <v>299.12444799999997</v>
      </c>
      <c r="D1466">
        <v>291.25135</v>
      </c>
      <c r="E1466">
        <v>1</v>
      </c>
      <c r="F1466">
        <v>1</v>
      </c>
      <c r="G1466">
        <v>0.26100000000000001</v>
      </c>
      <c r="H1466">
        <v>0</v>
      </c>
      <c r="I1466" t="s">
        <v>0</v>
      </c>
      <c r="J1466" t="s">
        <v>59</v>
      </c>
      <c r="K1466">
        <v>0</v>
      </c>
      <c r="L1466" t="s">
        <v>60</v>
      </c>
      <c r="M1466">
        <v>1</v>
      </c>
      <c r="N1466" t="s">
        <v>67</v>
      </c>
      <c r="O1466" s="2">
        <v>0.53055555555555556</v>
      </c>
      <c r="P1466">
        <f>0.0056968848*3600</f>
        <v>20.508785280000001</v>
      </c>
      <c r="Q1466">
        <f>0.0057014381*3600</f>
        <v>20.525177160000002</v>
      </c>
    </row>
    <row r="1467" spans="1:17" x14ac:dyDescent="0.3">
      <c r="A1467" s="4" t="s">
        <v>47</v>
      </c>
      <c r="B1467" s="6" t="s">
        <v>1061</v>
      </c>
      <c r="C1467">
        <v>299.12325499999997</v>
      </c>
      <c r="D1467">
        <v>291.25129299999998</v>
      </c>
      <c r="E1467">
        <v>1</v>
      </c>
      <c r="F1467">
        <v>1</v>
      </c>
      <c r="G1467">
        <v>0.26100000000000001</v>
      </c>
      <c r="H1467">
        <v>0</v>
      </c>
      <c r="I1467" t="s">
        <v>0</v>
      </c>
      <c r="J1467" t="s">
        <v>59</v>
      </c>
      <c r="K1467">
        <v>0</v>
      </c>
      <c r="L1467" t="s">
        <v>60</v>
      </c>
      <c r="M1467">
        <v>1</v>
      </c>
      <c r="N1467" t="s">
        <v>67</v>
      </c>
      <c r="O1467" s="2">
        <v>0.53055555555555556</v>
      </c>
      <c r="P1467">
        <f>0.005643507*3600</f>
        <v>20.316625200000001</v>
      </c>
      <c r="Q1467">
        <f>0.0056556784*3600</f>
        <v>20.360442240000001</v>
      </c>
    </row>
    <row r="1468" spans="1:17" x14ac:dyDescent="0.3">
      <c r="A1468" s="4" t="s">
        <v>47</v>
      </c>
      <c r="B1468" s="6" t="s">
        <v>1062</v>
      </c>
      <c r="C1468">
        <v>299.12346000000002</v>
      </c>
      <c r="D1468">
        <v>291.25128799999999</v>
      </c>
      <c r="E1468">
        <v>1</v>
      </c>
      <c r="F1468">
        <v>1</v>
      </c>
      <c r="G1468">
        <v>0.26100000000000001</v>
      </c>
      <c r="H1468">
        <v>0</v>
      </c>
      <c r="I1468" t="s">
        <v>0</v>
      </c>
      <c r="J1468" t="s">
        <v>59</v>
      </c>
      <c r="K1468">
        <v>0</v>
      </c>
      <c r="L1468" t="s">
        <v>60</v>
      </c>
      <c r="M1468">
        <v>1</v>
      </c>
      <c r="N1468" t="s">
        <v>67</v>
      </c>
      <c r="O1468" s="2">
        <v>0.53055555555555556</v>
      </c>
      <c r="P1468">
        <f>0.0055213178*3600</f>
        <v>19.876744079999998</v>
      </c>
      <c r="Q1468">
        <f>0.005647928*3600</f>
        <v>20.3325408</v>
      </c>
    </row>
    <row r="1469" spans="1:17" x14ac:dyDescent="0.3">
      <c r="A1469" s="4" t="s">
        <v>47</v>
      </c>
      <c r="B1469" s="6" t="s">
        <v>1063</v>
      </c>
      <c r="C1469">
        <v>299.12358699999999</v>
      </c>
      <c r="D1469">
        <v>291.25124699999998</v>
      </c>
      <c r="E1469">
        <v>1</v>
      </c>
      <c r="F1469">
        <v>1</v>
      </c>
      <c r="G1469">
        <v>0.26100000000000001</v>
      </c>
      <c r="H1469">
        <v>0</v>
      </c>
      <c r="I1469" t="s">
        <v>0</v>
      </c>
      <c r="J1469" t="s">
        <v>59</v>
      </c>
      <c r="K1469">
        <v>0</v>
      </c>
      <c r="L1469" t="s">
        <v>60</v>
      </c>
      <c r="M1469">
        <v>1</v>
      </c>
      <c r="N1469" t="s">
        <v>67</v>
      </c>
      <c r="O1469" s="2">
        <v>0.53055555555555556</v>
      </c>
      <c r="P1469">
        <f>0.005558029*3600</f>
        <v>20.008904399999999</v>
      </c>
      <c r="Q1469">
        <f>0.005611114*3600</f>
        <v>20.2000104</v>
      </c>
    </row>
    <row r="1470" spans="1:17" x14ac:dyDescent="0.3">
      <c r="A1470" s="4" t="s">
        <v>47</v>
      </c>
      <c r="B1470" s="6" t="s">
        <v>1064</v>
      </c>
      <c r="C1470">
        <v>299.12433399999998</v>
      </c>
      <c r="D1470">
        <v>291.25131099999999</v>
      </c>
      <c r="E1470">
        <v>1</v>
      </c>
      <c r="F1470">
        <v>1</v>
      </c>
      <c r="G1470">
        <v>0.26100000000000001</v>
      </c>
      <c r="H1470">
        <v>0</v>
      </c>
      <c r="I1470" t="s">
        <v>0</v>
      </c>
      <c r="J1470" t="s">
        <v>59</v>
      </c>
      <c r="K1470">
        <v>0</v>
      </c>
      <c r="L1470" t="s">
        <v>60</v>
      </c>
      <c r="M1470">
        <v>1</v>
      </c>
      <c r="N1470" t="s">
        <v>67</v>
      </c>
      <c r="O1470" s="2">
        <v>0.53055555555555556</v>
      </c>
      <c r="P1470">
        <f>0.0056994875*3600</f>
        <v>20.518155</v>
      </c>
      <c r="Q1470">
        <f>0.0056623435*3600</f>
        <v>20.384436600000001</v>
      </c>
    </row>
    <row r="1471" spans="1:17" x14ac:dyDescent="0.3">
      <c r="A1471" s="4" t="s">
        <v>47</v>
      </c>
      <c r="B1471" s="6" t="s">
        <v>1065</v>
      </c>
      <c r="C1471">
        <v>299.12397700000002</v>
      </c>
      <c r="D1471">
        <v>291.25136300000003</v>
      </c>
      <c r="E1471">
        <v>1</v>
      </c>
      <c r="F1471">
        <v>1</v>
      </c>
      <c r="G1471">
        <v>0.26100000000000001</v>
      </c>
      <c r="H1471">
        <v>0</v>
      </c>
      <c r="I1471" t="s">
        <v>0</v>
      </c>
      <c r="J1471" t="s">
        <v>59</v>
      </c>
      <c r="K1471">
        <v>0</v>
      </c>
      <c r="L1471" t="s">
        <v>60</v>
      </c>
      <c r="M1471">
        <v>1</v>
      </c>
      <c r="N1471" t="s">
        <v>67</v>
      </c>
      <c r="O1471" s="2">
        <v>0.53055555555555556</v>
      </c>
      <c r="P1471">
        <f>0.0056500949*3600</f>
        <v>20.340341640000002</v>
      </c>
      <c r="Q1471">
        <f>0.0056994355*3600</f>
        <v>20.517967800000001</v>
      </c>
    </row>
    <row r="1472" spans="1:17" x14ac:dyDescent="0.3">
      <c r="A1472" s="4" t="s">
        <v>47</v>
      </c>
      <c r="B1472" s="6" t="s">
        <v>1066</v>
      </c>
      <c r="C1472">
        <v>299.12366200000002</v>
      </c>
      <c r="D1472">
        <v>291.25138600000002</v>
      </c>
      <c r="E1472">
        <v>1</v>
      </c>
      <c r="F1472">
        <v>1</v>
      </c>
      <c r="G1472">
        <v>0.26100000000000001</v>
      </c>
      <c r="H1472">
        <v>0</v>
      </c>
      <c r="I1472" t="s">
        <v>0</v>
      </c>
      <c r="J1472" t="s">
        <v>59</v>
      </c>
      <c r="K1472">
        <v>0</v>
      </c>
      <c r="L1472" t="s">
        <v>60</v>
      </c>
      <c r="M1472">
        <v>1</v>
      </c>
      <c r="N1472" t="s">
        <v>67</v>
      </c>
      <c r="O1472" s="2">
        <v>0.53055555555555556</v>
      </c>
      <c r="P1472">
        <f>0.0056214925*3600</f>
        <v>20.237373000000002</v>
      </c>
      <c r="Q1472">
        <f>0.0057314726*3600</f>
        <v>20.633301360000001</v>
      </c>
    </row>
    <row r="1473" spans="1:17" x14ac:dyDescent="0.3">
      <c r="A1473" s="4" t="s">
        <v>47</v>
      </c>
      <c r="B1473" s="6" t="s">
        <v>1067</v>
      </c>
      <c r="C1473">
        <v>299.12300099999999</v>
      </c>
      <c r="D1473">
        <v>291.25137599999999</v>
      </c>
      <c r="E1473">
        <v>1</v>
      </c>
      <c r="F1473">
        <v>1</v>
      </c>
      <c r="G1473">
        <v>0.26100000000000001</v>
      </c>
      <c r="H1473">
        <v>0</v>
      </c>
      <c r="I1473" t="s">
        <v>0</v>
      </c>
      <c r="J1473" t="s">
        <v>59</v>
      </c>
      <c r="K1473">
        <v>0</v>
      </c>
      <c r="L1473" t="s">
        <v>60</v>
      </c>
      <c r="M1473">
        <v>1</v>
      </c>
      <c r="N1473" t="s">
        <v>67</v>
      </c>
      <c r="O1473" s="2">
        <v>0.53055555555555556</v>
      </c>
      <c r="P1473">
        <f>0.0056473647*3600</f>
        <v>20.33051292</v>
      </c>
      <c r="Q1473">
        <f>0.0057387523*3600</f>
        <v>20.659508280000001</v>
      </c>
    </row>
    <row r="1474" spans="1:17" x14ac:dyDescent="0.3">
      <c r="A1474" s="4" t="s">
        <v>47</v>
      </c>
      <c r="B1474" s="6" t="s">
        <v>1068</v>
      </c>
      <c r="C1474">
        <v>299.12404800000002</v>
      </c>
      <c r="D1474">
        <v>291.25147800000002</v>
      </c>
      <c r="E1474">
        <v>1</v>
      </c>
      <c r="F1474">
        <v>1</v>
      </c>
      <c r="G1474">
        <v>0.26100000000000001</v>
      </c>
      <c r="H1474">
        <v>0</v>
      </c>
      <c r="I1474" t="s">
        <v>0</v>
      </c>
      <c r="J1474" t="s">
        <v>59</v>
      </c>
      <c r="K1474">
        <v>0</v>
      </c>
      <c r="L1474" t="s">
        <v>60</v>
      </c>
      <c r="M1474">
        <v>1</v>
      </c>
      <c r="N1474" t="s">
        <v>67</v>
      </c>
      <c r="O1474" s="2">
        <v>0.53055555555555556</v>
      </c>
      <c r="P1474">
        <f>0.0057005211*3600</f>
        <v>20.521875959999999</v>
      </c>
      <c r="Q1474">
        <f>0.0057970351*3600</f>
        <v>20.869326360000002</v>
      </c>
    </row>
    <row r="1475" spans="1:17" x14ac:dyDescent="0.3">
      <c r="A1475" s="4" t="s">
        <v>47</v>
      </c>
      <c r="B1475" s="6" t="s">
        <v>1069</v>
      </c>
      <c r="C1475">
        <v>299.12289199999998</v>
      </c>
      <c r="D1475">
        <v>291.25136500000002</v>
      </c>
      <c r="E1475">
        <v>1</v>
      </c>
      <c r="F1475">
        <v>1</v>
      </c>
      <c r="G1475">
        <v>0.26100000000000001</v>
      </c>
      <c r="H1475">
        <v>0</v>
      </c>
      <c r="I1475" t="s">
        <v>0</v>
      </c>
      <c r="J1475" t="s">
        <v>59</v>
      </c>
      <c r="K1475">
        <v>0</v>
      </c>
      <c r="L1475" t="s">
        <v>60</v>
      </c>
      <c r="M1475">
        <v>1</v>
      </c>
      <c r="N1475" t="s">
        <v>67</v>
      </c>
      <c r="O1475" s="2">
        <v>0.53055555555555556</v>
      </c>
      <c r="P1475">
        <f>0.0055119457*3600</f>
        <v>19.843004519999997</v>
      </c>
      <c r="Q1475">
        <f>0.005729038*3600</f>
        <v>20.624536799999998</v>
      </c>
    </row>
    <row r="1476" spans="1:17" x14ac:dyDescent="0.3">
      <c r="A1476" s="4" t="s">
        <v>47</v>
      </c>
      <c r="B1476" s="6" t="s">
        <v>1070</v>
      </c>
      <c r="C1476">
        <v>299.123312</v>
      </c>
      <c r="D1476">
        <v>291.25135399999999</v>
      </c>
      <c r="E1476">
        <v>1</v>
      </c>
      <c r="F1476">
        <v>1</v>
      </c>
      <c r="G1476">
        <v>0.26100000000000001</v>
      </c>
      <c r="H1476">
        <v>0</v>
      </c>
      <c r="I1476" t="s">
        <v>0</v>
      </c>
      <c r="J1476" t="s">
        <v>59</v>
      </c>
      <c r="K1476">
        <v>0</v>
      </c>
      <c r="L1476" t="s">
        <v>60</v>
      </c>
      <c r="M1476">
        <v>1</v>
      </c>
      <c r="N1476" t="s">
        <v>67</v>
      </c>
      <c r="O1476" s="2">
        <v>0.53055555555555556</v>
      </c>
      <c r="P1476">
        <f>0.0056431176*3600</f>
        <v>20.315223360000001</v>
      </c>
      <c r="Q1476">
        <f>0.0056947228*3600</f>
        <v>20.501002080000003</v>
      </c>
    </row>
    <row r="1477" spans="1:17" x14ac:dyDescent="0.3">
      <c r="A1477" s="4" t="s">
        <v>47</v>
      </c>
      <c r="B1477" s="6" t="s">
        <v>1071</v>
      </c>
      <c r="C1477">
        <v>299.123242</v>
      </c>
      <c r="D1477">
        <v>291.25129299999998</v>
      </c>
      <c r="E1477">
        <v>1</v>
      </c>
      <c r="F1477">
        <v>1</v>
      </c>
      <c r="G1477">
        <v>0.26100000000000001</v>
      </c>
      <c r="H1477">
        <v>0</v>
      </c>
      <c r="I1477" t="s">
        <v>0</v>
      </c>
      <c r="J1477" t="s">
        <v>59</v>
      </c>
      <c r="K1477">
        <v>0</v>
      </c>
      <c r="L1477" t="s">
        <v>60</v>
      </c>
      <c r="M1477">
        <v>1</v>
      </c>
      <c r="N1477" t="s">
        <v>67</v>
      </c>
      <c r="O1477" s="2">
        <v>0.53055555555555556</v>
      </c>
      <c r="P1477">
        <f>0.0056348683*3600</f>
        <v>20.285525880000002</v>
      </c>
      <c r="Q1477">
        <f>0.005659723*3600</f>
        <v>20.375002800000001</v>
      </c>
    </row>
    <row r="1478" spans="1:17" x14ac:dyDescent="0.3">
      <c r="A1478" s="4" t="s">
        <v>47</v>
      </c>
      <c r="B1478" s="6" t="s">
        <v>1072</v>
      </c>
      <c r="C1478">
        <v>299.12328000000002</v>
      </c>
      <c r="D1478">
        <v>291.25131199999998</v>
      </c>
      <c r="E1478">
        <v>1</v>
      </c>
      <c r="F1478">
        <v>1</v>
      </c>
      <c r="G1478">
        <v>0.26100000000000001</v>
      </c>
      <c r="H1478">
        <v>0</v>
      </c>
      <c r="I1478" t="s">
        <v>0</v>
      </c>
      <c r="J1478" t="s">
        <v>59</v>
      </c>
      <c r="K1478">
        <v>0</v>
      </c>
      <c r="L1478" t="s">
        <v>60</v>
      </c>
      <c r="M1478">
        <v>1</v>
      </c>
      <c r="N1478" t="s">
        <v>67</v>
      </c>
      <c r="O1478" s="2">
        <v>0.53055555555555556</v>
      </c>
      <c r="P1478">
        <f>0.0056006494*3600</f>
        <v>20.162337839999999</v>
      </c>
      <c r="Q1478">
        <f>0.005657625*3600</f>
        <v>20.367450000000002</v>
      </c>
    </row>
    <row r="1479" spans="1:17" x14ac:dyDescent="0.3">
      <c r="A1479" s="4" t="s">
        <v>47</v>
      </c>
      <c r="B1479" s="6" t="s">
        <v>1073</v>
      </c>
      <c r="C1479">
        <v>299.12431500000002</v>
      </c>
      <c r="D1479">
        <v>291.25140499999998</v>
      </c>
      <c r="E1479">
        <v>1</v>
      </c>
      <c r="F1479">
        <v>1</v>
      </c>
      <c r="G1479">
        <v>0.26100000000000001</v>
      </c>
      <c r="H1479">
        <v>0</v>
      </c>
      <c r="I1479" t="s">
        <v>0</v>
      </c>
      <c r="J1479" t="s">
        <v>59</v>
      </c>
      <c r="K1479">
        <v>0</v>
      </c>
      <c r="L1479" t="s">
        <v>60</v>
      </c>
      <c r="M1479">
        <v>1</v>
      </c>
      <c r="N1479" t="s">
        <v>67</v>
      </c>
      <c r="O1479" s="2">
        <v>0.53055555555555556</v>
      </c>
      <c r="P1479">
        <f>0.0056332548*3600</f>
        <v>20.27971728</v>
      </c>
      <c r="Q1479">
        <f>0.0056999744*3600</f>
        <v>20.519907840000002</v>
      </c>
    </row>
    <row r="1480" spans="1:17" x14ac:dyDescent="0.3">
      <c r="A1480" s="4" t="s">
        <v>47</v>
      </c>
      <c r="B1480" s="6" t="s">
        <v>1074</v>
      </c>
      <c r="C1480">
        <v>299.12378100000001</v>
      </c>
      <c r="D1480">
        <v>291.25134300000002</v>
      </c>
      <c r="E1480">
        <v>1</v>
      </c>
      <c r="F1480">
        <v>1</v>
      </c>
      <c r="G1480">
        <v>0.26100000000000001</v>
      </c>
      <c r="H1480">
        <v>0</v>
      </c>
      <c r="I1480" t="s">
        <v>0</v>
      </c>
      <c r="J1480" t="s">
        <v>59</v>
      </c>
      <c r="K1480">
        <v>0</v>
      </c>
      <c r="L1480" t="s">
        <v>60</v>
      </c>
      <c r="M1480">
        <v>1</v>
      </c>
      <c r="N1480" t="s">
        <v>67</v>
      </c>
      <c r="O1480" s="2">
        <v>0.53055555555555556</v>
      </c>
      <c r="P1480">
        <f>0.0056606029*3600</f>
        <v>20.378170439999998</v>
      </c>
      <c r="Q1480">
        <f>0.0056639511*3600</f>
        <v>20.39022396</v>
      </c>
    </row>
    <row r="1481" spans="1:17" x14ac:dyDescent="0.3">
      <c r="A1481" s="4" t="s">
        <v>47</v>
      </c>
      <c r="B1481" s="6" t="s">
        <v>1075</v>
      </c>
      <c r="C1481">
        <v>299.12351699999999</v>
      </c>
      <c r="D1481">
        <v>291.251464</v>
      </c>
      <c r="E1481">
        <v>1</v>
      </c>
      <c r="F1481">
        <v>1</v>
      </c>
      <c r="G1481">
        <v>0.26100000000000001</v>
      </c>
      <c r="H1481">
        <v>0</v>
      </c>
      <c r="I1481" t="s">
        <v>0</v>
      </c>
      <c r="J1481" t="s">
        <v>59</v>
      </c>
      <c r="K1481">
        <v>0</v>
      </c>
      <c r="L1481" t="s">
        <v>60</v>
      </c>
      <c r="M1481">
        <v>1</v>
      </c>
      <c r="N1481" t="s">
        <v>67</v>
      </c>
      <c r="O1481" s="2">
        <v>0.53055555555555556</v>
      </c>
      <c r="P1481">
        <f>0.0056271252*3600</f>
        <v>20.257650720000001</v>
      </c>
      <c r="Q1481">
        <f>0.0057907797*3600</f>
        <v>20.846806919999999</v>
      </c>
    </row>
    <row r="1482" spans="1:17" x14ac:dyDescent="0.3">
      <c r="A1482" s="4" t="s">
        <v>47</v>
      </c>
      <c r="B1482" s="6" t="s">
        <v>1076</v>
      </c>
      <c r="C1482">
        <v>299.123516</v>
      </c>
      <c r="D1482">
        <v>291.25147099999998</v>
      </c>
      <c r="E1482">
        <v>1</v>
      </c>
      <c r="F1482">
        <v>1</v>
      </c>
      <c r="G1482">
        <v>0.26100000000000001</v>
      </c>
      <c r="H1482">
        <v>0</v>
      </c>
      <c r="I1482" t="s">
        <v>0</v>
      </c>
      <c r="J1482" t="s">
        <v>59</v>
      </c>
      <c r="K1482">
        <v>0</v>
      </c>
      <c r="L1482" t="s">
        <v>60</v>
      </c>
      <c r="M1482">
        <v>1</v>
      </c>
      <c r="N1482" t="s">
        <v>67</v>
      </c>
      <c r="O1482" s="2">
        <v>0.53055555555555556</v>
      </c>
      <c r="P1482">
        <f>0.0057432134*3600</f>
        <v>20.67556824</v>
      </c>
      <c r="Q1482">
        <f>0.0058192396*3600</f>
        <v>20.949262559999998</v>
      </c>
    </row>
    <row r="1483" spans="1:17" x14ac:dyDescent="0.3">
      <c r="A1483" s="4" t="s">
        <v>47</v>
      </c>
      <c r="B1483" s="5" t="s">
        <v>1077</v>
      </c>
      <c r="C1483">
        <v>98.826803999999996</v>
      </c>
      <c r="D1483">
        <v>104.946279</v>
      </c>
      <c r="E1483">
        <v>19.663599999999999</v>
      </c>
      <c r="F1483">
        <v>19.6008</v>
      </c>
      <c r="G1483">
        <v>0.26100000000000001</v>
      </c>
      <c r="H1483">
        <v>0</v>
      </c>
      <c r="I1483" t="s">
        <v>0</v>
      </c>
      <c r="J1483" t="s">
        <v>59</v>
      </c>
      <c r="K1483">
        <v>3.4000000000000002E-2</v>
      </c>
      <c r="L1483" t="s">
        <v>60</v>
      </c>
      <c r="M1483">
        <v>1</v>
      </c>
      <c r="N1483" t="s">
        <v>53</v>
      </c>
      <c r="O1483" s="2">
        <v>0.53125</v>
      </c>
      <c r="P1483">
        <f>-0.0067778019*3600</f>
        <v>-24.40008684</v>
      </c>
      <c r="Q1483">
        <f>-0.0056582027*3600</f>
        <v>-20.369529719999999</v>
      </c>
    </row>
    <row r="1484" spans="1:17" x14ac:dyDescent="0.3">
      <c r="A1484" s="4" t="s">
        <v>47</v>
      </c>
      <c r="B1484" s="5" t="s">
        <v>1078</v>
      </c>
      <c r="C1484">
        <v>98.826391000000001</v>
      </c>
      <c r="D1484">
        <v>105.00136500000001</v>
      </c>
      <c r="E1484">
        <v>1</v>
      </c>
      <c r="F1484">
        <v>1</v>
      </c>
      <c r="G1484">
        <v>0.26100000000000001</v>
      </c>
      <c r="H1484">
        <v>0</v>
      </c>
      <c r="I1484" t="s">
        <v>0</v>
      </c>
      <c r="J1484" t="s">
        <v>59</v>
      </c>
      <c r="K1484">
        <v>0</v>
      </c>
      <c r="L1484" t="s">
        <v>60</v>
      </c>
      <c r="M1484">
        <v>1</v>
      </c>
      <c r="N1484" t="s">
        <v>67</v>
      </c>
      <c r="O1484" s="2">
        <v>0.53125</v>
      </c>
      <c r="P1484">
        <f>-0.0067937455*3600</f>
        <v>-24.457483799999999</v>
      </c>
      <c r="Q1484">
        <f>-0.0060074011*3600</f>
        <v>-21.626643960000003</v>
      </c>
    </row>
    <row r="1485" spans="1:17" x14ac:dyDescent="0.3">
      <c r="A1485" s="4" t="s">
        <v>47</v>
      </c>
      <c r="B1485" s="5" t="s">
        <v>1079</v>
      </c>
      <c r="C1485">
        <v>98.826485000000005</v>
      </c>
      <c r="D1485">
        <v>105.001323</v>
      </c>
      <c r="E1485">
        <v>1</v>
      </c>
      <c r="F1485">
        <v>1</v>
      </c>
      <c r="G1485">
        <v>0.26100000000000001</v>
      </c>
      <c r="H1485">
        <v>0</v>
      </c>
      <c r="I1485" t="s">
        <v>0</v>
      </c>
      <c r="J1485" t="s">
        <v>59</v>
      </c>
      <c r="K1485">
        <v>0</v>
      </c>
      <c r="L1485" t="s">
        <v>60</v>
      </c>
      <c r="M1485">
        <v>1</v>
      </c>
      <c r="N1485" t="s">
        <v>67</v>
      </c>
      <c r="O1485" s="2">
        <v>0.53125</v>
      </c>
      <c r="P1485">
        <f>-0.0068705108*3600</f>
        <v>-24.73383888</v>
      </c>
      <c r="Q1485">
        <f>-0.0060440057*3600</f>
        <v>-21.758420519999998</v>
      </c>
    </row>
    <row r="1486" spans="1:17" x14ac:dyDescent="0.3">
      <c r="A1486" s="4" t="s">
        <v>47</v>
      </c>
      <c r="B1486" s="5" t="s">
        <v>1080</v>
      </c>
      <c r="C1486">
        <v>98.826554999999999</v>
      </c>
      <c r="D1486">
        <v>105.001203</v>
      </c>
      <c r="E1486">
        <v>1</v>
      </c>
      <c r="F1486">
        <v>1</v>
      </c>
      <c r="G1486">
        <v>0.26100000000000001</v>
      </c>
      <c r="H1486">
        <v>0</v>
      </c>
      <c r="I1486" t="s">
        <v>0</v>
      </c>
      <c r="J1486" t="s">
        <v>59</v>
      </c>
      <c r="K1486">
        <v>0</v>
      </c>
      <c r="L1486" t="s">
        <v>60</v>
      </c>
      <c r="M1486">
        <v>1</v>
      </c>
      <c r="N1486" t="s">
        <v>67</v>
      </c>
      <c r="O1486" s="2">
        <v>0.53125</v>
      </c>
      <c r="P1486">
        <f>-0.006878081*3600</f>
        <v>-24.7610916</v>
      </c>
      <c r="Q1486">
        <f>-0.0061801815*3600</f>
        <v>-22.248653399999998</v>
      </c>
    </row>
    <row r="1487" spans="1:17" x14ac:dyDescent="0.3">
      <c r="A1487" s="4" t="s">
        <v>47</v>
      </c>
      <c r="B1487" s="5" t="s">
        <v>1081</v>
      </c>
      <c r="C1487">
        <v>98.826971</v>
      </c>
      <c r="D1487">
        <v>105.00134</v>
      </c>
      <c r="E1487">
        <v>1</v>
      </c>
      <c r="F1487">
        <v>1</v>
      </c>
      <c r="G1487">
        <v>0.26100000000000001</v>
      </c>
      <c r="H1487">
        <v>0</v>
      </c>
      <c r="I1487" t="s">
        <v>0</v>
      </c>
      <c r="J1487" t="s">
        <v>59</v>
      </c>
      <c r="K1487">
        <v>0</v>
      </c>
      <c r="L1487" t="s">
        <v>60</v>
      </c>
      <c r="M1487">
        <v>1</v>
      </c>
      <c r="N1487" t="s">
        <v>67</v>
      </c>
      <c r="O1487" s="2">
        <v>0.53125</v>
      </c>
      <c r="P1487">
        <f>-0.006818157*3600</f>
        <v>-24.545365199999999</v>
      </c>
      <c r="Q1487">
        <f>-0.0060514871*3600</f>
        <v>-21.785353560000001</v>
      </c>
    </row>
    <row r="1488" spans="1:17" x14ac:dyDescent="0.3">
      <c r="A1488" s="4" t="s">
        <v>47</v>
      </c>
      <c r="B1488" s="5" t="s">
        <v>1082</v>
      </c>
      <c r="C1488">
        <v>98.826789000000005</v>
      </c>
      <c r="D1488">
        <v>105.001335</v>
      </c>
      <c r="E1488">
        <v>1</v>
      </c>
      <c r="F1488">
        <v>1</v>
      </c>
      <c r="G1488">
        <v>0.26100000000000001</v>
      </c>
      <c r="H1488">
        <v>0</v>
      </c>
      <c r="I1488" t="s">
        <v>0</v>
      </c>
      <c r="J1488" t="s">
        <v>59</v>
      </c>
      <c r="K1488">
        <v>0</v>
      </c>
      <c r="L1488" t="s">
        <v>60</v>
      </c>
      <c r="M1488">
        <v>1</v>
      </c>
      <c r="N1488" t="s">
        <v>67</v>
      </c>
      <c r="O1488" s="2">
        <v>0.53125</v>
      </c>
      <c r="P1488">
        <f>-0.006776559*3600</f>
        <v>-24.395612399999997</v>
      </c>
      <c r="Q1488">
        <f>-0.006042181*3600</f>
        <v>-21.751851599999998</v>
      </c>
    </row>
    <row r="1489" spans="1:17" x14ac:dyDescent="0.3">
      <c r="A1489" s="4" t="s">
        <v>47</v>
      </c>
      <c r="B1489" s="5" t="s">
        <v>1083</v>
      </c>
      <c r="C1489">
        <v>98.826651999999996</v>
      </c>
      <c r="D1489">
        <v>105.00118000000001</v>
      </c>
      <c r="E1489">
        <v>1</v>
      </c>
      <c r="F1489">
        <v>1</v>
      </c>
      <c r="G1489">
        <v>0.26100000000000001</v>
      </c>
      <c r="H1489">
        <v>0</v>
      </c>
      <c r="I1489" t="s">
        <v>0</v>
      </c>
      <c r="J1489" t="s">
        <v>59</v>
      </c>
      <c r="K1489">
        <v>0</v>
      </c>
      <c r="L1489" t="s">
        <v>60</v>
      </c>
      <c r="M1489">
        <v>1</v>
      </c>
      <c r="N1489" t="s">
        <v>67</v>
      </c>
      <c r="O1489" s="2">
        <v>0.53125</v>
      </c>
      <c r="P1489">
        <f>-0.0069147674*3600</f>
        <v>-24.89316264</v>
      </c>
      <c r="Q1489">
        <f>-0.0061876552*3600</f>
        <v>-22.275558719999999</v>
      </c>
    </row>
    <row r="1490" spans="1:17" x14ac:dyDescent="0.3">
      <c r="A1490" s="4" t="s">
        <v>47</v>
      </c>
      <c r="B1490" s="5" t="s">
        <v>1084</v>
      </c>
      <c r="C1490">
        <v>98.826740999999998</v>
      </c>
      <c r="D1490">
        <v>105.001256</v>
      </c>
      <c r="E1490">
        <v>1</v>
      </c>
      <c r="F1490">
        <v>1</v>
      </c>
      <c r="G1490">
        <v>0.26100000000000001</v>
      </c>
      <c r="H1490">
        <v>0</v>
      </c>
      <c r="I1490" t="s">
        <v>0</v>
      </c>
      <c r="J1490" t="s">
        <v>59</v>
      </c>
      <c r="K1490">
        <v>0</v>
      </c>
      <c r="L1490" t="s">
        <v>60</v>
      </c>
      <c r="M1490">
        <v>1</v>
      </c>
      <c r="N1490" t="s">
        <v>67</v>
      </c>
      <c r="O1490" s="2">
        <v>0.53125</v>
      </c>
      <c r="P1490">
        <f>-0.0068506951*3600</f>
        <v>-24.662502360000001</v>
      </c>
      <c r="Q1490">
        <f>-0.0060972555*3600</f>
        <v>-21.9501198</v>
      </c>
    </row>
    <row r="1491" spans="1:17" x14ac:dyDescent="0.3">
      <c r="A1491" s="4" t="s">
        <v>47</v>
      </c>
      <c r="B1491" s="5" t="s">
        <v>1085</v>
      </c>
      <c r="C1491">
        <v>98.826474000000005</v>
      </c>
      <c r="D1491">
        <v>105.001267</v>
      </c>
      <c r="E1491">
        <v>1</v>
      </c>
      <c r="F1491">
        <v>1</v>
      </c>
      <c r="G1491">
        <v>0.26100000000000001</v>
      </c>
      <c r="H1491">
        <v>0</v>
      </c>
      <c r="I1491" t="s">
        <v>0</v>
      </c>
      <c r="J1491" t="s">
        <v>59</v>
      </c>
      <c r="K1491">
        <v>0</v>
      </c>
      <c r="L1491" t="s">
        <v>60</v>
      </c>
      <c r="M1491">
        <v>1</v>
      </c>
      <c r="N1491" t="s">
        <v>67</v>
      </c>
      <c r="O1491" s="2">
        <v>0.53125</v>
      </c>
      <c r="P1491">
        <f>-0.006960143*3600</f>
        <v>-25.056514800000002</v>
      </c>
      <c r="Q1491">
        <f>-0.0060924536*3600</f>
        <v>-21.932832959999999</v>
      </c>
    </row>
    <row r="1492" spans="1:17" x14ac:dyDescent="0.3">
      <c r="A1492" s="4" t="s">
        <v>47</v>
      </c>
      <c r="B1492" s="5" t="s">
        <v>1086</v>
      </c>
      <c r="C1492">
        <v>98.826864</v>
      </c>
      <c r="D1492">
        <v>105.00127000000001</v>
      </c>
      <c r="E1492">
        <v>1</v>
      </c>
      <c r="F1492">
        <v>1</v>
      </c>
      <c r="G1492">
        <v>0.26100000000000001</v>
      </c>
      <c r="H1492">
        <v>0</v>
      </c>
      <c r="I1492" t="s">
        <v>0</v>
      </c>
      <c r="J1492" t="s">
        <v>59</v>
      </c>
      <c r="K1492">
        <v>0</v>
      </c>
      <c r="L1492" t="s">
        <v>60</v>
      </c>
      <c r="M1492">
        <v>1</v>
      </c>
      <c r="N1492" t="s">
        <v>67</v>
      </c>
      <c r="O1492" s="2">
        <v>0.53125</v>
      </c>
      <c r="P1492">
        <f>-0.0067615234*3600</f>
        <v>-24.34148424</v>
      </c>
      <c r="Q1492">
        <f>-0.0060980034*3600</f>
        <v>-21.95281224</v>
      </c>
    </row>
    <row r="1493" spans="1:17" x14ac:dyDescent="0.3">
      <c r="A1493" s="4" t="s">
        <v>47</v>
      </c>
      <c r="B1493" s="5" t="s">
        <v>1087</v>
      </c>
      <c r="C1493">
        <v>98.826813000000001</v>
      </c>
      <c r="D1493">
        <v>105.001338</v>
      </c>
      <c r="E1493">
        <v>1</v>
      </c>
      <c r="F1493">
        <v>1</v>
      </c>
      <c r="G1493">
        <v>0.26100000000000001</v>
      </c>
      <c r="H1493">
        <v>0</v>
      </c>
      <c r="I1493" t="s">
        <v>0</v>
      </c>
      <c r="J1493" t="s">
        <v>59</v>
      </c>
      <c r="K1493">
        <v>0</v>
      </c>
      <c r="L1493" t="s">
        <v>60</v>
      </c>
      <c r="M1493">
        <v>1</v>
      </c>
      <c r="N1493" t="s">
        <v>67</v>
      </c>
      <c r="O1493" s="2">
        <v>0.53125</v>
      </c>
      <c r="P1493">
        <f>-0.0068038626*3600</f>
        <v>-24.493905359999999</v>
      </c>
      <c r="Q1493">
        <f>-0.006053145*3600</f>
        <v>-21.791322000000001</v>
      </c>
    </row>
    <row r="1494" spans="1:17" x14ac:dyDescent="0.3">
      <c r="A1494" s="4" t="s">
        <v>47</v>
      </c>
      <c r="B1494" s="5" t="s">
        <v>1088</v>
      </c>
      <c r="C1494">
        <v>98.827015000000003</v>
      </c>
      <c r="D1494">
        <v>105.00126</v>
      </c>
      <c r="E1494">
        <v>1</v>
      </c>
      <c r="F1494">
        <v>1</v>
      </c>
      <c r="G1494">
        <v>0.26100000000000001</v>
      </c>
      <c r="H1494">
        <v>0</v>
      </c>
      <c r="I1494" t="s">
        <v>0</v>
      </c>
      <c r="J1494" t="s">
        <v>59</v>
      </c>
      <c r="K1494">
        <v>0</v>
      </c>
      <c r="L1494" t="s">
        <v>60</v>
      </c>
      <c r="M1494">
        <v>1</v>
      </c>
      <c r="N1494" t="s">
        <v>67</v>
      </c>
      <c r="O1494" s="2">
        <v>0.53125</v>
      </c>
      <c r="P1494">
        <f>-0.0068671291*3600</f>
        <v>-24.721664759999999</v>
      </c>
      <c r="Q1494">
        <f>-0.0061396019*3600</f>
        <v>-22.102566839999998</v>
      </c>
    </row>
    <row r="1495" spans="1:17" x14ac:dyDescent="0.3">
      <c r="A1495" s="4" t="s">
        <v>47</v>
      </c>
      <c r="B1495" s="5" t="s">
        <v>1089</v>
      </c>
      <c r="C1495">
        <v>98.826693000000006</v>
      </c>
      <c r="D1495">
        <v>105.001205</v>
      </c>
      <c r="E1495">
        <v>1</v>
      </c>
      <c r="F1495">
        <v>1</v>
      </c>
      <c r="G1495">
        <v>0.26100000000000001</v>
      </c>
      <c r="H1495">
        <v>0</v>
      </c>
      <c r="I1495" t="s">
        <v>0</v>
      </c>
      <c r="J1495" t="s">
        <v>59</v>
      </c>
      <c r="K1495">
        <v>0</v>
      </c>
      <c r="L1495" t="s">
        <v>60</v>
      </c>
      <c r="M1495">
        <v>1</v>
      </c>
      <c r="N1495" t="s">
        <v>67</v>
      </c>
      <c r="O1495" s="2">
        <v>0.53125</v>
      </c>
      <c r="P1495">
        <f>-0.0069375617*3600</f>
        <v>-24.975222119999998</v>
      </c>
      <c r="Q1495">
        <f>-0.0061607707*3600</f>
        <v>-22.178774520000001</v>
      </c>
    </row>
    <row r="1496" spans="1:17" x14ac:dyDescent="0.3">
      <c r="A1496" s="4" t="s">
        <v>47</v>
      </c>
      <c r="B1496" s="5" t="s">
        <v>1090</v>
      </c>
      <c r="C1496">
        <v>98.826711000000003</v>
      </c>
      <c r="D1496">
        <v>105.00123600000001</v>
      </c>
      <c r="E1496">
        <v>1</v>
      </c>
      <c r="F1496">
        <v>1</v>
      </c>
      <c r="G1496">
        <v>0.26100000000000001</v>
      </c>
      <c r="H1496">
        <v>0</v>
      </c>
      <c r="I1496" t="s">
        <v>0</v>
      </c>
      <c r="J1496" t="s">
        <v>59</v>
      </c>
      <c r="K1496">
        <v>0</v>
      </c>
      <c r="L1496" t="s">
        <v>60</v>
      </c>
      <c r="M1496">
        <v>1</v>
      </c>
      <c r="N1496" t="s">
        <v>67</v>
      </c>
      <c r="O1496" s="2">
        <v>0.53125</v>
      </c>
      <c r="P1496">
        <f>-0.0069189263*3600</f>
        <v>-24.90813468</v>
      </c>
      <c r="Q1496">
        <f>-0.0061622748*3600</f>
        <v>-22.184189279999998</v>
      </c>
    </row>
    <row r="1497" spans="1:17" x14ac:dyDescent="0.3">
      <c r="A1497" s="4" t="s">
        <v>47</v>
      </c>
      <c r="B1497" s="5" t="s">
        <v>1091</v>
      </c>
      <c r="C1497">
        <v>98.826711000000003</v>
      </c>
      <c r="D1497">
        <v>105.00129800000001</v>
      </c>
      <c r="E1497">
        <v>1</v>
      </c>
      <c r="F1497">
        <v>1</v>
      </c>
      <c r="G1497">
        <v>0.26100000000000001</v>
      </c>
      <c r="H1497">
        <v>0</v>
      </c>
      <c r="I1497" t="s">
        <v>0</v>
      </c>
      <c r="J1497" t="s">
        <v>59</v>
      </c>
      <c r="K1497">
        <v>0</v>
      </c>
      <c r="L1497" t="s">
        <v>60</v>
      </c>
      <c r="M1497">
        <v>1</v>
      </c>
      <c r="N1497" t="s">
        <v>67</v>
      </c>
      <c r="O1497" s="2">
        <v>0.53125</v>
      </c>
      <c r="P1497">
        <f>-0.0068611764*3600</f>
        <v>-24.700235039999999</v>
      </c>
      <c r="Q1497">
        <f>-0.0060957292*3600</f>
        <v>-21.944625120000001</v>
      </c>
    </row>
    <row r="1498" spans="1:17" x14ac:dyDescent="0.3">
      <c r="A1498" s="4" t="s">
        <v>47</v>
      </c>
      <c r="B1498" s="5" t="s">
        <v>1092</v>
      </c>
      <c r="C1498">
        <v>98.826601999999994</v>
      </c>
      <c r="D1498">
        <v>105.001226</v>
      </c>
      <c r="E1498">
        <v>1</v>
      </c>
      <c r="F1498">
        <v>1</v>
      </c>
      <c r="G1498">
        <v>0.26100000000000001</v>
      </c>
      <c r="H1498">
        <v>0</v>
      </c>
      <c r="I1498" t="s">
        <v>0</v>
      </c>
      <c r="J1498" t="s">
        <v>59</v>
      </c>
      <c r="K1498">
        <v>0</v>
      </c>
      <c r="L1498" t="s">
        <v>60</v>
      </c>
      <c r="M1498">
        <v>1</v>
      </c>
      <c r="N1498" t="s">
        <v>67</v>
      </c>
      <c r="O1498" s="2">
        <v>0.53125</v>
      </c>
      <c r="P1498">
        <f>-0.0069123234*3600</f>
        <v>-24.88436424</v>
      </c>
      <c r="Q1498">
        <f>-0.0061512507*3600</f>
        <v>-22.14450252</v>
      </c>
    </row>
    <row r="1499" spans="1:17" x14ac:dyDescent="0.3">
      <c r="A1499" s="4" t="s">
        <v>47</v>
      </c>
      <c r="B1499" s="5" t="s">
        <v>1093</v>
      </c>
      <c r="C1499">
        <v>98.826412000000005</v>
      </c>
      <c r="D1499">
        <v>105.001209</v>
      </c>
      <c r="E1499">
        <v>1</v>
      </c>
      <c r="F1499">
        <v>1</v>
      </c>
      <c r="G1499">
        <v>0.26100000000000001</v>
      </c>
      <c r="H1499">
        <v>0</v>
      </c>
      <c r="I1499" t="s">
        <v>0</v>
      </c>
      <c r="J1499" t="s">
        <v>59</v>
      </c>
      <c r="K1499">
        <v>0</v>
      </c>
      <c r="L1499" t="s">
        <v>60</v>
      </c>
      <c r="M1499">
        <v>1</v>
      </c>
      <c r="N1499" t="s">
        <v>67</v>
      </c>
      <c r="O1499" s="2">
        <v>0.53125</v>
      </c>
      <c r="P1499">
        <f>-0.0069758223*3600</f>
        <v>-25.112960279999999</v>
      </c>
      <c r="Q1499">
        <f>-0.0061564622*3600</f>
        <v>-22.163263919999999</v>
      </c>
    </row>
    <row r="1500" spans="1:17" x14ac:dyDescent="0.3">
      <c r="A1500" s="4" t="s">
        <v>47</v>
      </c>
      <c r="B1500" s="5" t="s">
        <v>1094</v>
      </c>
      <c r="C1500">
        <v>98.826603000000006</v>
      </c>
      <c r="D1500">
        <v>105.001245</v>
      </c>
      <c r="E1500">
        <v>1</v>
      </c>
      <c r="F1500">
        <v>1</v>
      </c>
      <c r="G1500">
        <v>0.26100000000000001</v>
      </c>
      <c r="H1500">
        <v>0</v>
      </c>
      <c r="I1500" t="s">
        <v>0</v>
      </c>
      <c r="J1500" t="s">
        <v>59</v>
      </c>
      <c r="K1500">
        <v>0</v>
      </c>
      <c r="L1500" t="s">
        <v>60</v>
      </c>
      <c r="M1500">
        <v>1</v>
      </c>
      <c r="N1500" t="s">
        <v>67</v>
      </c>
      <c r="O1500" s="2">
        <v>0.53125</v>
      </c>
      <c r="P1500">
        <f>-0.0069298498*3600</f>
        <v>-24.94745928</v>
      </c>
      <c r="Q1500">
        <f>-0.0061473709*3600</f>
        <v>-22.13053524</v>
      </c>
    </row>
    <row r="1501" spans="1:17" x14ac:dyDescent="0.3">
      <c r="A1501" s="4" t="s">
        <v>47</v>
      </c>
      <c r="B1501" s="5" t="s">
        <v>1095</v>
      </c>
      <c r="C1501">
        <v>98.826775999999995</v>
      </c>
      <c r="D1501">
        <v>105.001276</v>
      </c>
      <c r="E1501">
        <v>1</v>
      </c>
      <c r="F1501">
        <v>1</v>
      </c>
      <c r="G1501">
        <v>0.26100000000000001</v>
      </c>
      <c r="H1501">
        <v>0</v>
      </c>
      <c r="I1501" t="s">
        <v>0</v>
      </c>
      <c r="J1501" t="s">
        <v>59</v>
      </c>
      <c r="K1501">
        <v>0</v>
      </c>
      <c r="L1501" t="s">
        <v>60</v>
      </c>
      <c r="M1501">
        <v>1</v>
      </c>
      <c r="N1501" t="s">
        <v>67</v>
      </c>
      <c r="O1501" s="2">
        <v>0.53125</v>
      </c>
      <c r="P1501">
        <f>-0.0068902723*3600</f>
        <v>-24.804980279999999</v>
      </c>
      <c r="Q1501">
        <f>-0.0061372189*3600</f>
        <v>-22.093988039999999</v>
      </c>
    </row>
    <row r="1502" spans="1:17" x14ac:dyDescent="0.3">
      <c r="A1502" s="4" t="s">
        <v>47</v>
      </c>
      <c r="B1502" s="5" t="s">
        <v>1096</v>
      </c>
      <c r="C1502">
        <v>98.826599999999999</v>
      </c>
      <c r="D1502">
        <v>105.00132600000001</v>
      </c>
      <c r="E1502">
        <v>1</v>
      </c>
      <c r="F1502">
        <v>1</v>
      </c>
      <c r="G1502">
        <v>0.26100000000000001</v>
      </c>
      <c r="H1502">
        <v>0</v>
      </c>
      <c r="I1502" t="s">
        <v>0</v>
      </c>
      <c r="J1502" t="s">
        <v>59</v>
      </c>
      <c r="K1502">
        <v>0</v>
      </c>
      <c r="L1502" t="s">
        <v>60</v>
      </c>
      <c r="M1502">
        <v>1</v>
      </c>
      <c r="N1502" t="s">
        <v>67</v>
      </c>
      <c r="O1502" s="2">
        <v>0.53125</v>
      </c>
      <c r="P1502">
        <f>-0.0068390167*3600</f>
        <v>-24.620460119999997</v>
      </c>
      <c r="Q1502">
        <f>-0.0060699541*3600</f>
        <v>-21.851834760000003</v>
      </c>
    </row>
    <row r="1503" spans="1:17" x14ac:dyDescent="0.3">
      <c r="A1503" s="4" t="s">
        <v>47</v>
      </c>
      <c r="B1503" s="5" t="s">
        <v>1097</v>
      </c>
      <c r="C1503">
        <v>98.826755000000006</v>
      </c>
      <c r="D1503">
        <v>105.001175</v>
      </c>
      <c r="E1503">
        <v>1</v>
      </c>
      <c r="F1503">
        <v>1</v>
      </c>
      <c r="G1503">
        <v>0.26100000000000001</v>
      </c>
      <c r="H1503">
        <v>0</v>
      </c>
      <c r="I1503" t="s">
        <v>0</v>
      </c>
      <c r="J1503" t="s">
        <v>59</v>
      </c>
      <c r="K1503">
        <v>0</v>
      </c>
      <c r="L1503" t="s">
        <v>60</v>
      </c>
      <c r="M1503">
        <v>1</v>
      </c>
      <c r="N1503" t="s">
        <v>67</v>
      </c>
      <c r="O1503" s="2">
        <v>0.53194444444444444</v>
      </c>
      <c r="P1503">
        <f>-0.0069741374*3600</f>
        <v>-25.10689464</v>
      </c>
      <c r="Q1503">
        <f>-0.0062219169*3600</f>
        <v>-22.39890084</v>
      </c>
    </row>
    <row r="1504" spans="1:17" x14ac:dyDescent="0.3">
      <c r="A1504" s="4" t="s">
        <v>47</v>
      </c>
      <c r="B1504" s="5" t="s">
        <v>1098</v>
      </c>
      <c r="C1504">
        <v>98.827241999999998</v>
      </c>
      <c r="D1504">
        <v>105.00122</v>
      </c>
      <c r="E1504">
        <v>1</v>
      </c>
      <c r="F1504">
        <v>1</v>
      </c>
      <c r="G1504">
        <v>0.26100000000000001</v>
      </c>
      <c r="H1504">
        <v>0</v>
      </c>
      <c r="I1504" t="s">
        <v>0</v>
      </c>
      <c r="J1504" t="s">
        <v>59</v>
      </c>
      <c r="K1504">
        <v>0</v>
      </c>
      <c r="L1504" t="s">
        <v>60</v>
      </c>
      <c r="M1504">
        <v>1</v>
      </c>
      <c r="N1504" t="s">
        <v>67</v>
      </c>
      <c r="O1504" s="2">
        <v>0.53194444444444444</v>
      </c>
      <c r="P1504">
        <f>-0.0069650736*3600</f>
        <v>-25.074264960000001</v>
      </c>
      <c r="Q1504">
        <f>-0.0061884345*3600</f>
        <v>-22.278364200000002</v>
      </c>
    </row>
    <row r="1505" spans="1:17" x14ac:dyDescent="0.3">
      <c r="A1505" s="4" t="s">
        <v>47</v>
      </c>
      <c r="B1505" s="5" t="s">
        <v>1099</v>
      </c>
      <c r="C1505">
        <v>98.826745000000003</v>
      </c>
      <c r="D1505">
        <v>105.00125199999999</v>
      </c>
      <c r="E1505">
        <v>1</v>
      </c>
      <c r="F1505">
        <v>1</v>
      </c>
      <c r="G1505">
        <v>0.26100000000000001</v>
      </c>
      <c r="H1505">
        <v>0</v>
      </c>
      <c r="I1505" t="s">
        <v>0</v>
      </c>
      <c r="J1505" t="s">
        <v>59</v>
      </c>
      <c r="K1505">
        <v>0</v>
      </c>
      <c r="L1505" t="s">
        <v>60</v>
      </c>
      <c r="M1505">
        <v>1</v>
      </c>
      <c r="N1505" t="s">
        <v>67</v>
      </c>
      <c r="O1505" s="2">
        <v>0.53194444444444444</v>
      </c>
      <c r="P1505">
        <f>-0.0069411538*3600</f>
        <v>-24.98815368</v>
      </c>
      <c r="Q1505">
        <f>-0.0061526491*3600</f>
        <v>-22.14953676</v>
      </c>
    </row>
    <row r="1506" spans="1:17" x14ac:dyDescent="0.3">
      <c r="A1506" s="4" t="s">
        <v>47</v>
      </c>
      <c r="B1506" s="5" t="s">
        <v>1100</v>
      </c>
      <c r="C1506">
        <v>98.826588999999998</v>
      </c>
      <c r="D1506">
        <v>105.001192</v>
      </c>
      <c r="E1506">
        <v>1</v>
      </c>
      <c r="F1506">
        <v>1</v>
      </c>
      <c r="G1506">
        <v>0.26100000000000001</v>
      </c>
      <c r="H1506">
        <v>0</v>
      </c>
      <c r="I1506" t="s">
        <v>0</v>
      </c>
      <c r="J1506" t="s">
        <v>59</v>
      </c>
      <c r="K1506">
        <v>0</v>
      </c>
      <c r="L1506" t="s">
        <v>60</v>
      </c>
      <c r="M1506">
        <v>1</v>
      </c>
      <c r="N1506" t="s">
        <v>67</v>
      </c>
      <c r="O1506" s="2">
        <v>0.53194444444444444</v>
      </c>
      <c r="P1506">
        <f>-0.0069220794*3600</f>
        <v>-24.91948584</v>
      </c>
      <c r="Q1506">
        <f>-0.0062127291*3600</f>
        <v>-22.365824759999999</v>
      </c>
    </row>
    <row r="1507" spans="1:17" x14ac:dyDescent="0.3">
      <c r="A1507" s="4" t="s">
        <v>47</v>
      </c>
      <c r="B1507" s="5" t="s">
        <v>1101</v>
      </c>
      <c r="C1507">
        <v>98.827167000000003</v>
      </c>
      <c r="D1507">
        <v>105.0012</v>
      </c>
      <c r="E1507">
        <v>1</v>
      </c>
      <c r="F1507">
        <v>1</v>
      </c>
      <c r="G1507">
        <v>0.26100000000000001</v>
      </c>
      <c r="H1507">
        <v>0</v>
      </c>
      <c r="I1507" t="s">
        <v>0</v>
      </c>
      <c r="J1507" t="s">
        <v>59</v>
      </c>
      <c r="K1507">
        <v>0</v>
      </c>
      <c r="L1507" t="s">
        <v>60</v>
      </c>
      <c r="M1507">
        <v>1</v>
      </c>
      <c r="N1507" t="s">
        <v>67</v>
      </c>
      <c r="O1507" s="2">
        <v>0.53194444444444444</v>
      </c>
      <c r="P1507">
        <f>-0.0069975999*3600</f>
        <v>-25.191359640000002</v>
      </c>
      <c r="Q1507">
        <f>-0.006221963*3600</f>
        <v>-22.3990668</v>
      </c>
    </row>
    <row r="1508" spans="1:17" x14ac:dyDescent="0.3">
      <c r="A1508" s="4" t="s">
        <v>47</v>
      </c>
      <c r="B1508" s="5" t="s">
        <v>1102</v>
      </c>
      <c r="C1508">
        <v>98.826615000000004</v>
      </c>
      <c r="D1508">
        <v>105.001159</v>
      </c>
      <c r="E1508">
        <v>1</v>
      </c>
      <c r="F1508">
        <v>1</v>
      </c>
      <c r="G1508">
        <v>0.26100000000000001</v>
      </c>
      <c r="H1508">
        <v>0</v>
      </c>
      <c r="I1508" t="s">
        <v>0</v>
      </c>
      <c r="J1508" t="s">
        <v>59</v>
      </c>
      <c r="K1508">
        <v>0</v>
      </c>
      <c r="L1508" t="s">
        <v>60</v>
      </c>
      <c r="M1508">
        <v>1</v>
      </c>
      <c r="N1508" t="s">
        <v>67</v>
      </c>
      <c r="O1508" s="2">
        <v>0.53194444444444444</v>
      </c>
      <c r="P1508">
        <f>-0.0070327607*3600</f>
        <v>-25.317938519999998</v>
      </c>
      <c r="Q1508">
        <f>-0.006252874*3600</f>
        <v>-22.5103464</v>
      </c>
    </row>
    <row r="1509" spans="1:17" x14ac:dyDescent="0.3">
      <c r="A1509" s="4" t="s">
        <v>47</v>
      </c>
      <c r="B1509" s="5" t="s">
        <v>1103</v>
      </c>
      <c r="C1509">
        <v>98.827050999999997</v>
      </c>
      <c r="D1509">
        <v>105.001182</v>
      </c>
      <c r="E1509">
        <v>1</v>
      </c>
      <c r="F1509">
        <v>1</v>
      </c>
      <c r="G1509">
        <v>0.26100000000000001</v>
      </c>
      <c r="H1509">
        <v>0</v>
      </c>
      <c r="I1509" t="s">
        <v>0</v>
      </c>
      <c r="J1509" t="s">
        <v>59</v>
      </c>
      <c r="K1509">
        <v>0</v>
      </c>
      <c r="L1509" t="s">
        <v>60</v>
      </c>
      <c r="M1509">
        <v>1</v>
      </c>
      <c r="N1509" t="s">
        <v>67</v>
      </c>
      <c r="O1509" s="2">
        <v>0.53194444444444444</v>
      </c>
      <c r="P1509">
        <f>-0.0070183163*3600</f>
        <v>-25.265938679999998</v>
      </c>
      <c r="Q1509">
        <f>-0.0062300003*3600</f>
        <v>-22.428001080000001</v>
      </c>
    </row>
    <row r="1510" spans="1:17" x14ac:dyDescent="0.3">
      <c r="A1510" s="4" t="s">
        <v>47</v>
      </c>
      <c r="B1510" s="5" t="s">
        <v>1104</v>
      </c>
      <c r="C1510">
        <v>98.826770999999994</v>
      </c>
      <c r="D1510">
        <v>105.001234</v>
      </c>
      <c r="E1510">
        <v>1</v>
      </c>
      <c r="F1510">
        <v>1</v>
      </c>
      <c r="G1510">
        <v>0.26100000000000001</v>
      </c>
      <c r="H1510">
        <v>0</v>
      </c>
      <c r="I1510" t="s">
        <v>0</v>
      </c>
      <c r="J1510" t="s">
        <v>59</v>
      </c>
      <c r="K1510">
        <v>0</v>
      </c>
      <c r="L1510" t="s">
        <v>60</v>
      </c>
      <c r="M1510">
        <v>1</v>
      </c>
      <c r="N1510" t="s">
        <v>67</v>
      </c>
      <c r="O1510" s="2">
        <v>0.53194444444444444</v>
      </c>
      <c r="P1510">
        <f>-0.0068419223*3600</f>
        <v>-24.630920280000002</v>
      </c>
      <c r="Q1510">
        <f>-0.0061775915*3600</f>
        <v>-22.239329400000003</v>
      </c>
    </row>
    <row r="1511" spans="1:17" x14ac:dyDescent="0.3">
      <c r="A1511" s="4" t="s">
        <v>47</v>
      </c>
      <c r="B1511" s="5" t="s">
        <v>1105</v>
      </c>
      <c r="C1511">
        <v>98.827095999999997</v>
      </c>
      <c r="D1511">
        <v>105.001214</v>
      </c>
      <c r="E1511">
        <v>1</v>
      </c>
      <c r="F1511">
        <v>1</v>
      </c>
      <c r="G1511">
        <v>0.26100000000000001</v>
      </c>
      <c r="H1511">
        <v>0</v>
      </c>
      <c r="I1511" t="s">
        <v>0</v>
      </c>
      <c r="J1511" t="s">
        <v>59</v>
      </c>
      <c r="K1511">
        <v>0</v>
      </c>
      <c r="L1511" t="s">
        <v>60</v>
      </c>
      <c r="M1511">
        <v>1</v>
      </c>
      <c r="N1511" t="s">
        <v>67</v>
      </c>
      <c r="O1511" s="2">
        <v>0.53194444444444444</v>
      </c>
      <c r="P1511">
        <f>-0.006861095*3600</f>
        <v>-24.699942</v>
      </c>
      <c r="Q1511">
        <f>-0.0061781345*3600</f>
        <v>-22.241284199999999</v>
      </c>
    </row>
    <row r="1512" spans="1:17" x14ac:dyDescent="0.3">
      <c r="A1512" s="4" t="s">
        <v>47</v>
      </c>
      <c r="B1512" s="5" t="s">
        <v>1106</v>
      </c>
      <c r="C1512">
        <v>98.826949999999997</v>
      </c>
      <c r="D1512">
        <v>105.001119</v>
      </c>
      <c r="E1512">
        <v>1</v>
      </c>
      <c r="F1512">
        <v>1</v>
      </c>
      <c r="G1512">
        <v>0.26100000000000001</v>
      </c>
      <c r="H1512">
        <v>0</v>
      </c>
      <c r="I1512" t="s">
        <v>0</v>
      </c>
      <c r="J1512" t="s">
        <v>59</v>
      </c>
      <c r="K1512">
        <v>0</v>
      </c>
      <c r="L1512" t="s">
        <v>60</v>
      </c>
      <c r="M1512">
        <v>1</v>
      </c>
      <c r="N1512" t="s">
        <v>67</v>
      </c>
      <c r="O1512" s="2">
        <v>0.53194444444444444</v>
      </c>
      <c r="P1512">
        <f>-0.0070154279*3600</f>
        <v>-25.255540440000001</v>
      </c>
      <c r="Q1512">
        <f>-0.0062817222*3600</f>
        <v>-22.614199920000001</v>
      </c>
    </row>
    <row r="1513" spans="1:17" x14ac:dyDescent="0.3">
      <c r="A1513" s="4" t="s">
        <v>47</v>
      </c>
      <c r="B1513" s="5" t="s">
        <v>1107</v>
      </c>
      <c r="C1513">
        <v>98.827224000000001</v>
      </c>
      <c r="D1513">
        <v>105.001159</v>
      </c>
      <c r="E1513">
        <v>1</v>
      </c>
      <c r="F1513">
        <v>1</v>
      </c>
      <c r="G1513">
        <v>0.26100000000000001</v>
      </c>
      <c r="H1513">
        <v>0</v>
      </c>
      <c r="I1513" t="s">
        <v>0</v>
      </c>
      <c r="J1513" t="s">
        <v>59</v>
      </c>
      <c r="K1513">
        <v>0</v>
      </c>
      <c r="L1513" t="s">
        <v>60</v>
      </c>
      <c r="M1513">
        <v>1</v>
      </c>
      <c r="N1513" t="s">
        <v>67</v>
      </c>
      <c r="O1513" s="2">
        <v>0.53194444444444444</v>
      </c>
      <c r="P1513">
        <f>-0.0068291316*3600</f>
        <v>-24.584873760000001</v>
      </c>
      <c r="Q1513">
        <f>-0.0062666241*3600</f>
        <v>-22.559846759999999</v>
      </c>
    </row>
    <row r="1514" spans="1:17" x14ac:dyDescent="0.3">
      <c r="A1514" s="4" t="s">
        <v>47</v>
      </c>
      <c r="B1514" s="5" t="s">
        <v>1108</v>
      </c>
      <c r="C1514">
        <v>98.826751000000002</v>
      </c>
      <c r="D1514">
        <v>105.00112</v>
      </c>
      <c r="E1514">
        <v>1</v>
      </c>
      <c r="F1514">
        <v>1</v>
      </c>
      <c r="G1514">
        <v>0.26100000000000001</v>
      </c>
      <c r="H1514">
        <v>0</v>
      </c>
      <c r="I1514" t="s">
        <v>0</v>
      </c>
      <c r="J1514" t="s">
        <v>59</v>
      </c>
      <c r="K1514">
        <v>0</v>
      </c>
      <c r="L1514" t="s">
        <v>60</v>
      </c>
      <c r="M1514">
        <v>1</v>
      </c>
      <c r="N1514" t="s">
        <v>67</v>
      </c>
      <c r="O1514" s="2">
        <v>0.53194444444444444</v>
      </c>
      <c r="P1514">
        <f>-0.0069345004*3600</f>
        <v>-24.96420144</v>
      </c>
      <c r="Q1514">
        <f>-0.0062480474*3600</f>
        <v>-22.492970639999999</v>
      </c>
    </row>
    <row r="1515" spans="1:17" x14ac:dyDescent="0.3">
      <c r="A1515" s="4" t="s">
        <v>47</v>
      </c>
      <c r="B1515" s="5" t="s">
        <v>1109</v>
      </c>
      <c r="C1515">
        <v>98.826964000000004</v>
      </c>
      <c r="D1515">
        <v>105.001138</v>
      </c>
      <c r="E1515">
        <v>1</v>
      </c>
      <c r="F1515">
        <v>1</v>
      </c>
      <c r="G1515">
        <v>0.26100000000000001</v>
      </c>
      <c r="H1515">
        <v>0</v>
      </c>
      <c r="I1515" t="s">
        <v>0</v>
      </c>
      <c r="J1515" t="s">
        <v>59</v>
      </c>
      <c r="K1515">
        <v>0</v>
      </c>
      <c r="L1515" t="s">
        <v>60</v>
      </c>
      <c r="M1515">
        <v>1</v>
      </c>
      <c r="N1515" t="s">
        <v>67</v>
      </c>
      <c r="O1515" s="2">
        <v>0.53194444444444444</v>
      </c>
      <c r="P1515">
        <f>-0.007044741*3600</f>
        <v>-25.361067600000002</v>
      </c>
      <c r="Q1515">
        <f>-0.0062668536*3600</f>
        <v>-22.560672960000002</v>
      </c>
    </row>
    <row r="1516" spans="1:17" x14ac:dyDescent="0.3">
      <c r="A1516" s="4" t="s">
        <v>47</v>
      </c>
      <c r="B1516" s="5" t="s">
        <v>1110</v>
      </c>
      <c r="C1516">
        <v>98.826786999999996</v>
      </c>
      <c r="D1516">
        <v>105.00105499999999</v>
      </c>
      <c r="E1516">
        <v>1</v>
      </c>
      <c r="F1516">
        <v>1</v>
      </c>
      <c r="G1516">
        <v>0.26100000000000001</v>
      </c>
      <c r="H1516">
        <v>0</v>
      </c>
      <c r="I1516" t="s">
        <v>0</v>
      </c>
      <c r="J1516" t="s">
        <v>59</v>
      </c>
      <c r="K1516">
        <v>0</v>
      </c>
      <c r="L1516" t="s">
        <v>60</v>
      </c>
      <c r="M1516">
        <v>1</v>
      </c>
      <c r="N1516" t="s">
        <v>67</v>
      </c>
      <c r="O1516" s="2">
        <v>0.53194444444444444</v>
      </c>
      <c r="P1516">
        <f>-0.007070796*3600</f>
        <v>-25.454865599999998</v>
      </c>
      <c r="Q1516">
        <f>-0.0063528212*3600</f>
        <v>-22.87015632</v>
      </c>
    </row>
    <row r="1517" spans="1:17" x14ac:dyDescent="0.3">
      <c r="A1517" s="4" t="s">
        <v>47</v>
      </c>
      <c r="B1517" s="5" t="s">
        <v>1111</v>
      </c>
      <c r="C1517">
        <v>98.826823000000005</v>
      </c>
      <c r="D1517">
        <v>105.00103</v>
      </c>
      <c r="E1517">
        <v>1</v>
      </c>
      <c r="F1517">
        <v>1</v>
      </c>
      <c r="G1517">
        <v>0.26100000000000001</v>
      </c>
      <c r="H1517">
        <v>0</v>
      </c>
      <c r="I1517" t="s">
        <v>0</v>
      </c>
      <c r="J1517" t="s">
        <v>59</v>
      </c>
      <c r="K1517">
        <v>0</v>
      </c>
      <c r="L1517" t="s">
        <v>60</v>
      </c>
      <c r="M1517">
        <v>1</v>
      </c>
      <c r="N1517" t="s">
        <v>67</v>
      </c>
      <c r="O1517" s="2">
        <v>0.53194444444444444</v>
      </c>
      <c r="P1517">
        <f>-0.0069128708*3600</f>
        <v>-24.88633488</v>
      </c>
      <c r="Q1517">
        <f>-0.0063613299*3600</f>
        <v>-22.900787639999997</v>
      </c>
    </row>
    <row r="1518" spans="1:17" x14ac:dyDescent="0.3">
      <c r="A1518" s="4" t="s">
        <v>47</v>
      </c>
      <c r="B1518" s="5" t="s">
        <v>1112</v>
      </c>
      <c r="C1518">
        <v>98.826932999999997</v>
      </c>
      <c r="D1518">
        <v>105.001103</v>
      </c>
      <c r="E1518">
        <v>1</v>
      </c>
      <c r="F1518">
        <v>1</v>
      </c>
      <c r="G1518">
        <v>0.26100000000000001</v>
      </c>
      <c r="H1518">
        <v>0</v>
      </c>
      <c r="I1518" t="s">
        <v>0</v>
      </c>
      <c r="J1518" t="s">
        <v>59</v>
      </c>
      <c r="K1518">
        <v>0</v>
      </c>
      <c r="L1518" t="s">
        <v>60</v>
      </c>
      <c r="M1518">
        <v>1</v>
      </c>
      <c r="N1518" t="s">
        <v>67</v>
      </c>
      <c r="O1518" s="2">
        <v>0.53194444444444444</v>
      </c>
      <c r="P1518">
        <f>-0.0069118268*3600</f>
        <v>-24.882576479999997</v>
      </c>
      <c r="Q1518">
        <f>-0.0062755064*3600</f>
        <v>-22.591823040000001</v>
      </c>
    </row>
    <row r="1519" spans="1:17" x14ac:dyDescent="0.3">
      <c r="A1519" s="4" t="s">
        <v>47</v>
      </c>
      <c r="B1519" s="5" t="s">
        <v>1113</v>
      </c>
      <c r="C1519">
        <v>98.826717000000002</v>
      </c>
      <c r="D1519">
        <v>105.001148</v>
      </c>
      <c r="E1519">
        <v>1</v>
      </c>
      <c r="F1519">
        <v>1</v>
      </c>
      <c r="G1519">
        <v>0.26100000000000001</v>
      </c>
      <c r="H1519">
        <v>0</v>
      </c>
      <c r="I1519" t="s">
        <v>0</v>
      </c>
      <c r="J1519" t="s">
        <v>59</v>
      </c>
      <c r="K1519">
        <v>0</v>
      </c>
      <c r="L1519" t="s">
        <v>60</v>
      </c>
      <c r="M1519">
        <v>1</v>
      </c>
      <c r="N1519" t="s">
        <v>67</v>
      </c>
      <c r="O1519" s="2">
        <v>0.53194444444444444</v>
      </c>
      <c r="P1519">
        <f>-0.0069133483*3600</f>
        <v>-24.888053880000001</v>
      </c>
      <c r="Q1519">
        <f>-0.0062533057*3600</f>
        <v>-22.511900519999998</v>
      </c>
    </row>
    <row r="1520" spans="1:17" x14ac:dyDescent="0.3">
      <c r="A1520" s="4" t="s">
        <v>47</v>
      </c>
      <c r="B1520" s="5" t="s">
        <v>1114</v>
      </c>
      <c r="C1520">
        <v>98.826723999999999</v>
      </c>
      <c r="D1520">
        <v>105.00112799999999</v>
      </c>
      <c r="E1520">
        <v>1</v>
      </c>
      <c r="F1520">
        <v>1</v>
      </c>
      <c r="G1520">
        <v>0.26100000000000001</v>
      </c>
      <c r="H1520">
        <v>0</v>
      </c>
      <c r="I1520" t="s">
        <v>0</v>
      </c>
      <c r="J1520" t="s">
        <v>59</v>
      </c>
      <c r="K1520">
        <v>0</v>
      </c>
      <c r="L1520" t="s">
        <v>60</v>
      </c>
      <c r="M1520">
        <v>1</v>
      </c>
      <c r="N1520" t="s">
        <v>67</v>
      </c>
      <c r="O1520" s="2">
        <v>0.53194444444444444</v>
      </c>
      <c r="P1520">
        <f>-0.0069837013*3600</f>
        <v>-25.14132468</v>
      </c>
      <c r="Q1520">
        <f>-0.0062820526*3600</f>
        <v>-22.615389359999998</v>
      </c>
    </row>
    <row r="1521" spans="1:17" x14ac:dyDescent="0.3">
      <c r="A1521" s="4" t="s">
        <v>47</v>
      </c>
      <c r="B1521" s="5" t="s">
        <v>1115</v>
      </c>
      <c r="C1521">
        <v>98.826963000000006</v>
      </c>
      <c r="D1521">
        <v>105.001244</v>
      </c>
      <c r="E1521">
        <v>1</v>
      </c>
      <c r="F1521">
        <v>1</v>
      </c>
      <c r="G1521">
        <v>0.26100000000000001</v>
      </c>
      <c r="H1521">
        <v>0</v>
      </c>
      <c r="I1521" t="s">
        <v>0</v>
      </c>
      <c r="J1521" t="s">
        <v>59</v>
      </c>
      <c r="K1521">
        <v>0</v>
      </c>
      <c r="L1521" t="s">
        <v>60</v>
      </c>
      <c r="M1521">
        <v>1</v>
      </c>
      <c r="N1521" t="s">
        <v>67</v>
      </c>
      <c r="O1521" s="2">
        <v>0.53194444444444444</v>
      </c>
      <c r="P1521">
        <f>-0.0065760975*3600</f>
        <v>-23.673950999999999</v>
      </c>
      <c r="Q1521">
        <f>-0.0061808694*3600</f>
        <v>-22.251129840000001</v>
      </c>
    </row>
    <row r="1522" spans="1:17" x14ac:dyDescent="0.3">
      <c r="A1522" s="4" t="s">
        <v>47</v>
      </c>
      <c r="B1522" s="5" t="s">
        <v>1116</v>
      </c>
      <c r="C1522">
        <v>98.826689000000002</v>
      </c>
      <c r="D1522">
        <v>105.001255</v>
      </c>
      <c r="E1522">
        <v>1</v>
      </c>
      <c r="F1522">
        <v>1</v>
      </c>
      <c r="G1522">
        <v>0.26100000000000001</v>
      </c>
      <c r="H1522">
        <v>0</v>
      </c>
      <c r="I1522" t="s">
        <v>0</v>
      </c>
      <c r="J1522" t="s">
        <v>59</v>
      </c>
      <c r="K1522">
        <v>0</v>
      </c>
      <c r="L1522" t="s">
        <v>60</v>
      </c>
      <c r="M1522">
        <v>1</v>
      </c>
      <c r="N1522" t="s">
        <v>67</v>
      </c>
      <c r="O1522" s="2">
        <v>0.53194444444444444</v>
      </c>
      <c r="P1522">
        <f>-0.0067637839*3600</f>
        <v>-24.34962204</v>
      </c>
      <c r="Q1522">
        <f>-0.0061404664*3600</f>
        <v>-22.105679039999998</v>
      </c>
    </row>
    <row r="1523" spans="1:17" x14ac:dyDescent="0.3">
      <c r="A1523" s="4" t="s">
        <v>47</v>
      </c>
      <c r="B1523" s="5" t="s">
        <v>1117</v>
      </c>
      <c r="C1523">
        <v>98.826513000000006</v>
      </c>
      <c r="D1523">
        <v>105.001244</v>
      </c>
      <c r="E1523">
        <v>1</v>
      </c>
      <c r="F1523">
        <v>1</v>
      </c>
      <c r="G1523">
        <v>0.26100000000000001</v>
      </c>
      <c r="H1523">
        <v>0</v>
      </c>
      <c r="I1523" t="s">
        <v>0</v>
      </c>
      <c r="J1523" t="s">
        <v>59</v>
      </c>
      <c r="K1523">
        <v>0</v>
      </c>
      <c r="L1523" t="s">
        <v>60</v>
      </c>
      <c r="M1523">
        <v>1</v>
      </c>
      <c r="N1523" t="s">
        <v>67</v>
      </c>
      <c r="O1523" s="2">
        <v>0.53194444444444444</v>
      </c>
      <c r="P1523">
        <f>-0.0067339168*3600</f>
        <v>-24.242100479999998</v>
      </c>
      <c r="Q1523">
        <f>-0.0061582468*3600</f>
        <v>-22.169688480000001</v>
      </c>
    </row>
    <row r="1524" spans="1:17" x14ac:dyDescent="0.3">
      <c r="A1524" s="4" t="s">
        <v>47</v>
      </c>
      <c r="B1524" s="5" t="s">
        <v>1118</v>
      </c>
      <c r="C1524">
        <v>98.826980000000006</v>
      </c>
      <c r="D1524">
        <v>105.001279</v>
      </c>
      <c r="E1524">
        <v>1</v>
      </c>
      <c r="F1524">
        <v>1</v>
      </c>
      <c r="G1524">
        <v>0.26100000000000001</v>
      </c>
      <c r="H1524">
        <v>0</v>
      </c>
      <c r="I1524" t="s">
        <v>0</v>
      </c>
      <c r="J1524" t="s">
        <v>59</v>
      </c>
      <c r="K1524">
        <v>0</v>
      </c>
      <c r="L1524" t="s">
        <v>60</v>
      </c>
      <c r="M1524">
        <v>1</v>
      </c>
      <c r="N1524" t="s">
        <v>67</v>
      </c>
      <c r="O1524" s="2">
        <v>0.53194444444444444</v>
      </c>
      <c r="P1524">
        <f>-0.006834924*3600</f>
        <v>-24.605726400000002</v>
      </c>
      <c r="Q1524">
        <f>-0.0061407867*3600</f>
        <v>-22.10683212</v>
      </c>
    </row>
    <row r="1525" spans="1:17" x14ac:dyDescent="0.3">
      <c r="A1525" s="4" t="s">
        <v>47</v>
      </c>
      <c r="B1525" s="5" t="s">
        <v>1119</v>
      </c>
      <c r="C1525">
        <v>98.826903999999999</v>
      </c>
      <c r="D1525">
        <v>105.001254</v>
      </c>
      <c r="E1525">
        <v>1</v>
      </c>
      <c r="F1525">
        <v>1</v>
      </c>
      <c r="G1525">
        <v>0.26100000000000001</v>
      </c>
      <c r="H1525">
        <v>0</v>
      </c>
      <c r="I1525" t="s">
        <v>0</v>
      </c>
      <c r="J1525" t="s">
        <v>59</v>
      </c>
      <c r="K1525">
        <v>0</v>
      </c>
      <c r="L1525" t="s">
        <v>60</v>
      </c>
      <c r="M1525">
        <v>1</v>
      </c>
      <c r="N1525" t="s">
        <v>67</v>
      </c>
      <c r="O1525" s="2">
        <v>0.53194444444444444</v>
      </c>
      <c r="P1525">
        <f>-0.0067959243*3600</f>
        <v>-24.465327479999999</v>
      </c>
      <c r="Q1525">
        <f>-0.0061631625*3600</f>
        <v>-22.187385000000003</v>
      </c>
    </row>
    <row r="1526" spans="1:17" x14ac:dyDescent="0.3">
      <c r="A1526" s="4" t="s">
        <v>47</v>
      </c>
      <c r="B1526" s="5" t="s">
        <v>1120</v>
      </c>
      <c r="C1526">
        <v>98.827152999999996</v>
      </c>
      <c r="D1526">
        <v>105.001323</v>
      </c>
      <c r="E1526">
        <v>1</v>
      </c>
      <c r="F1526">
        <v>1</v>
      </c>
      <c r="G1526">
        <v>0.26100000000000001</v>
      </c>
      <c r="H1526">
        <v>0</v>
      </c>
      <c r="I1526" t="s">
        <v>0</v>
      </c>
      <c r="J1526" t="s">
        <v>59</v>
      </c>
      <c r="K1526">
        <v>0</v>
      </c>
      <c r="L1526" t="s">
        <v>60</v>
      </c>
      <c r="M1526">
        <v>1</v>
      </c>
      <c r="N1526" t="s">
        <v>67</v>
      </c>
      <c r="O1526" s="2">
        <v>0.53194444444444444</v>
      </c>
      <c r="P1526">
        <f>-0.0065468534*3600</f>
        <v>-23.568672240000001</v>
      </c>
      <c r="Q1526">
        <f>-0.0061213367*3600</f>
        <v>-22.036812119999997</v>
      </c>
    </row>
    <row r="1527" spans="1:17" x14ac:dyDescent="0.3">
      <c r="A1527" s="4" t="s">
        <v>47</v>
      </c>
      <c r="B1527" s="5" t="s">
        <v>1121</v>
      </c>
      <c r="C1527">
        <v>98.826749000000007</v>
      </c>
      <c r="D1527">
        <v>105.001627</v>
      </c>
      <c r="E1527">
        <v>1</v>
      </c>
      <c r="F1527">
        <v>1</v>
      </c>
      <c r="G1527">
        <v>0.26100000000000001</v>
      </c>
      <c r="H1527">
        <v>0</v>
      </c>
      <c r="I1527" t="s">
        <v>0</v>
      </c>
      <c r="J1527" t="s">
        <v>59</v>
      </c>
      <c r="K1527">
        <v>0</v>
      </c>
      <c r="L1527" t="s">
        <v>60</v>
      </c>
      <c r="M1527">
        <v>1</v>
      </c>
      <c r="N1527" t="s">
        <v>67</v>
      </c>
      <c r="O1527" s="2">
        <v>0.53194444444444444</v>
      </c>
      <c r="P1527">
        <f>-0.0064108124*3600</f>
        <v>-23.07892464</v>
      </c>
      <c r="Q1527">
        <f>-0.0058002115*3600</f>
        <v>-20.880761400000001</v>
      </c>
    </row>
    <row r="1528" spans="1:17" x14ac:dyDescent="0.3">
      <c r="A1528" s="4" t="s">
        <v>47</v>
      </c>
      <c r="B1528" s="5" t="s">
        <v>1122</v>
      </c>
      <c r="C1528">
        <v>98.826818000000003</v>
      </c>
      <c r="D1528">
        <v>105.00157299999999</v>
      </c>
      <c r="E1528">
        <v>1</v>
      </c>
      <c r="F1528">
        <v>1</v>
      </c>
      <c r="G1528">
        <v>0.26100000000000001</v>
      </c>
      <c r="H1528">
        <v>0</v>
      </c>
      <c r="I1528" t="s">
        <v>0</v>
      </c>
      <c r="J1528" t="s">
        <v>59</v>
      </c>
      <c r="K1528">
        <v>0</v>
      </c>
      <c r="L1528" t="s">
        <v>60</v>
      </c>
      <c r="M1528">
        <v>1</v>
      </c>
      <c r="N1528" t="s">
        <v>67</v>
      </c>
      <c r="O1528" s="2">
        <v>0.53194444444444444</v>
      </c>
      <c r="P1528">
        <f>-0.0064208692*3600</f>
        <v>-23.115129119999999</v>
      </c>
      <c r="Q1528">
        <f>-0.005867949*3600</f>
        <v>-21.124616400000001</v>
      </c>
    </row>
    <row r="1529" spans="1:17" x14ac:dyDescent="0.3">
      <c r="A1529" s="4" t="s">
        <v>47</v>
      </c>
      <c r="B1529" s="5" t="s">
        <v>1123</v>
      </c>
      <c r="C1529">
        <v>98.827132000000006</v>
      </c>
      <c r="D1529">
        <v>105.001498</v>
      </c>
      <c r="E1529">
        <v>1</v>
      </c>
      <c r="F1529">
        <v>1</v>
      </c>
      <c r="G1529">
        <v>0.26100000000000001</v>
      </c>
      <c r="H1529">
        <v>0</v>
      </c>
      <c r="I1529" t="s">
        <v>0</v>
      </c>
      <c r="J1529" t="s">
        <v>59</v>
      </c>
      <c r="K1529">
        <v>0</v>
      </c>
      <c r="L1529" t="s">
        <v>60</v>
      </c>
      <c r="M1529">
        <v>1</v>
      </c>
      <c r="N1529" t="s">
        <v>67</v>
      </c>
      <c r="O1529" s="2">
        <v>0.53194444444444444</v>
      </c>
      <c r="P1529">
        <f>-0.0063992279*3600</f>
        <v>-23.037220440000002</v>
      </c>
      <c r="Q1529">
        <f>-0.0059200542*3600</f>
        <v>-21.312195120000002</v>
      </c>
    </row>
    <row r="1530" spans="1:17" x14ac:dyDescent="0.3">
      <c r="A1530" s="4" t="s">
        <v>47</v>
      </c>
      <c r="B1530" s="5" t="s">
        <v>1124</v>
      </c>
      <c r="C1530">
        <v>98.826684999999998</v>
      </c>
      <c r="D1530">
        <v>105.001524</v>
      </c>
      <c r="E1530">
        <v>1</v>
      </c>
      <c r="F1530">
        <v>1</v>
      </c>
      <c r="G1530">
        <v>0.26100000000000001</v>
      </c>
      <c r="H1530">
        <v>0</v>
      </c>
      <c r="I1530" t="s">
        <v>0</v>
      </c>
      <c r="J1530" t="s">
        <v>59</v>
      </c>
      <c r="K1530">
        <v>0</v>
      </c>
      <c r="L1530" t="s">
        <v>60</v>
      </c>
      <c r="M1530">
        <v>1</v>
      </c>
      <c r="N1530" t="s">
        <v>67</v>
      </c>
      <c r="O1530" s="2">
        <v>0.53194444444444444</v>
      </c>
      <c r="P1530">
        <f>-0.006464814*3600</f>
        <v>-23.273330399999999</v>
      </c>
      <c r="Q1530">
        <f>-0.0058942547*3600</f>
        <v>-21.219316919999997</v>
      </c>
    </row>
    <row r="1531" spans="1:17" x14ac:dyDescent="0.3">
      <c r="A1531" s="4" t="s">
        <v>47</v>
      </c>
      <c r="B1531" s="5" t="s">
        <v>1125</v>
      </c>
      <c r="C1531">
        <v>98.826689000000002</v>
      </c>
      <c r="D1531">
        <v>105.001487</v>
      </c>
      <c r="E1531">
        <v>1</v>
      </c>
      <c r="F1531">
        <v>1</v>
      </c>
      <c r="G1531">
        <v>0.26100000000000001</v>
      </c>
      <c r="H1531">
        <v>0</v>
      </c>
      <c r="I1531" t="s">
        <v>0</v>
      </c>
      <c r="J1531" t="s">
        <v>59</v>
      </c>
      <c r="K1531">
        <v>0</v>
      </c>
      <c r="L1531" t="s">
        <v>60</v>
      </c>
      <c r="M1531">
        <v>1</v>
      </c>
      <c r="N1531" t="s">
        <v>67</v>
      </c>
      <c r="O1531" s="2">
        <v>0.53194444444444444</v>
      </c>
      <c r="P1531">
        <f>-0.0064969901*3600</f>
        <v>-23.389164359999999</v>
      </c>
      <c r="Q1531">
        <f>-0.005956802*3600</f>
        <v>-21.444487199999998</v>
      </c>
    </row>
    <row r="1532" spans="1:17" x14ac:dyDescent="0.3">
      <c r="A1532" s="4" t="s">
        <v>47</v>
      </c>
      <c r="B1532" s="5" t="s">
        <v>1126</v>
      </c>
      <c r="C1532">
        <v>98.827034999999995</v>
      </c>
      <c r="D1532">
        <v>105.001515</v>
      </c>
      <c r="E1532">
        <v>1</v>
      </c>
      <c r="F1532">
        <v>1</v>
      </c>
      <c r="G1532">
        <v>0.26100000000000001</v>
      </c>
      <c r="H1532">
        <v>0</v>
      </c>
      <c r="I1532" t="s">
        <v>0</v>
      </c>
      <c r="J1532" t="s">
        <v>59</v>
      </c>
      <c r="K1532">
        <v>0</v>
      </c>
      <c r="L1532" t="s">
        <v>60</v>
      </c>
      <c r="M1532">
        <v>1</v>
      </c>
      <c r="N1532" t="s">
        <v>67</v>
      </c>
      <c r="O1532" s="2">
        <v>0.53194444444444444</v>
      </c>
      <c r="P1532">
        <f>-0.0064922258*3600</f>
        <v>-23.37201288</v>
      </c>
      <c r="Q1532">
        <f>-0.0059172695*3600</f>
        <v>-21.302170199999999</v>
      </c>
    </row>
    <row r="1533" spans="1:17" x14ac:dyDescent="0.3">
      <c r="A1533" s="4" t="s">
        <v>47</v>
      </c>
      <c r="B1533" s="7" t="s">
        <v>1127</v>
      </c>
      <c r="C1533">
        <v>298.82732099999998</v>
      </c>
      <c r="D1533">
        <v>295.04910000000001</v>
      </c>
      <c r="E1533">
        <v>19.663599999999999</v>
      </c>
      <c r="F1533">
        <v>19.6007</v>
      </c>
      <c r="G1533">
        <v>0.26100000000000001</v>
      </c>
      <c r="H1533">
        <v>0</v>
      </c>
      <c r="I1533" t="s">
        <v>0</v>
      </c>
      <c r="J1533" t="s">
        <v>59</v>
      </c>
      <c r="K1533">
        <v>3.4000000000000002E-2</v>
      </c>
      <c r="L1533" t="s">
        <v>60</v>
      </c>
      <c r="M1533">
        <v>1</v>
      </c>
      <c r="N1533" t="s">
        <v>53</v>
      </c>
      <c r="O1533" s="2">
        <v>0.53680555555555554</v>
      </c>
      <c r="P1533">
        <f>0.0062229089*3600</f>
        <v>22.402472039999999</v>
      </c>
      <c r="Q1533">
        <f>0.0050497532*3600</f>
        <v>18.179111519999999</v>
      </c>
    </row>
    <row r="1534" spans="1:17" x14ac:dyDescent="0.3">
      <c r="A1534" s="4" t="s">
        <v>47</v>
      </c>
      <c r="B1534" s="7" t="s">
        <v>1128</v>
      </c>
      <c r="C1534">
        <v>298.82732399999998</v>
      </c>
      <c r="D1534">
        <v>295.00596200000001</v>
      </c>
      <c r="E1534">
        <v>1</v>
      </c>
      <c r="F1534">
        <v>1</v>
      </c>
      <c r="G1534">
        <v>0.26100000000000001</v>
      </c>
      <c r="H1534">
        <v>0</v>
      </c>
      <c r="I1534" t="s">
        <v>0</v>
      </c>
      <c r="J1534" t="s">
        <v>59</v>
      </c>
      <c r="K1534">
        <v>0</v>
      </c>
      <c r="L1534" t="s">
        <v>60</v>
      </c>
      <c r="M1534">
        <v>1</v>
      </c>
      <c r="N1534" t="s">
        <v>67</v>
      </c>
      <c r="O1534" s="2">
        <v>0.53680555555555554</v>
      </c>
      <c r="P1534">
        <f>0.0060816852*3600</f>
        <v>21.894066720000001</v>
      </c>
      <c r="Q1534">
        <f>0.004922698*3600</f>
        <v>17.721712799999999</v>
      </c>
    </row>
    <row r="1535" spans="1:17" x14ac:dyDescent="0.3">
      <c r="A1535" s="4" t="s">
        <v>47</v>
      </c>
      <c r="B1535" s="7" t="s">
        <v>1129</v>
      </c>
      <c r="C1535">
        <v>298.82670100000001</v>
      </c>
      <c r="D1535">
        <v>295.005788</v>
      </c>
      <c r="E1535">
        <v>1</v>
      </c>
      <c r="F1535">
        <v>1</v>
      </c>
      <c r="G1535">
        <v>0.26100000000000001</v>
      </c>
      <c r="H1535">
        <v>0</v>
      </c>
      <c r="I1535" t="s">
        <v>0</v>
      </c>
      <c r="J1535" t="s">
        <v>59</v>
      </c>
      <c r="K1535">
        <v>0</v>
      </c>
      <c r="L1535" t="s">
        <v>60</v>
      </c>
      <c r="M1535">
        <v>1</v>
      </c>
      <c r="N1535" t="s">
        <v>67</v>
      </c>
      <c r="O1535" s="2">
        <v>0.53680555555555554</v>
      </c>
      <c r="P1535">
        <f>0.0060900658*3600</f>
        <v>21.924236879999999</v>
      </c>
      <c r="Q1535">
        <f>0.0048728125*3600</f>
        <v>17.542125000000002</v>
      </c>
    </row>
    <row r="1536" spans="1:17" x14ac:dyDescent="0.3">
      <c r="A1536" s="4" t="s">
        <v>47</v>
      </c>
      <c r="B1536" s="7" t="s">
        <v>1130</v>
      </c>
      <c r="C1536">
        <v>298.82638600000001</v>
      </c>
      <c r="D1536">
        <v>295.00603899999999</v>
      </c>
      <c r="E1536">
        <v>1</v>
      </c>
      <c r="F1536">
        <v>1</v>
      </c>
      <c r="G1536">
        <v>0.26100000000000001</v>
      </c>
      <c r="H1536">
        <v>0</v>
      </c>
      <c r="I1536" t="s">
        <v>0</v>
      </c>
      <c r="J1536" t="s">
        <v>59</v>
      </c>
      <c r="K1536">
        <v>0</v>
      </c>
      <c r="L1536" t="s">
        <v>60</v>
      </c>
      <c r="M1536">
        <v>1</v>
      </c>
      <c r="N1536" t="s">
        <v>67</v>
      </c>
      <c r="O1536" s="2">
        <v>0.53680555555555554</v>
      </c>
      <c r="P1536">
        <f>0.0063329413*3600</f>
        <v>22.798588679999998</v>
      </c>
      <c r="Q1536">
        <f>0.0050959821*3600</f>
        <v>18.345535560000002</v>
      </c>
    </row>
    <row r="1537" spans="1:17" x14ac:dyDescent="0.3">
      <c r="A1537" s="4" t="s">
        <v>47</v>
      </c>
      <c r="B1537" s="7" t="s">
        <v>1131</v>
      </c>
      <c r="C1537">
        <v>298.82597500000003</v>
      </c>
      <c r="D1537">
        <v>295.006057</v>
      </c>
      <c r="E1537">
        <v>1</v>
      </c>
      <c r="F1537">
        <v>1</v>
      </c>
      <c r="G1537">
        <v>0.26100000000000001</v>
      </c>
      <c r="H1537">
        <v>0</v>
      </c>
      <c r="I1537" t="s">
        <v>0</v>
      </c>
      <c r="J1537" t="s">
        <v>59</v>
      </c>
      <c r="K1537">
        <v>0</v>
      </c>
      <c r="L1537" t="s">
        <v>60</v>
      </c>
      <c r="M1537">
        <v>1</v>
      </c>
      <c r="N1537" t="s">
        <v>67</v>
      </c>
      <c r="O1537" s="2">
        <v>0.53680555555555554</v>
      </c>
      <c r="P1537">
        <f>0.0064114826*3600</f>
        <v>23.081337359999999</v>
      </c>
      <c r="Q1537">
        <f>0.0051134465*3600</f>
        <v>18.408407400000002</v>
      </c>
    </row>
    <row r="1538" spans="1:17" x14ac:dyDescent="0.3">
      <c r="A1538" s="4" t="s">
        <v>47</v>
      </c>
      <c r="B1538" s="7" t="s">
        <v>1132</v>
      </c>
      <c r="C1538">
        <v>298.82625999999999</v>
      </c>
      <c r="D1538">
        <v>295.00607400000001</v>
      </c>
      <c r="E1538">
        <v>1</v>
      </c>
      <c r="F1538">
        <v>1</v>
      </c>
      <c r="G1538">
        <v>0.26100000000000001</v>
      </c>
      <c r="H1538">
        <v>0</v>
      </c>
      <c r="I1538" t="s">
        <v>0</v>
      </c>
      <c r="J1538" t="s">
        <v>59</v>
      </c>
      <c r="K1538">
        <v>0</v>
      </c>
      <c r="L1538" t="s">
        <v>60</v>
      </c>
      <c r="M1538">
        <v>1</v>
      </c>
      <c r="N1538" t="s">
        <v>67</v>
      </c>
      <c r="O1538" s="2">
        <v>0.53680555555555554</v>
      </c>
      <c r="P1538">
        <f>0.0062442429*3600</f>
        <v>22.479274440000001</v>
      </c>
      <c r="Q1538">
        <f>0.0051382854*3600</f>
        <v>18.497827440000002</v>
      </c>
    </row>
    <row r="1539" spans="1:17" x14ac:dyDescent="0.3">
      <c r="A1539" s="4" t="s">
        <v>47</v>
      </c>
      <c r="B1539" s="7" t="s">
        <v>1133</v>
      </c>
      <c r="C1539">
        <v>298.82589899999999</v>
      </c>
      <c r="D1539">
        <v>295.00588599999998</v>
      </c>
      <c r="E1539">
        <v>1</v>
      </c>
      <c r="F1539">
        <v>1</v>
      </c>
      <c r="G1539">
        <v>0.26100000000000001</v>
      </c>
      <c r="H1539">
        <v>0</v>
      </c>
      <c r="I1539" t="s">
        <v>0</v>
      </c>
      <c r="J1539" t="s">
        <v>59</v>
      </c>
      <c r="K1539">
        <v>0</v>
      </c>
      <c r="L1539" t="s">
        <v>60</v>
      </c>
      <c r="M1539">
        <v>1</v>
      </c>
      <c r="N1539" t="s">
        <v>67</v>
      </c>
      <c r="O1539" s="2">
        <v>0.53680555555555554</v>
      </c>
      <c r="P1539">
        <f>0.0063662045*3600</f>
        <v>22.918336199999999</v>
      </c>
      <c r="Q1539">
        <f>0.0049630401*3600</f>
        <v>17.866944359999998</v>
      </c>
    </row>
    <row r="1540" spans="1:17" x14ac:dyDescent="0.3">
      <c r="A1540" s="4" t="s">
        <v>47</v>
      </c>
      <c r="B1540" s="7" t="s">
        <v>1134</v>
      </c>
      <c r="C1540">
        <v>298.82701500000002</v>
      </c>
      <c r="D1540">
        <v>295.00588900000002</v>
      </c>
      <c r="E1540">
        <v>1</v>
      </c>
      <c r="F1540">
        <v>1</v>
      </c>
      <c r="G1540">
        <v>0.26100000000000001</v>
      </c>
      <c r="H1540">
        <v>0</v>
      </c>
      <c r="I1540" t="s">
        <v>0</v>
      </c>
      <c r="J1540" t="s">
        <v>59</v>
      </c>
      <c r="K1540">
        <v>0</v>
      </c>
      <c r="L1540" t="s">
        <v>60</v>
      </c>
      <c r="M1540">
        <v>1</v>
      </c>
      <c r="N1540" t="s">
        <v>67</v>
      </c>
      <c r="O1540" s="2">
        <v>0.53680555555555554</v>
      </c>
      <c r="P1540">
        <f>0.0062009676*3600</f>
        <v>22.323483360000001</v>
      </c>
      <c r="Q1540">
        <f>0.004956102*3600</f>
        <v>17.841967200000003</v>
      </c>
    </row>
    <row r="1541" spans="1:17" x14ac:dyDescent="0.3">
      <c r="A1541" s="4" t="s">
        <v>47</v>
      </c>
      <c r="B1541" s="7" t="s">
        <v>1135</v>
      </c>
      <c r="C1541">
        <v>298.82656700000001</v>
      </c>
      <c r="D1541">
        <v>295.005742</v>
      </c>
      <c r="E1541">
        <v>1</v>
      </c>
      <c r="F1541">
        <v>1</v>
      </c>
      <c r="G1541">
        <v>0.26100000000000001</v>
      </c>
      <c r="H1541">
        <v>0</v>
      </c>
      <c r="I1541" t="s">
        <v>0</v>
      </c>
      <c r="J1541" t="s">
        <v>59</v>
      </c>
      <c r="K1541">
        <v>0</v>
      </c>
      <c r="L1541" t="s">
        <v>60</v>
      </c>
      <c r="M1541">
        <v>1</v>
      </c>
      <c r="N1541" t="s">
        <v>67</v>
      </c>
      <c r="O1541" s="2">
        <v>0.53680555555555554</v>
      </c>
      <c r="P1541">
        <f>0.0062965075*3600</f>
        <v>22.667427</v>
      </c>
      <c r="Q1541">
        <f>0.004825037*3600</f>
        <v>17.370133199999998</v>
      </c>
    </row>
    <row r="1542" spans="1:17" x14ac:dyDescent="0.3">
      <c r="A1542" s="4" t="s">
        <v>47</v>
      </c>
      <c r="B1542" s="7" t="s">
        <v>1136</v>
      </c>
      <c r="C1542">
        <v>298.82661899999999</v>
      </c>
      <c r="D1542">
        <v>295.00581499999998</v>
      </c>
      <c r="E1542">
        <v>1</v>
      </c>
      <c r="F1542">
        <v>1</v>
      </c>
      <c r="G1542">
        <v>0.26100000000000001</v>
      </c>
      <c r="H1542">
        <v>0</v>
      </c>
      <c r="I1542" t="s">
        <v>0</v>
      </c>
      <c r="J1542" t="s">
        <v>59</v>
      </c>
      <c r="K1542">
        <v>0</v>
      </c>
      <c r="L1542" t="s">
        <v>60</v>
      </c>
      <c r="M1542">
        <v>1</v>
      </c>
      <c r="N1542" t="s">
        <v>67</v>
      </c>
      <c r="O1542" s="2">
        <v>0.53680555555555554</v>
      </c>
      <c r="P1542">
        <f>0.0063854547*3600</f>
        <v>22.98763692</v>
      </c>
      <c r="Q1542">
        <f>0.0049214783*3600</f>
        <v>17.71732188</v>
      </c>
    </row>
    <row r="1543" spans="1:17" x14ac:dyDescent="0.3">
      <c r="A1543" s="4" t="s">
        <v>47</v>
      </c>
      <c r="B1543" s="7" t="s">
        <v>1137</v>
      </c>
      <c r="C1543">
        <v>298.82661100000001</v>
      </c>
      <c r="D1543">
        <v>295.00558699999999</v>
      </c>
      <c r="E1543">
        <v>1</v>
      </c>
      <c r="F1543">
        <v>1</v>
      </c>
      <c r="G1543">
        <v>0.26100000000000001</v>
      </c>
      <c r="H1543">
        <v>0</v>
      </c>
      <c r="I1543" t="s">
        <v>0</v>
      </c>
      <c r="J1543" t="s">
        <v>59</v>
      </c>
      <c r="K1543">
        <v>0</v>
      </c>
      <c r="L1543" t="s">
        <v>60</v>
      </c>
      <c r="M1543">
        <v>1</v>
      </c>
      <c r="N1543" t="s">
        <v>67</v>
      </c>
      <c r="O1543" s="2">
        <v>0.53680555555555554</v>
      </c>
      <c r="P1543">
        <f>0.0062387152*3600</f>
        <v>22.45937472</v>
      </c>
      <c r="Q1543">
        <f>0.0046925017*3600</f>
        <v>16.893006119999999</v>
      </c>
    </row>
    <row r="1544" spans="1:17" x14ac:dyDescent="0.3">
      <c r="A1544" s="4" t="s">
        <v>47</v>
      </c>
      <c r="B1544" s="7" t="s">
        <v>1138</v>
      </c>
      <c r="C1544">
        <v>298.82648</v>
      </c>
      <c r="D1544">
        <v>295.005674</v>
      </c>
      <c r="E1544">
        <v>1</v>
      </c>
      <c r="F1544">
        <v>1</v>
      </c>
      <c r="G1544">
        <v>0.26100000000000001</v>
      </c>
      <c r="H1544">
        <v>0</v>
      </c>
      <c r="I1544" t="s">
        <v>0</v>
      </c>
      <c r="J1544" t="s">
        <v>59</v>
      </c>
      <c r="K1544">
        <v>0</v>
      </c>
      <c r="L1544" t="s">
        <v>60</v>
      </c>
      <c r="M1544">
        <v>1</v>
      </c>
      <c r="N1544" t="s">
        <v>67</v>
      </c>
      <c r="O1544" s="2">
        <v>0.53680555555555554</v>
      </c>
      <c r="P1544">
        <f>0.0062462979*3600</f>
        <v>22.48667244</v>
      </c>
      <c r="Q1544">
        <f>0.0047798147*3600</f>
        <v>17.207332919999999</v>
      </c>
    </row>
    <row r="1545" spans="1:17" x14ac:dyDescent="0.3">
      <c r="A1545" s="4" t="s">
        <v>47</v>
      </c>
      <c r="B1545" s="7" t="s">
        <v>1139</v>
      </c>
      <c r="C1545">
        <v>298.82642900000002</v>
      </c>
      <c r="D1545">
        <v>295.00588399999998</v>
      </c>
      <c r="E1545">
        <v>1</v>
      </c>
      <c r="F1545">
        <v>1</v>
      </c>
      <c r="G1545">
        <v>0.26100000000000001</v>
      </c>
      <c r="H1545">
        <v>0</v>
      </c>
      <c r="I1545" t="s">
        <v>0</v>
      </c>
      <c r="J1545" t="s">
        <v>59</v>
      </c>
      <c r="K1545">
        <v>0</v>
      </c>
      <c r="L1545" t="s">
        <v>60</v>
      </c>
      <c r="M1545">
        <v>1</v>
      </c>
      <c r="N1545" t="s">
        <v>67</v>
      </c>
      <c r="O1545" s="2">
        <v>0.53680555555555554</v>
      </c>
      <c r="P1545">
        <f>0.0061478109*3600</f>
        <v>22.132119240000002</v>
      </c>
      <c r="Q1545">
        <f>0.0049881233*3600</f>
        <v>17.95724388</v>
      </c>
    </row>
    <row r="1546" spans="1:17" x14ac:dyDescent="0.3">
      <c r="A1546" s="4" t="s">
        <v>47</v>
      </c>
      <c r="B1546" s="7" t="s">
        <v>1140</v>
      </c>
      <c r="C1546">
        <v>298.82635900000002</v>
      </c>
      <c r="D1546">
        <v>295.00575099999998</v>
      </c>
      <c r="E1546">
        <v>1</v>
      </c>
      <c r="F1546">
        <v>1</v>
      </c>
      <c r="G1546">
        <v>0.26100000000000001</v>
      </c>
      <c r="H1546">
        <v>0</v>
      </c>
      <c r="I1546" t="s">
        <v>0</v>
      </c>
      <c r="J1546" t="s">
        <v>59</v>
      </c>
      <c r="K1546">
        <v>0</v>
      </c>
      <c r="L1546" t="s">
        <v>60</v>
      </c>
      <c r="M1546">
        <v>1</v>
      </c>
      <c r="N1546" t="s">
        <v>67</v>
      </c>
      <c r="O1546" s="2">
        <v>0.53680555555555554</v>
      </c>
      <c r="P1546">
        <f>0.0063584244*3600</f>
        <v>22.890327839999998</v>
      </c>
      <c r="Q1546">
        <f>0.0048839114*3600</f>
        <v>17.582081039999998</v>
      </c>
    </row>
    <row r="1547" spans="1:17" x14ac:dyDescent="0.3">
      <c r="A1547" s="4" t="s">
        <v>47</v>
      </c>
      <c r="B1547" s="7" t="s">
        <v>1141</v>
      </c>
      <c r="C1547">
        <v>298.82587999999998</v>
      </c>
      <c r="D1547">
        <v>295.00564200000002</v>
      </c>
      <c r="E1547">
        <v>1</v>
      </c>
      <c r="F1547">
        <v>1</v>
      </c>
      <c r="G1547">
        <v>0.26100000000000001</v>
      </c>
      <c r="H1547">
        <v>0</v>
      </c>
      <c r="I1547" t="s">
        <v>0</v>
      </c>
      <c r="J1547" t="s">
        <v>59</v>
      </c>
      <c r="K1547">
        <v>0</v>
      </c>
      <c r="L1547" t="s">
        <v>60</v>
      </c>
      <c r="M1547">
        <v>1</v>
      </c>
      <c r="N1547" t="s">
        <v>67</v>
      </c>
      <c r="O1547" s="2">
        <v>0.53680555555555554</v>
      </c>
      <c r="P1547">
        <f>0.0062855817*3600</f>
        <v>22.62809412</v>
      </c>
      <c r="Q1547">
        <f>0.0047483029*3600</f>
        <v>17.093890439999999</v>
      </c>
    </row>
    <row r="1548" spans="1:17" x14ac:dyDescent="0.3">
      <c r="A1548" s="4" t="s">
        <v>47</v>
      </c>
      <c r="B1548" s="7" t="s">
        <v>1142</v>
      </c>
      <c r="C1548">
        <v>298.826863</v>
      </c>
      <c r="D1548">
        <v>295.00578000000002</v>
      </c>
      <c r="E1548">
        <v>1</v>
      </c>
      <c r="F1548">
        <v>1</v>
      </c>
      <c r="G1548">
        <v>0.26100000000000001</v>
      </c>
      <c r="H1548">
        <v>0</v>
      </c>
      <c r="I1548" t="s">
        <v>0</v>
      </c>
      <c r="J1548" t="s">
        <v>59</v>
      </c>
      <c r="K1548">
        <v>0</v>
      </c>
      <c r="L1548" t="s">
        <v>60</v>
      </c>
      <c r="M1548">
        <v>1</v>
      </c>
      <c r="N1548" t="s">
        <v>67</v>
      </c>
      <c r="O1548" s="2">
        <v>0.53680555555555554</v>
      </c>
      <c r="P1548">
        <f>0.0061985299*3600</f>
        <v>22.314707640000002</v>
      </c>
      <c r="Q1548">
        <f>0.0048621106*3600</f>
        <v>17.503598160000003</v>
      </c>
    </row>
    <row r="1549" spans="1:17" x14ac:dyDescent="0.3">
      <c r="A1549" s="4" t="s">
        <v>47</v>
      </c>
      <c r="B1549" s="7" t="s">
        <v>1143</v>
      </c>
      <c r="C1549">
        <v>298.82673699999998</v>
      </c>
      <c r="D1549">
        <v>295.005743</v>
      </c>
      <c r="E1549">
        <v>1</v>
      </c>
      <c r="F1549">
        <v>1</v>
      </c>
      <c r="G1549">
        <v>0.26100000000000001</v>
      </c>
      <c r="H1549">
        <v>0</v>
      </c>
      <c r="I1549" t="s">
        <v>0</v>
      </c>
      <c r="J1549" t="s">
        <v>59</v>
      </c>
      <c r="K1549">
        <v>0</v>
      </c>
      <c r="L1549" t="s">
        <v>60</v>
      </c>
      <c r="M1549">
        <v>1</v>
      </c>
      <c r="N1549" t="s">
        <v>67</v>
      </c>
      <c r="O1549" s="2">
        <v>0.53680555555555554</v>
      </c>
      <c r="P1549">
        <f>0.0062935308*3600</f>
        <v>22.656710879999999</v>
      </c>
      <c r="Q1549">
        <f>0.0048495618*3600</f>
        <v>17.458422479999999</v>
      </c>
    </row>
    <row r="1550" spans="1:17" x14ac:dyDescent="0.3">
      <c r="A1550" s="4" t="s">
        <v>47</v>
      </c>
      <c r="B1550" s="7" t="s">
        <v>1144</v>
      </c>
      <c r="C1550">
        <v>298.82707199999999</v>
      </c>
      <c r="D1550">
        <v>295.005763</v>
      </c>
      <c r="E1550">
        <v>1</v>
      </c>
      <c r="F1550">
        <v>1</v>
      </c>
      <c r="G1550">
        <v>0.26100000000000001</v>
      </c>
      <c r="H1550">
        <v>0</v>
      </c>
      <c r="I1550" t="s">
        <v>0</v>
      </c>
      <c r="J1550" t="s">
        <v>59</v>
      </c>
      <c r="K1550">
        <v>0</v>
      </c>
      <c r="L1550" t="s">
        <v>60</v>
      </c>
      <c r="M1550">
        <v>1</v>
      </c>
      <c r="N1550" t="s">
        <v>67</v>
      </c>
      <c r="O1550" s="2">
        <v>0.53680555555555554</v>
      </c>
      <c r="P1550">
        <f>0.0063410623*3600</f>
        <v>22.827824280000002</v>
      </c>
      <c r="Q1550">
        <f>0.0048426674*3600</f>
        <v>17.43360264</v>
      </c>
    </row>
    <row r="1551" spans="1:17" x14ac:dyDescent="0.3">
      <c r="A1551" s="4" t="s">
        <v>47</v>
      </c>
      <c r="B1551" s="7" t="s">
        <v>1145</v>
      </c>
      <c r="C1551">
        <v>298.82717700000001</v>
      </c>
      <c r="D1551">
        <v>295.00579099999999</v>
      </c>
      <c r="E1551">
        <v>1</v>
      </c>
      <c r="F1551">
        <v>1</v>
      </c>
      <c r="G1551">
        <v>0.26100000000000001</v>
      </c>
      <c r="H1551">
        <v>0</v>
      </c>
      <c r="I1551" t="s">
        <v>0</v>
      </c>
      <c r="J1551" t="s">
        <v>59</v>
      </c>
      <c r="K1551">
        <v>0</v>
      </c>
      <c r="L1551" t="s">
        <v>60</v>
      </c>
      <c r="M1551">
        <v>1</v>
      </c>
      <c r="N1551" t="s">
        <v>67</v>
      </c>
      <c r="O1551" s="2">
        <v>0.53749999999999998</v>
      </c>
      <c r="P1551">
        <f>0.0062888604*3600</f>
        <v>22.639897440000002</v>
      </c>
      <c r="Q1551">
        <f>0.0048892785*3600</f>
        <v>17.6014026</v>
      </c>
    </row>
    <row r="1552" spans="1:17" x14ac:dyDescent="0.3">
      <c r="A1552" s="4" t="s">
        <v>47</v>
      </c>
      <c r="B1552" s="7" t="s">
        <v>1146</v>
      </c>
      <c r="C1552">
        <v>298.82672500000001</v>
      </c>
      <c r="D1552">
        <v>295.00594100000001</v>
      </c>
      <c r="E1552">
        <v>1</v>
      </c>
      <c r="F1552">
        <v>1</v>
      </c>
      <c r="G1552">
        <v>0.26100000000000001</v>
      </c>
      <c r="H1552">
        <v>0</v>
      </c>
      <c r="I1552" t="s">
        <v>0</v>
      </c>
      <c r="J1552" t="s">
        <v>59</v>
      </c>
      <c r="K1552">
        <v>0</v>
      </c>
      <c r="L1552" t="s">
        <v>60</v>
      </c>
      <c r="M1552">
        <v>1</v>
      </c>
      <c r="N1552" t="s">
        <v>67</v>
      </c>
      <c r="O1552" s="2">
        <v>0.53749999999999998</v>
      </c>
      <c r="P1552">
        <f>0.0062094504*3600</f>
        <v>22.35402144</v>
      </c>
      <c r="Q1552">
        <f>0.0050284058*3600</f>
        <v>18.102260879999999</v>
      </c>
    </row>
    <row r="1553" spans="1:17" x14ac:dyDescent="0.3">
      <c r="A1553" s="4" t="s">
        <v>47</v>
      </c>
      <c r="B1553" s="7" t="s">
        <v>1147</v>
      </c>
      <c r="C1553">
        <v>298.82687499999997</v>
      </c>
      <c r="D1553">
        <v>295.00570099999999</v>
      </c>
      <c r="E1553">
        <v>1</v>
      </c>
      <c r="F1553">
        <v>1</v>
      </c>
      <c r="G1553">
        <v>0.26100000000000001</v>
      </c>
      <c r="H1553">
        <v>0</v>
      </c>
      <c r="I1553" t="s">
        <v>0</v>
      </c>
      <c r="J1553" t="s">
        <v>59</v>
      </c>
      <c r="K1553">
        <v>0</v>
      </c>
      <c r="L1553" t="s">
        <v>60</v>
      </c>
      <c r="M1553">
        <v>1</v>
      </c>
      <c r="N1553" t="s">
        <v>67</v>
      </c>
      <c r="O1553" s="2">
        <v>0.53749999999999998</v>
      </c>
      <c r="P1553">
        <f>0.0062666195*3600</f>
        <v>22.5598302</v>
      </c>
      <c r="Q1553">
        <f>0.0048664098*3600</f>
        <v>17.519075279999999</v>
      </c>
    </row>
    <row r="1554" spans="1:17" x14ac:dyDescent="0.3">
      <c r="A1554" s="4" t="s">
        <v>47</v>
      </c>
      <c r="B1554" s="7" t="s">
        <v>1148</v>
      </c>
      <c r="C1554">
        <v>298.82670000000002</v>
      </c>
      <c r="D1554">
        <v>295.00577700000002</v>
      </c>
      <c r="E1554">
        <v>1</v>
      </c>
      <c r="F1554">
        <v>1</v>
      </c>
      <c r="G1554">
        <v>0.26100000000000001</v>
      </c>
      <c r="H1554">
        <v>0</v>
      </c>
      <c r="I1554" t="s">
        <v>0</v>
      </c>
      <c r="J1554" t="s">
        <v>59</v>
      </c>
      <c r="K1554">
        <v>0</v>
      </c>
      <c r="L1554" t="s">
        <v>60</v>
      </c>
      <c r="M1554">
        <v>1</v>
      </c>
      <c r="N1554" t="s">
        <v>67</v>
      </c>
      <c r="O1554" s="2">
        <v>0.53749999999999998</v>
      </c>
      <c r="P1554">
        <f>0.0063155312*3600</f>
        <v>22.735912320000001</v>
      </c>
      <c r="Q1554">
        <f>0.0049130873*3600</f>
        <v>17.687114279999999</v>
      </c>
    </row>
    <row r="1555" spans="1:17" x14ac:dyDescent="0.3">
      <c r="A1555" s="4" t="s">
        <v>47</v>
      </c>
      <c r="B1555" s="7" t="s">
        <v>1149</v>
      </c>
      <c r="C1555">
        <v>298.82633399999997</v>
      </c>
      <c r="D1555">
        <v>295.005878</v>
      </c>
      <c r="E1555">
        <v>1</v>
      </c>
      <c r="F1555">
        <v>1</v>
      </c>
      <c r="G1555">
        <v>0.26100000000000001</v>
      </c>
      <c r="H1555">
        <v>0</v>
      </c>
      <c r="I1555" t="s">
        <v>0</v>
      </c>
      <c r="J1555" t="s">
        <v>59</v>
      </c>
      <c r="K1555">
        <v>0</v>
      </c>
      <c r="L1555" t="s">
        <v>60</v>
      </c>
      <c r="M1555">
        <v>1</v>
      </c>
      <c r="N1555" t="s">
        <v>67</v>
      </c>
      <c r="O1555" s="2">
        <v>0.53749999999999998</v>
      </c>
      <c r="P1555">
        <f>0.0062237902*3600</f>
        <v>22.405644720000002</v>
      </c>
      <c r="Q1555">
        <f>0.0049882433*3600</f>
        <v>17.95767588</v>
      </c>
    </row>
    <row r="1556" spans="1:17" x14ac:dyDescent="0.3">
      <c r="A1556" s="4" t="s">
        <v>47</v>
      </c>
      <c r="B1556" s="7" t="s">
        <v>1150</v>
      </c>
      <c r="C1556">
        <v>298.82581699999997</v>
      </c>
      <c r="D1556">
        <v>295.00591200000002</v>
      </c>
      <c r="E1556">
        <v>1</v>
      </c>
      <c r="F1556">
        <v>1</v>
      </c>
      <c r="G1556">
        <v>0.26100000000000001</v>
      </c>
      <c r="H1556">
        <v>0</v>
      </c>
      <c r="I1556" t="s">
        <v>0</v>
      </c>
      <c r="J1556" t="s">
        <v>59</v>
      </c>
      <c r="K1556">
        <v>0</v>
      </c>
      <c r="L1556" t="s">
        <v>60</v>
      </c>
      <c r="M1556">
        <v>1</v>
      </c>
      <c r="N1556" t="s">
        <v>67</v>
      </c>
      <c r="O1556" s="2">
        <v>0.53749999999999998</v>
      </c>
      <c r="P1556">
        <f>0.0063135103*3600</f>
        <v>22.728637080000002</v>
      </c>
      <c r="Q1556">
        <f>0.0050194579*3600</f>
        <v>18.070048439999997</v>
      </c>
    </row>
    <row r="1557" spans="1:17" x14ac:dyDescent="0.3">
      <c r="A1557" s="4" t="s">
        <v>47</v>
      </c>
      <c r="B1557" s="7" t="s">
        <v>1151</v>
      </c>
      <c r="C1557">
        <v>298.82684899999998</v>
      </c>
      <c r="D1557">
        <v>295.00603599999999</v>
      </c>
      <c r="E1557">
        <v>1</v>
      </c>
      <c r="F1557">
        <v>1</v>
      </c>
      <c r="G1557">
        <v>0.26100000000000001</v>
      </c>
      <c r="H1557">
        <v>0</v>
      </c>
      <c r="I1557" t="s">
        <v>0</v>
      </c>
      <c r="J1557" t="s">
        <v>59</v>
      </c>
      <c r="K1557">
        <v>0</v>
      </c>
      <c r="L1557" t="s">
        <v>60</v>
      </c>
      <c r="M1557">
        <v>1</v>
      </c>
      <c r="N1557" t="s">
        <v>67</v>
      </c>
      <c r="O1557" s="2">
        <v>0.53749999999999998</v>
      </c>
      <c r="P1557">
        <f>0.0063548761*3600</f>
        <v>22.87755396</v>
      </c>
      <c r="Q1557">
        <f>0.0051376933*3600</f>
        <v>18.49569588</v>
      </c>
    </row>
    <row r="1558" spans="1:17" x14ac:dyDescent="0.3">
      <c r="A1558" s="4" t="s">
        <v>47</v>
      </c>
      <c r="B1558" s="7" t="s">
        <v>1152</v>
      </c>
      <c r="C1558">
        <v>298.826707</v>
      </c>
      <c r="D1558">
        <v>295.00598100000002</v>
      </c>
      <c r="E1558">
        <v>1</v>
      </c>
      <c r="F1558">
        <v>1</v>
      </c>
      <c r="G1558">
        <v>0.26100000000000001</v>
      </c>
      <c r="H1558">
        <v>0</v>
      </c>
      <c r="I1558" t="s">
        <v>0</v>
      </c>
      <c r="J1558" t="s">
        <v>59</v>
      </c>
      <c r="K1558">
        <v>0</v>
      </c>
      <c r="L1558" t="s">
        <v>60</v>
      </c>
      <c r="M1558">
        <v>1</v>
      </c>
      <c r="N1558" t="s">
        <v>67</v>
      </c>
      <c r="O1558" s="2">
        <v>0.53749999999999998</v>
      </c>
      <c r="P1558">
        <f>0.006395229*3600</f>
        <v>23.022824399999998</v>
      </c>
      <c r="Q1558">
        <f>0.0051150171*3600</f>
        <v>18.41406156</v>
      </c>
    </row>
    <row r="1559" spans="1:17" x14ac:dyDescent="0.3">
      <c r="A1559" s="4" t="s">
        <v>47</v>
      </c>
      <c r="B1559" s="7" t="s">
        <v>1153</v>
      </c>
      <c r="C1559">
        <v>298.82674400000002</v>
      </c>
      <c r="D1559">
        <v>295.005764</v>
      </c>
      <c r="E1559">
        <v>1</v>
      </c>
      <c r="F1559">
        <v>1</v>
      </c>
      <c r="G1559">
        <v>0.26100000000000001</v>
      </c>
      <c r="H1559">
        <v>0</v>
      </c>
      <c r="I1559" t="s">
        <v>0</v>
      </c>
      <c r="J1559" t="s">
        <v>59</v>
      </c>
      <c r="K1559">
        <v>0</v>
      </c>
      <c r="L1559" t="s">
        <v>60</v>
      </c>
      <c r="M1559">
        <v>1</v>
      </c>
      <c r="N1559" t="s">
        <v>67</v>
      </c>
      <c r="O1559" s="2">
        <v>0.53749999999999998</v>
      </c>
      <c r="P1559">
        <f>0.00626833*3600</f>
        <v>22.565988000000001</v>
      </c>
      <c r="Q1559">
        <f>0.0048508798*3600</f>
        <v>17.46316728</v>
      </c>
    </row>
    <row r="1560" spans="1:17" x14ac:dyDescent="0.3">
      <c r="A1560" s="4" t="s">
        <v>47</v>
      </c>
      <c r="B1560" s="7" t="s">
        <v>1154</v>
      </c>
      <c r="C1560">
        <v>298.82683300000002</v>
      </c>
      <c r="D1560">
        <v>295.00587000000002</v>
      </c>
      <c r="E1560">
        <v>1</v>
      </c>
      <c r="F1560">
        <v>1</v>
      </c>
      <c r="G1560">
        <v>0.26100000000000001</v>
      </c>
      <c r="H1560">
        <v>0</v>
      </c>
      <c r="I1560" t="s">
        <v>0</v>
      </c>
      <c r="J1560" t="s">
        <v>59</v>
      </c>
      <c r="K1560">
        <v>0</v>
      </c>
      <c r="L1560" t="s">
        <v>60</v>
      </c>
      <c r="M1560">
        <v>1</v>
      </c>
      <c r="N1560" t="s">
        <v>67</v>
      </c>
      <c r="O1560" s="2">
        <v>0.53749999999999998</v>
      </c>
      <c r="P1560">
        <f>0.006379231*3600</f>
        <v>22.965231599999999</v>
      </c>
      <c r="Q1560">
        <f>0.0050118369*3600</f>
        <v>18.04261284</v>
      </c>
    </row>
    <row r="1561" spans="1:17" x14ac:dyDescent="0.3">
      <c r="A1561" s="4" t="s">
        <v>47</v>
      </c>
      <c r="B1561" s="7" t="s">
        <v>1155</v>
      </c>
      <c r="C1561">
        <v>298.82730199999997</v>
      </c>
      <c r="D1561">
        <v>295.00569400000001</v>
      </c>
      <c r="E1561">
        <v>1</v>
      </c>
      <c r="F1561">
        <v>1</v>
      </c>
      <c r="G1561">
        <v>0.26100000000000001</v>
      </c>
      <c r="H1561">
        <v>0</v>
      </c>
      <c r="I1561" t="s">
        <v>0</v>
      </c>
      <c r="J1561" t="s">
        <v>59</v>
      </c>
      <c r="K1561">
        <v>0</v>
      </c>
      <c r="L1561" t="s">
        <v>60</v>
      </c>
      <c r="M1561">
        <v>1</v>
      </c>
      <c r="N1561" t="s">
        <v>67</v>
      </c>
      <c r="O1561" s="2">
        <v>0.53749999999999998</v>
      </c>
      <c r="P1561">
        <f>0.0062194936*3600</f>
        <v>22.390176959999998</v>
      </c>
      <c r="Q1561">
        <f>0.0048420459*3600</f>
        <v>17.431365240000002</v>
      </c>
    </row>
    <row r="1562" spans="1:17" x14ac:dyDescent="0.3">
      <c r="A1562" s="4" t="s">
        <v>47</v>
      </c>
      <c r="B1562" s="7" t="s">
        <v>1156</v>
      </c>
      <c r="C1562">
        <v>298.82636100000002</v>
      </c>
      <c r="D1562">
        <v>295.00573000000003</v>
      </c>
      <c r="E1562">
        <v>1</v>
      </c>
      <c r="F1562">
        <v>1</v>
      </c>
      <c r="G1562">
        <v>0.26100000000000001</v>
      </c>
      <c r="H1562">
        <v>0</v>
      </c>
      <c r="I1562" t="s">
        <v>0</v>
      </c>
      <c r="J1562" t="s">
        <v>59</v>
      </c>
      <c r="K1562">
        <v>0</v>
      </c>
      <c r="L1562" t="s">
        <v>60</v>
      </c>
      <c r="M1562">
        <v>1</v>
      </c>
      <c r="N1562" t="s">
        <v>67</v>
      </c>
      <c r="O1562" s="2">
        <v>0.53749999999999998</v>
      </c>
      <c r="P1562">
        <f>0.0062377215*3600</f>
        <v>22.455797399999998</v>
      </c>
      <c r="Q1562">
        <f>0.0048660427*3600</f>
        <v>17.517753719999998</v>
      </c>
    </row>
    <row r="1563" spans="1:17" x14ac:dyDescent="0.3">
      <c r="A1563" s="4" t="s">
        <v>47</v>
      </c>
      <c r="B1563" s="7" t="s">
        <v>1157</v>
      </c>
      <c r="C1563">
        <v>298.826572</v>
      </c>
      <c r="D1563">
        <v>295.00597499999998</v>
      </c>
      <c r="E1563">
        <v>1</v>
      </c>
      <c r="F1563">
        <v>1</v>
      </c>
      <c r="G1563">
        <v>0.26100000000000001</v>
      </c>
      <c r="H1563">
        <v>0</v>
      </c>
      <c r="I1563" t="s">
        <v>0</v>
      </c>
      <c r="J1563" t="s">
        <v>59</v>
      </c>
      <c r="K1563">
        <v>0</v>
      </c>
      <c r="L1563" t="s">
        <v>60</v>
      </c>
      <c r="M1563">
        <v>1</v>
      </c>
      <c r="N1563" t="s">
        <v>67</v>
      </c>
      <c r="O1563" s="2">
        <v>0.53749999999999998</v>
      </c>
      <c r="P1563">
        <f>0.0063478824*3600</f>
        <v>22.852376639999999</v>
      </c>
      <c r="Q1563">
        <f>0.0050950497*3600</f>
        <v>18.342178919999998</v>
      </c>
    </row>
    <row r="1564" spans="1:17" x14ac:dyDescent="0.3">
      <c r="A1564" s="4" t="s">
        <v>47</v>
      </c>
      <c r="B1564" s="7" t="s">
        <v>1158</v>
      </c>
      <c r="C1564">
        <v>298.826798</v>
      </c>
      <c r="D1564">
        <v>295.00592799999998</v>
      </c>
      <c r="E1564">
        <v>1</v>
      </c>
      <c r="F1564">
        <v>1</v>
      </c>
      <c r="G1564">
        <v>0.26100000000000001</v>
      </c>
      <c r="H1564">
        <v>0</v>
      </c>
      <c r="I1564" t="s">
        <v>0</v>
      </c>
      <c r="J1564" t="s">
        <v>59</v>
      </c>
      <c r="K1564">
        <v>0</v>
      </c>
      <c r="L1564" t="s">
        <v>60</v>
      </c>
      <c r="M1564">
        <v>1</v>
      </c>
      <c r="N1564" t="s">
        <v>67</v>
      </c>
      <c r="O1564" s="2">
        <v>0.53749999999999998</v>
      </c>
      <c r="P1564">
        <f>0.0064412343*3600</f>
        <v>23.18844348</v>
      </c>
      <c r="Q1564">
        <f>0.0050527649*3600</f>
        <v>18.189953640000002</v>
      </c>
    </row>
    <row r="1565" spans="1:17" x14ac:dyDescent="0.3">
      <c r="A1565" s="4" t="s">
        <v>47</v>
      </c>
      <c r="B1565" s="7" t="s">
        <v>1159</v>
      </c>
      <c r="C1565">
        <v>298.82636200000002</v>
      </c>
      <c r="D1565">
        <v>295.00581899999997</v>
      </c>
      <c r="E1565">
        <v>1</v>
      </c>
      <c r="F1565">
        <v>1</v>
      </c>
      <c r="G1565">
        <v>0.26100000000000001</v>
      </c>
      <c r="H1565">
        <v>0</v>
      </c>
      <c r="I1565" t="s">
        <v>0</v>
      </c>
      <c r="J1565" t="s">
        <v>59</v>
      </c>
      <c r="K1565">
        <v>0</v>
      </c>
      <c r="L1565" t="s">
        <v>60</v>
      </c>
      <c r="M1565">
        <v>1</v>
      </c>
      <c r="N1565" t="s">
        <v>67</v>
      </c>
      <c r="O1565" s="2">
        <v>0.53749999999999998</v>
      </c>
      <c r="P1565">
        <f>0.0064227817*3600</f>
        <v>23.122014119999999</v>
      </c>
      <c r="Q1565">
        <f>0.0049648678*3600</f>
        <v>17.873524079999999</v>
      </c>
    </row>
    <row r="1566" spans="1:17" x14ac:dyDescent="0.3">
      <c r="A1566" s="4" t="s">
        <v>47</v>
      </c>
      <c r="B1566" s="7" t="s">
        <v>1160</v>
      </c>
      <c r="C1566">
        <v>298.826616</v>
      </c>
      <c r="D1566">
        <v>295.00547999999998</v>
      </c>
      <c r="E1566">
        <v>1</v>
      </c>
      <c r="F1566">
        <v>1</v>
      </c>
      <c r="G1566">
        <v>0.26100000000000001</v>
      </c>
      <c r="H1566">
        <v>0</v>
      </c>
      <c r="I1566" t="s">
        <v>0</v>
      </c>
      <c r="J1566" t="s">
        <v>59</v>
      </c>
      <c r="K1566">
        <v>0</v>
      </c>
      <c r="L1566" t="s">
        <v>60</v>
      </c>
      <c r="M1566">
        <v>1</v>
      </c>
      <c r="N1566" t="s">
        <v>67</v>
      </c>
      <c r="O1566" s="2">
        <v>0.53749999999999998</v>
      </c>
      <c r="P1566">
        <f>0.0065138813*3600</f>
        <v>23.449972679999998</v>
      </c>
      <c r="Q1566">
        <f>0.0046311596*3600</f>
        <v>16.672174560000002</v>
      </c>
    </row>
    <row r="1567" spans="1:17" x14ac:dyDescent="0.3">
      <c r="A1567" s="4" t="s">
        <v>47</v>
      </c>
      <c r="B1567" s="7" t="s">
        <v>1161</v>
      </c>
      <c r="C1567">
        <v>298.82692500000002</v>
      </c>
      <c r="D1567">
        <v>295.00555700000001</v>
      </c>
      <c r="E1567">
        <v>1</v>
      </c>
      <c r="F1567">
        <v>1</v>
      </c>
      <c r="G1567">
        <v>0.26100000000000001</v>
      </c>
      <c r="H1567">
        <v>0</v>
      </c>
      <c r="I1567" t="s">
        <v>0</v>
      </c>
      <c r="J1567" t="s">
        <v>59</v>
      </c>
      <c r="K1567">
        <v>0</v>
      </c>
      <c r="L1567" t="s">
        <v>60</v>
      </c>
      <c r="M1567">
        <v>1</v>
      </c>
      <c r="N1567" t="s">
        <v>67</v>
      </c>
      <c r="O1567" s="2">
        <v>0.53749999999999998</v>
      </c>
      <c r="P1567">
        <f>0.0063558534*3600</f>
        <v>22.881072240000002</v>
      </c>
      <c r="Q1567">
        <f>0.0047160884*3600</f>
        <v>16.977918240000001</v>
      </c>
    </row>
    <row r="1568" spans="1:17" x14ac:dyDescent="0.3">
      <c r="A1568" s="4" t="s">
        <v>47</v>
      </c>
      <c r="B1568" s="7" t="s">
        <v>1162</v>
      </c>
      <c r="C1568">
        <v>298.826322</v>
      </c>
      <c r="D1568">
        <v>295.00562500000001</v>
      </c>
      <c r="E1568">
        <v>1</v>
      </c>
      <c r="F1568">
        <v>1</v>
      </c>
      <c r="G1568">
        <v>0.26100000000000001</v>
      </c>
      <c r="H1568">
        <v>0</v>
      </c>
      <c r="I1568" t="s">
        <v>0</v>
      </c>
      <c r="J1568" t="s">
        <v>59</v>
      </c>
      <c r="K1568">
        <v>0</v>
      </c>
      <c r="L1568" t="s">
        <v>60</v>
      </c>
      <c r="M1568">
        <v>1</v>
      </c>
      <c r="N1568" t="s">
        <v>67</v>
      </c>
      <c r="O1568" s="2">
        <v>0.53749999999999998</v>
      </c>
      <c r="P1568">
        <f>0.0064894006*3600</f>
        <v>23.361842160000002</v>
      </c>
      <c r="Q1568">
        <f>0.0047724764*3600</f>
        <v>17.180915039999999</v>
      </c>
    </row>
    <row r="1569" spans="1:18" x14ac:dyDescent="0.3">
      <c r="A1569" s="4" t="s">
        <v>47</v>
      </c>
      <c r="B1569" s="7" t="s">
        <v>1163</v>
      </c>
      <c r="C1569">
        <v>298.82751200000001</v>
      </c>
      <c r="D1569">
        <v>295.00564600000001</v>
      </c>
      <c r="E1569">
        <v>1</v>
      </c>
      <c r="F1569">
        <v>1</v>
      </c>
      <c r="G1569">
        <v>0.26100000000000001</v>
      </c>
      <c r="H1569">
        <v>0</v>
      </c>
      <c r="I1569" t="s">
        <v>0</v>
      </c>
      <c r="J1569" t="s">
        <v>59</v>
      </c>
      <c r="K1569">
        <v>0</v>
      </c>
      <c r="L1569" t="s">
        <v>60</v>
      </c>
      <c r="M1569">
        <v>1</v>
      </c>
      <c r="N1569" t="s">
        <v>67</v>
      </c>
      <c r="O1569" s="2">
        <v>0.53749999999999998</v>
      </c>
      <c r="P1569">
        <f>0.0064516367*3600</f>
        <v>23.225892120000001</v>
      </c>
      <c r="Q1569">
        <f>0.0048154327*3600</f>
        <v>17.335557720000001</v>
      </c>
    </row>
    <row r="1570" spans="1:18" x14ac:dyDescent="0.3">
      <c r="A1570" s="4" t="s">
        <v>47</v>
      </c>
      <c r="B1570" s="7" t="s">
        <v>1164</v>
      </c>
      <c r="C1570">
        <v>298.826707</v>
      </c>
      <c r="D1570">
        <v>295.00555100000003</v>
      </c>
      <c r="E1570">
        <v>1</v>
      </c>
      <c r="F1570">
        <v>1</v>
      </c>
      <c r="G1570">
        <v>0.26100000000000001</v>
      </c>
      <c r="H1570">
        <v>0</v>
      </c>
      <c r="I1570" t="s">
        <v>0</v>
      </c>
      <c r="J1570" t="s">
        <v>59</v>
      </c>
      <c r="K1570">
        <v>0</v>
      </c>
      <c r="L1570" t="s">
        <v>60</v>
      </c>
      <c r="M1570">
        <v>1</v>
      </c>
      <c r="N1570" t="s">
        <v>67</v>
      </c>
      <c r="O1570" s="2">
        <v>0.53749999999999998</v>
      </c>
      <c r="P1570">
        <f>0.0063209314*3600</f>
        <v>22.755353039999999</v>
      </c>
      <c r="Q1570">
        <f>0.004694328*3600</f>
        <v>16.899580800000003</v>
      </c>
    </row>
    <row r="1571" spans="1:18" x14ac:dyDescent="0.3">
      <c r="A1571" s="4" t="s">
        <v>47</v>
      </c>
      <c r="B1571" s="7" t="s">
        <v>1165</v>
      </c>
      <c r="C1571">
        <v>298.82677899999999</v>
      </c>
      <c r="D1571">
        <v>295.00560200000001</v>
      </c>
      <c r="E1571">
        <v>1</v>
      </c>
      <c r="F1571">
        <v>1</v>
      </c>
      <c r="G1571">
        <v>0.26100000000000001</v>
      </c>
      <c r="H1571">
        <v>0</v>
      </c>
      <c r="I1571" t="s">
        <v>0</v>
      </c>
      <c r="J1571" t="s">
        <v>59</v>
      </c>
      <c r="K1571">
        <v>0</v>
      </c>
      <c r="L1571" t="s">
        <v>60</v>
      </c>
      <c r="M1571">
        <v>1</v>
      </c>
      <c r="N1571" t="s">
        <v>67</v>
      </c>
      <c r="O1571" s="2">
        <v>0.53749999999999998</v>
      </c>
      <c r="P1571">
        <f>0.0063918386*3600</f>
        <v>23.010618959999999</v>
      </c>
      <c r="Q1571">
        <f>0.0047421686*3600</f>
        <v>17.07180696</v>
      </c>
    </row>
    <row r="1572" spans="1:18" x14ac:dyDescent="0.3">
      <c r="A1572" s="4" t="s">
        <v>47</v>
      </c>
      <c r="B1572" s="7" t="s">
        <v>1166</v>
      </c>
      <c r="C1572">
        <v>298.826775</v>
      </c>
      <c r="D1572">
        <v>295.00592499999999</v>
      </c>
      <c r="E1572">
        <v>1</v>
      </c>
      <c r="F1572">
        <v>1</v>
      </c>
      <c r="G1572">
        <v>0.26100000000000001</v>
      </c>
      <c r="H1572">
        <v>0</v>
      </c>
      <c r="I1572" t="s">
        <v>0</v>
      </c>
      <c r="J1572" t="s">
        <v>59</v>
      </c>
      <c r="K1572">
        <v>0</v>
      </c>
      <c r="L1572" t="s">
        <v>60</v>
      </c>
      <c r="M1572">
        <v>1</v>
      </c>
      <c r="N1572" t="s">
        <v>67</v>
      </c>
      <c r="O1572" s="2">
        <v>0.53749999999999998</v>
      </c>
      <c r="P1572">
        <f>0.0067333608*3600</f>
        <v>24.240098880000001</v>
      </c>
      <c r="Q1572">
        <f>0.0050511019*3600</f>
        <v>18.18396684</v>
      </c>
    </row>
    <row r="1573" spans="1:18" x14ac:dyDescent="0.3">
      <c r="A1573" s="4" t="s">
        <v>47</v>
      </c>
      <c r="B1573" s="7" t="s">
        <v>1167</v>
      </c>
      <c r="C1573">
        <v>298.82580200000001</v>
      </c>
      <c r="D1573">
        <v>295.00594799999999</v>
      </c>
      <c r="E1573">
        <v>1</v>
      </c>
      <c r="F1573">
        <v>1</v>
      </c>
      <c r="G1573">
        <v>0.26100000000000001</v>
      </c>
      <c r="H1573">
        <v>0</v>
      </c>
      <c r="I1573" t="s">
        <v>0</v>
      </c>
      <c r="J1573" t="s">
        <v>59</v>
      </c>
      <c r="K1573">
        <v>0</v>
      </c>
      <c r="L1573" t="s">
        <v>60</v>
      </c>
      <c r="M1573">
        <v>1</v>
      </c>
      <c r="N1573" t="s">
        <v>67</v>
      </c>
      <c r="O1573" s="2">
        <v>0.53749999999999998</v>
      </c>
      <c r="P1573">
        <f>0.0066818076*3600</f>
        <v>24.054507359999999</v>
      </c>
      <c r="Q1573">
        <f>0.0050711279*3600</f>
        <v>18.256060439999999</v>
      </c>
    </row>
    <row r="1574" spans="1:18" x14ac:dyDescent="0.3">
      <c r="A1574" s="4" t="s">
        <v>47</v>
      </c>
      <c r="B1574" s="7" t="s">
        <v>1168</v>
      </c>
      <c r="C1574">
        <v>298.826322</v>
      </c>
      <c r="D1574">
        <v>295.00588699999997</v>
      </c>
      <c r="E1574">
        <v>1</v>
      </c>
      <c r="F1574">
        <v>1</v>
      </c>
      <c r="G1574">
        <v>0.26100000000000001</v>
      </c>
      <c r="H1574">
        <v>0</v>
      </c>
      <c r="I1574" t="s">
        <v>0</v>
      </c>
      <c r="J1574" t="s">
        <v>59</v>
      </c>
      <c r="K1574">
        <v>0</v>
      </c>
      <c r="L1574" t="s">
        <v>60</v>
      </c>
      <c r="M1574">
        <v>1</v>
      </c>
      <c r="N1574" t="s">
        <v>67</v>
      </c>
      <c r="O1574" s="2">
        <v>0.53749999999999998</v>
      </c>
      <c r="P1574">
        <f>0.0065675045*3600</f>
        <v>23.643016199999998</v>
      </c>
      <c r="Q1574">
        <f>0.0050081759*3600</f>
        <v>18.029433239999999</v>
      </c>
    </row>
    <row r="1575" spans="1:18" x14ac:dyDescent="0.3">
      <c r="A1575" s="4" t="s">
        <v>47</v>
      </c>
      <c r="B1575" s="7" t="s">
        <v>1169</v>
      </c>
      <c r="C1575">
        <v>298.82603799999998</v>
      </c>
      <c r="D1575">
        <v>295.00597499999998</v>
      </c>
      <c r="E1575">
        <v>1</v>
      </c>
      <c r="F1575">
        <v>1</v>
      </c>
      <c r="G1575">
        <v>0.26100000000000001</v>
      </c>
      <c r="H1575">
        <v>0</v>
      </c>
      <c r="I1575" t="s">
        <v>0</v>
      </c>
      <c r="J1575" t="s">
        <v>59</v>
      </c>
      <c r="K1575">
        <v>0</v>
      </c>
      <c r="L1575" t="s">
        <v>60</v>
      </c>
      <c r="M1575">
        <v>1</v>
      </c>
      <c r="N1575" t="s">
        <v>67</v>
      </c>
      <c r="O1575" s="2">
        <v>0.53749999999999998</v>
      </c>
      <c r="P1575">
        <f>0.0066103881*3600</f>
        <v>23.797397159999999</v>
      </c>
      <c r="Q1575">
        <f>0.0050984542*3600</f>
        <v>18.354435119999998</v>
      </c>
    </row>
    <row r="1576" spans="1:18" x14ac:dyDescent="0.3">
      <c r="A1576" s="4" t="s">
        <v>47</v>
      </c>
      <c r="B1576" s="7" t="s">
        <v>1170</v>
      </c>
      <c r="C1576">
        <v>298.82654100000002</v>
      </c>
      <c r="D1576">
        <v>295.00611500000002</v>
      </c>
      <c r="E1576">
        <v>1</v>
      </c>
      <c r="F1576">
        <v>1</v>
      </c>
      <c r="G1576">
        <v>0.26100000000000001</v>
      </c>
      <c r="H1576">
        <v>0</v>
      </c>
      <c r="I1576" t="s">
        <v>0</v>
      </c>
      <c r="J1576" t="s">
        <v>59</v>
      </c>
      <c r="K1576">
        <v>0</v>
      </c>
      <c r="L1576" t="s">
        <v>60</v>
      </c>
      <c r="M1576">
        <v>1</v>
      </c>
      <c r="N1576" t="s">
        <v>67</v>
      </c>
      <c r="O1576" s="2">
        <v>0.53749999999999998</v>
      </c>
      <c r="P1576">
        <f>0.0067956598*3600</f>
        <v>24.464375280000002</v>
      </c>
      <c r="Q1576">
        <f>0.0052272751*3600</f>
        <v>18.818190359999999</v>
      </c>
    </row>
    <row r="1577" spans="1:18" x14ac:dyDescent="0.3">
      <c r="A1577" s="4" t="s">
        <v>47</v>
      </c>
      <c r="B1577" s="7" t="s">
        <v>1171</v>
      </c>
      <c r="C1577">
        <v>298.82709199999999</v>
      </c>
      <c r="D1577">
        <v>295.00606199999999</v>
      </c>
      <c r="E1577">
        <v>1</v>
      </c>
      <c r="F1577">
        <v>1</v>
      </c>
      <c r="G1577">
        <v>0.26100000000000001</v>
      </c>
      <c r="H1577">
        <v>0</v>
      </c>
      <c r="I1577" t="s">
        <v>0</v>
      </c>
      <c r="J1577" t="s">
        <v>59</v>
      </c>
      <c r="K1577">
        <v>0</v>
      </c>
      <c r="L1577" t="s">
        <v>60</v>
      </c>
      <c r="M1577">
        <v>1</v>
      </c>
      <c r="N1577" t="s">
        <v>67</v>
      </c>
      <c r="O1577" s="2">
        <v>0.53749999999999998</v>
      </c>
      <c r="P1577">
        <f>0.0066496765*3600</f>
        <v>23.938835399999999</v>
      </c>
      <c r="Q1577">
        <f>0.0051661356*3600</f>
        <v>18.59808816</v>
      </c>
    </row>
    <row r="1578" spans="1:18" x14ac:dyDescent="0.3">
      <c r="A1578" s="4" t="s">
        <v>47</v>
      </c>
      <c r="B1578" s="7" t="s">
        <v>1172</v>
      </c>
      <c r="C1578">
        <v>298.82588800000002</v>
      </c>
      <c r="D1578">
        <v>295.00607100000002</v>
      </c>
      <c r="E1578">
        <v>1</v>
      </c>
      <c r="F1578">
        <v>1</v>
      </c>
      <c r="G1578">
        <v>0.26100000000000001</v>
      </c>
      <c r="H1578">
        <v>0</v>
      </c>
      <c r="I1578" t="s">
        <v>0</v>
      </c>
      <c r="J1578" t="s">
        <v>59</v>
      </c>
      <c r="K1578">
        <v>0</v>
      </c>
      <c r="L1578" t="s">
        <v>60</v>
      </c>
      <c r="M1578">
        <v>1</v>
      </c>
      <c r="N1578" t="s">
        <v>67</v>
      </c>
      <c r="O1578" s="2">
        <v>0.53749999999999998</v>
      </c>
      <c r="P1578">
        <f>0.0065971888*3600</f>
        <v>23.749879679999999</v>
      </c>
      <c r="Q1578">
        <f>0.0051964811*3600</f>
        <v>18.707331959999998</v>
      </c>
    </row>
    <row r="1579" spans="1:18" x14ac:dyDescent="0.3">
      <c r="A1579" s="4" t="s">
        <v>47</v>
      </c>
      <c r="B1579" s="7" t="s">
        <v>1173</v>
      </c>
      <c r="C1579">
        <v>298.82574599999998</v>
      </c>
      <c r="D1579">
        <v>295.00607500000001</v>
      </c>
      <c r="E1579">
        <v>1</v>
      </c>
      <c r="F1579">
        <v>1</v>
      </c>
      <c r="G1579">
        <v>0.26100000000000001</v>
      </c>
      <c r="H1579">
        <v>0</v>
      </c>
      <c r="I1579" t="s">
        <v>0</v>
      </c>
      <c r="J1579" t="s">
        <v>59</v>
      </c>
      <c r="K1579">
        <v>0</v>
      </c>
      <c r="L1579" t="s">
        <v>60</v>
      </c>
      <c r="M1579">
        <v>1</v>
      </c>
      <c r="N1579" t="s">
        <v>67</v>
      </c>
      <c r="O1579" s="2">
        <v>0.53749999999999998</v>
      </c>
      <c r="P1579">
        <f>0.006527083*3600</f>
        <v>23.497498800000002</v>
      </c>
      <c r="Q1579">
        <f>0.0052324231*3600</f>
        <v>18.836723160000002</v>
      </c>
    </row>
    <row r="1580" spans="1:18" x14ac:dyDescent="0.3">
      <c r="A1580" s="4" t="s">
        <v>47</v>
      </c>
      <c r="B1580" s="7" t="s">
        <v>1174</v>
      </c>
      <c r="C1580">
        <v>298.82579600000003</v>
      </c>
      <c r="D1580">
        <v>295.00594999999998</v>
      </c>
      <c r="E1580">
        <v>1</v>
      </c>
      <c r="F1580">
        <v>1</v>
      </c>
      <c r="G1580">
        <v>0.26100000000000001</v>
      </c>
      <c r="H1580">
        <v>0</v>
      </c>
      <c r="I1580" t="s">
        <v>0</v>
      </c>
      <c r="J1580" t="s">
        <v>59</v>
      </c>
      <c r="K1580">
        <v>0</v>
      </c>
      <c r="L1580" t="s">
        <v>60</v>
      </c>
      <c r="M1580">
        <v>1</v>
      </c>
      <c r="N1580" t="s">
        <v>67</v>
      </c>
      <c r="O1580" s="2">
        <v>0.53749999999999998</v>
      </c>
      <c r="P1580">
        <f>0.0066278579*3600</f>
        <v>23.860288439999998</v>
      </c>
      <c r="Q1580">
        <f>0.005071694*3600</f>
        <v>18.258098399999998</v>
      </c>
    </row>
    <row r="1581" spans="1:18" x14ac:dyDescent="0.3">
      <c r="A1581" s="4" t="s">
        <v>47</v>
      </c>
      <c r="B1581" s="7" t="s">
        <v>1175</v>
      </c>
      <c r="C1581">
        <v>298.82667900000001</v>
      </c>
      <c r="D1581">
        <v>295.00581199999999</v>
      </c>
      <c r="E1581">
        <v>1</v>
      </c>
      <c r="F1581">
        <v>1</v>
      </c>
      <c r="G1581">
        <v>0.26100000000000001</v>
      </c>
      <c r="H1581">
        <v>0</v>
      </c>
      <c r="I1581" t="s">
        <v>0</v>
      </c>
      <c r="J1581" t="s">
        <v>59</v>
      </c>
      <c r="K1581">
        <v>0</v>
      </c>
      <c r="L1581" t="s">
        <v>60</v>
      </c>
      <c r="M1581">
        <v>1</v>
      </c>
      <c r="N1581" t="s">
        <v>67</v>
      </c>
      <c r="O1581" s="2">
        <v>0.53749999999999998</v>
      </c>
      <c r="P1581">
        <f>0.0066160802*3600</f>
        <v>23.817888719999999</v>
      </c>
      <c r="Q1581">
        <f>0.0049118873*3600</f>
        <v>17.68279428</v>
      </c>
    </row>
    <row r="1582" spans="1:18" x14ac:dyDescent="0.3">
      <c r="A1582" s="4" t="s">
        <v>47</v>
      </c>
      <c r="B1582" s="7" t="s">
        <v>1176</v>
      </c>
      <c r="C1582">
        <v>298.82655</v>
      </c>
      <c r="D1582">
        <v>295.00601899999998</v>
      </c>
      <c r="E1582">
        <v>1</v>
      </c>
      <c r="F1582">
        <v>1</v>
      </c>
      <c r="G1582">
        <v>0.26100000000000001</v>
      </c>
      <c r="H1582">
        <v>0</v>
      </c>
      <c r="I1582" t="s">
        <v>0</v>
      </c>
      <c r="J1582" t="s">
        <v>59</v>
      </c>
      <c r="K1582">
        <v>0</v>
      </c>
      <c r="L1582" t="s">
        <v>60</v>
      </c>
      <c r="M1582">
        <v>1</v>
      </c>
      <c r="N1582" t="s">
        <v>67</v>
      </c>
      <c r="O1582" s="2">
        <v>0.53749999999999998</v>
      </c>
      <c r="P1582">
        <f>0.0067174712*3600</f>
        <v>24.182896320000001</v>
      </c>
      <c r="Q1582">
        <f>0.0051137639*3600</f>
        <v>18.409550039999999</v>
      </c>
    </row>
    <row r="1583" spans="1:18" x14ac:dyDescent="0.3">
      <c r="A1583" s="4" t="s">
        <v>47</v>
      </c>
      <c r="B1583" s="5" t="s">
        <v>49</v>
      </c>
      <c r="C1583">
        <v>202.34939900000001</v>
      </c>
      <c r="D1583">
        <v>99.288790000000006</v>
      </c>
      <c r="E1583">
        <v>502.99869999999999</v>
      </c>
      <c r="F1583">
        <v>502.87700000000001</v>
      </c>
      <c r="G1583">
        <v>0.26100000000000001</v>
      </c>
      <c r="H1583">
        <v>1.746</v>
      </c>
      <c r="I1583" t="s">
        <v>0</v>
      </c>
      <c r="J1583" t="s">
        <v>50</v>
      </c>
      <c r="K1583" t="s">
        <v>51</v>
      </c>
      <c r="L1583">
        <v>0</v>
      </c>
      <c r="M1583" t="s">
        <v>52</v>
      </c>
      <c r="N1583">
        <v>1</v>
      </c>
      <c r="O1583" t="s">
        <v>53</v>
      </c>
      <c r="P1583" s="2">
        <v>0.5444444444444444</v>
      </c>
      <c r="Q1583">
        <f>0.00540666*3600</f>
        <v>19.463975999999999</v>
      </c>
      <c r="R1583">
        <f>-0.0060437323*3600</f>
        <v>-21.75743628</v>
      </c>
    </row>
    <row r="1584" spans="1:18" x14ac:dyDescent="0.3">
      <c r="A1584" s="4" t="s">
        <v>47</v>
      </c>
      <c r="B1584" s="7" t="s">
        <v>49</v>
      </c>
      <c r="C1584">
        <v>2.34876</v>
      </c>
      <c r="D1584">
        <v>300.710465</v>
      </c>
      <c r="E1584">
        <v>502.99889999999999</v>
      </c>
      <c r="F1584">
        <v>502.87729999999999</v>
      </c>
      <c r="G1584">
        <v>0.26100000000000001</v>
      </c>
      <c r="H1584">
        <v>1.746</v>
      </c>
      <c r="I1584" t="s">
        <v>0</v>
      </c>
      <c r="J1584" t="s">
        <v>50</v>
      </c>
      <c r="K1584" t="s">
        <v>51</v>
      </c>
      <c r="L1584">
        <v>0</v>
      </c>
      <c r="M1584" t="s">
        <v>52</v>
      </c>
      <c r="N1584">
        <v>1</v>
      </c>
      <c r="O1584" t="s">
        <v>53</v>
      </c>
      <c r="P1584" s="2">
        <v>0.54513888888888895</v>
      </c>
      <c r="Q1584">
        <f>-0.0063660036*3600</f>
        <v>-22.91761296</v>
      </c>
      <c r="R1584">
        <f>0.005369811*3600</f>
        <v>19.3313196</v>
      </c>
    </row>
    <row r="1585" spans="1:18" x14ac:dyDescent="0.3">
      <c r="A1585" s="4" t="s">
        <v>47</v>
      </c>
      <c r="B1585" s="5" t="s">
        <v>57</v>
      </c>
      <c r="C1585">
        <v>1.2848809999999999</v>
      </c>
      <c r="D1585">
        <v>99.157852000000005</v>
      </c>
      <c r="E1585">
        <v>37.385399999999997</v>
      </c>
      <c r="F1585">
        <v>37.375500000000002</v>
      </c>
      <c r="G1585">
        <v>0.26100000000000001</v>
      </c>
      <c r="H1585">
        <v>1.746</v>
      </c>
      <c r="I1585" t="s">
        <v>0</v>
      </c>
      <c r="J1585" t="s">
        <v>50</v>
      </c>
      <c r="K1585" t="s">
        <v>51</v>
      </c>
      <c r="L1585">
        <v>0</v>
      </c>
      <c r="M1585" t="s">
        <v>52</v>
      </c>
      <c r="N1585">
        <v>1</v>
      </c>
      <c r="O1585" t="s">
        <v>53</v>
      </c>
      <c r="P1585" s="2">
        <v>0.54513888888888895</v>
      </c>
      <c r="Q1585">
        <f>-0.0070411851*3600</f>
        <v>-25.34826636</v>
      </c>
      <c r="R1585">
        <f>0.0055779315*3600</f>
        <v>20.080553399999999</v>
      </c>
    </row>
    <row r="1586" spans="1:18" x14ac:dyDescent="0.3">
      <c r="A1586" s="4" t="s">
        <v>47</v>
      </c>
      <c r="B1586" s="7" t="s">
        <v>57</v>
      </c>
      <c r="C1586">
        <v>201.28455600000001</v>
      </c>
      <c r="D1586">
        <v>300.84021899999999</v>
      </c>
      <c r="E1586">
        <v>37.3855</v>
      </c>
      <c r="F1586">
        <v>37.375599999999999</v>
      </c>
      <c r="G1586">
        <v>0.26100000000000001</v>
      </c>
      <c r="H1586">
        <v>1.746</v>
      </c>
      <c r="I1586" t="s">
        <v>0</v>
      </c>
      <c r="J1586" t="s">
        <v>50</v>
      </c>
      <c r="K1586" t="s">
        <v>51</v>
      </c>
      <c r="L1586">
        <v>0</v>
      </c>
      <c r="M1586" t="s">
        <v>52</v>
      </c>
      <c r="N1586">
        <v>1</v>
      </c>
      <c r="O1586" t="s">
        <v>53</v>
      </c>
      <c r="P1586" s="2">
        <v>0.54583333333333328</v>
      </c>
      <c r="Q1586">
        <f>0.0063521423*3600</f>
        <v>22.867712280000003</v>
      </c>
      <c r="R1586">
        <f>-0.0060988943*3600</f>
        <v>-21.956019480000002</v>
      </c>
    </row>
    <row r="1587" spans="1:18" x14ac:dyDescent="0.3">
      <c r="A1587" s="4" t="s">
        <v>47</v>
      </c>
      <c r="B1587">
        <v>19</v>
      </c>
      <c r="C1587" t="s">
        <v>30</v>
      </c>
      <c r="D1587" s="3">
        <v>0.7</v>
      </c>
      <c r="E1587" t="s">
        <v>31</v>
      </c>
      <c r="F1587" t="s">
        <v>32</v>
      </c>
      <c r="G1587" t="s">
        <v>33</v>
      </c>
      <c r="H1587" t="s">
        <v>34</v>
      </c>
    </row>
    <row r="1588" spans="1:18" x14ac:dyDescent="0.3">
      <c r="A1588" s="4" t="s">
        <v>47</v>
      </c>
      <c r="B1588" t="s">
        <v>55</v>
      </c>
      <c r="C1588" t="s">
        <v>35</v>
      </c>
      <c r="D1588" t="s">
        <v>56</v>
      </c>
    </row>
    <row r="1589" spans="1:18" x14ac:dyDescent="0.3">
      <c r="A1589" s="4" t="s">
        <v>47</v>
      </c>
      <c r="B1589" t="s">
        <v>39</v>
      </c>
      <c r="C1589">
        <v>0.13</v>
      </c>
    </row>
    <row r="1591" spans="1:18" x14ac:dyDescent="0.3">
      <c r="A1591" t="s">
        <v>29</v>
      </c>
      <c r="B1591">
        <v>19</v>
      </c>
      <c r="C1591" t="s">
        <v>30</v>
      </c>
      <c r="D1591" s="3">
        <v>0.7</v>
      </c>
      <c r="E1591" t="s">
        <v>31</v>
      </c>
      <c r="F1591" t="s">
        <v>32</v>
      </c>
      <c r="G1591" t="s">
        <v>33</v>
      </c>
      <c r="H1591" t="s">
        <v>34</v>
      </c>
    </row>
    <row r="1592" spans="1:18" x14ac:dyDescent="0.3">
      <c r="A1592" t="s">
        <v>35</v>
      </c>
      <c r="B1592" t="s">
        <v>55</v>
      </c>
      <c r="C1592" t="s">
        <v>35</v>
      </c>
      <c r="D1592" t="s">
        <v>56</v>
      </c>
    </row>
    <row r="1593" spans="1:18" x14ac:dyDescent="0.3">
      <c r="A1593" t="s">
        <v>38</v>
      </c>
      <c r="B1593" t="s">
        <v>39</v>
      </c>
      <c r="C1593">
        <v>0.13</v>
      </c>
    </row>
    <row r="1595" spans="1:18" x14ac:dyDescent="0.3">
      <c r="A1595" s="4" t="s">
        <v>47</v>
      </c>
      <c r="B1595" s="5" t="s">
        <v>1177</v>
      </c>
      <c r="C1595">
        <v>99.122992999999994</v>
      </c>
      <c r="D1595">
        <v>108.921729</v>
      </c>
      <c r="E1595">
        <v>8.0381</v>
      </c>
      <c r="F1595">
        <v>7.9577999999999998</v>
      </c>
      <c r="G1595">
        <v>0.26100000000000001</v>
      </c>
      <c r="H1595">
        <v>0</v>
      </c>
      <c r="I1595" t="s">
        <v>0</v>
      </c>
      <c r="J1595" t="s">
        <v>59</v>
      </c>
      <c r="K1595">
        <v>3.4000000000000002E-2</v>
      </c>
      <c r="L1595" t="s">
        <v>60</v>
      </c>
      <c r="M1595">
        <v>1</v>
      </c>
      <c r="N1595" t="s">
        <v>53</v>
      </c>
      <c r="O1595" s="2">
        <v>0.55347222222222225</v>
      </c>
      <c r="P1595">
        <f>-0.0047107054*3600</f>
        <v>-16.958539439999999</v>
      </c>
      <c r="Q1595">
        <f>-0.004620726*3600</f>
        <v>-16.634613600000002</v>
      </c>
    </row>
    <row r="1596" spans="1:18" x14ac:dyDescent="0.3">
      <c r="A1596" s="4" t="s">
        <v>47</v>
      </c>
      <c r="B1596" s="5" t="s">
        <v>1178</v>
      </c>
      <c r="C1596">
        <v>99.122968</v>
      </c>
      <c r="D1596">
        <v>108.818381</v>
      </c>
      <c r="E1596">
        <v>1</v>
      </c>
      <c r="F1596">
        <v>1</v>
      </c>
      <c r="G1596">
        <v>0.26100000000000001</v>
      </c>
      <c r="H1596">
        <v>0</v>
      </c>
      <c r="I1596" t="s">
        <v>0</v>
      </c>
      <c r="J1596" t="s">
        <v>59</v>
      </c>
      <c r="K1596">
        <v>0</v>
      </c>
      <c r="L1596" t="s">
        <v>60</v>
      </c>
      <c r="M1596">
        <v>1</v>
      </c>
      <c r="N1596" t="s">
        <v>67</v>
      </c>
      <c r="O1596" s="2">
        <v>0.55347222222222225</v>
      </c>
      <c r="P1596">
        <f>-0.0048318973*3600</f>
        <v>-17.394830279999997</v>
      </c>
      <c r="Q1596">
        <f>-0.0041322225*3600</f>
        <v>-14.876001</v>
      </c>
    </row>
    <row r="1597" spans="1:18" x14ac:dyDescent="0.3">
      <c r="A1597" s="4" t="s">
        <v>47</v>
      </c>
      <c r="B1597" s="5" t="s">
        <v>1179</v>
      </c>
      <c r="C1597">
        <v>99.123731000000006</v>
      </c>
      <c r="D1597">
        <v>108.818209</v>
      </c>
      <c r="E1597">
        <v>1</v>
      </c>
      <c r="F1597">
        <v>1</v>
      </c>
      <c r="G1597">
        <v>0.26100000000000001</v>
      </c>
      <c r="H1597">
        <v>0</v>
      </c>
      <c r="I1597" t="s">
        <v>0</v>
      </c>
      <c r="J1597" t="s">
        <v>59</v>
      </c>
      <c r="K1597">
        <v>0</v>
      </c>
      <c r="L1597" t="s">
        <v>60</v>
      </c>
      <c r="M1597">
        <v>1</v>
      </c>
      <c r="N1597" t="s">
        <v>67</v>
      </c>
      <c r="O1597" s="2">
        <v>0.55347222222222225</v>
      </c>
      <c r="P1597">
        <f>-0.0048495932*3600</f>
        <v>-17.458535520000002</v>
      </c>
      <c r="Q1597">
        <f>-0.0043120729*3600</f>
        <v>-15.523462439999999</v>
      </c>
    </row>
    <row r="1598" spans="1:18" x14ac:dyDescent="0.3">
      <c r="A1598" s="4" t="s">
        <v>47</v>
      </c>
      <c r="B1598" s="5" t="s">
        <v>1180</v>
      </c>
      <c r="C1598">
        <v>99.122998999999993</v>
      </c>
      <c r="D1598">
        <v>108.818366</v>
      </c>
      <c r="E1598">
        <v>1</v>
      </c>
      <c r="F1598">
        <v>1</v>
      </c>
      <c r="G1598">
        <v>0.26100000000000001</v>
      </c>
      <c r="H1598">
        <v>0</v>
      </c>
      <c r="I1598" t="s">
        <v>0</v>
      </c>
      <c r="J1598" t="s">
        <v>59</v>
      </c>
      <c r="K1598">
        <v>0</v>
      </c>
      <c r="L1598" t="s">
        <v>60</v>
      </c>
      <c r="M1598">
        <v>1</v>
      </c>
      <c r="N1598" t="s">
        <v>67</v>
      </c>
      <c r="O1598" s="2">
        <v>0.55347222222222225</v>
      </c>
      <c r="P1598">
        <f>-0.0050161604*3600</f>
        <v>-18.058177439999998</v>
      </c>
      <c r="Q1598">
        <f>-0.0041422003*3600</f>
        <v>-14.911921080000001</v>
      </c>
    </row>
    <row r="1599" spans="1:18" x14ac:dyDescent="0.3">
      <c r="A1599" s="4" t="s">
        <v>47</v>
      </c>
      <c r="B1599" s="5" t="s">
        <v>1181</v>
      </c>
      <c r="C1599">
        <v>99.123363999999995</v>
      </c>
      <c r="D1599">
        <v>108.81821600000001</v>
      </c>
      <c r="E1599">
        <v>1</v>
      </c>
      <c r="F1599">
        <v>1</v>
      </c>
      <c r="G1599">
        <v>0.26100000000000001</v>
      </c>
      <c r="H1599">
        <v>0</v>
      </c>
      <c r="I1599" t="s">
        <v>0</v>
      </c>
      <c r="J1599" t="s">
        <v>59</v>
      </c>
      <c r="K1599">
        <v>0</v>
      </c>
      <c r="L1599" t="s">
        <v>60</v>
      </c>
      <c r="M1599">
        <v>1</v>
      </c>
      <c r="N1599" t="s">
        <v>67</v>
      </c>
      <c r="O1599" s="2">
        <v>0.55347222222222225</v>
      </c>
      <c r="P1599">
        <f>-0.0052075964*3600</f>
        <v>-18.747347040000001</v>
      </c>
      <c r="Q1599">
        <f>-0.004284519*3600</f>
        <v>-15.424268399999999</v>
      </c>
    </row>
    <row r="1600" spans="1:18" x14ac:dyDescent="0.3">
      <c r="A1600" s="4" t="s">
        <v>47</v>
      </c>
      <c r="B1600" s="5" t="s">
        <v>1182</v>
      </c>
      <c r="C1600">
        <v>99.123202000000006</v>
      </c>
      <c r="D1600">
        <v>108.818219</v>
      </c>
      <c r="E1600">
        <v>1</v>
      </c>
      <c r="F1600">
        <v>1</v>
      </c>
      <c r="G1600">
        <v>0.26100000000000001</v>
      </c>
      <c r="H1600">
        <v>0</v>
      </c>
      <c r="I1600" t="s">
        <v>0</v>
      </c>
      <c r="J1600" t="s">
        <v>59</v>
      </c>
      <c r="K1600">
        <v>0</v>
      </c>
      <c r="L1600" t="s">
        <v>60</v>
      </c>
      <c r="M1600">
        <v>1</v>
      </c>
      <c r="N1600" t="s">
        <v>67</v>
      </c>
      <c r="O1600" s="2">
        <v>0.55347222222222225</v>
      </c>
      <c r="P1600">
        <f>-0.0052598718*3600</f>
        <v>-18.935538479999998</v>
      </c>
      <c r="Q1600">
        <f>-0.0042508023*3600</f>
        <v>-15.302888280000001</v>
      </c>
    </row>
    <row r="1601" spans="1:17" x14ac:dyDescent="0.3">
      <c r="A1601" s="4" t="s">
        <v>47</v>
      </c>
      <c r="B1601" s="5" t="s">
        <v>1183</v>
      </c>
      <c r="C1601">
        <v>99.123332000000005</v>
      </c>
      <c r="D1601">
        <v>108.818298</v>
      </c>
      <c r="E1601">
        <v>1</v>
      </c>
      <c r="F1601">
        <v>1</v>
      </c>
      <c r="G1601">
        <v>0.26100000000000001</v>
      </c>
      <c r="H1601">
        <v>0</v>
      </c>
      <c r="I1601" t="s">
        <v>0</v>
      </c>
      <c r="J1601" t="s">
        <v>59</v>
      </c>
      <c r="K1601">
        <v>0</v>
      </c>
      <c r="L1601" t="s">
        <v>60</v>
      </c>
      <c r="M1601">
        <v>1</v>
      </c>
      <c r="N1601" t="s">
        <v>67</v>
      </c>
      <c r="O1601" s="2">
        <v>0.55347222222222225</v>
      </c>
      <c r="P1601">
        <f>-0.005223445*3600</f>
        <v>-18.804402</v>
      </c>
      <c r="Q1601">
        <f>-0.0041764464*3600</f>
        <v>-15.035207039999998</v>
      </c>
    </row>
    <row r="1602" spans="1:17" x14ac:dyDescent="0.3">
      <c r="A1602" s="4" t="s">
        <v>47</v>
      </c>
      <c r="B1602" s="5" t="s">
        <v>1184</v>
      </c>
      <c r="C1602">
        <v>99.123724999999993</v>
      </c>
      <c r="D1602">
        <v>108.818344</v>
      </c>
      <c r="E1602">
        <v>1</v>
      </c>
      <c r="F1602">
        <v>1</v>
      </c>
      <c r="G1602">
        <v>0.26100000000000001</v>
      </c>
      <c r="H1602">
        <v>0</v>
      </c>
      <c r="I1602" t="s">
        <v>0</v>
      </c>
      <c r="J1602" t="s">
        <v>59</v>
      </c>
      <c r="K1602">
        <v>0</v>
      </c>
      <c r="L1602" t="s">
        <v>60</v>
      </c>
      <c r="M1602">
        <v>1</v>
      </c>
      <c r="N1602" t="s">
        <v>67</v>
      </c>
      <c r="O1602" s="2">
        <v>0.55347222222222225</v>
      </c>
      <c r="P1602">
        <f>-0.0050810859*3600</f>
        <v>-18.291909239999999</v>
      </c>
      <c r="Q1602">
        <f>-0.0041275258*3600</f>
        <v>-14.85909288</v>
      </c>
    </row>
    <row r="1603" spans="1:17" x14ac:dyDescent="0.3">
      <c r="A1603" s="4" t="s">
        <v>47</v>
      </c>
      <c r="B1603" s="5" t="s">
        <v>1185</v>
      </c>
      <c r="C1603">
        <v>99.123686000000006</v>
      </c>
      <c r="D1603">
        <v>108.818172</v>
      </c>
      <c r="E1603">
        <v>1</v>
      </c>
      <c r="F1603">
        <v>1</v>
      </c>
      <c r="G1603">
        <v>0.26100000000000001</v>
      </c>
      <c r="H1603">
        <v>0</v>
      </c>
      <c r="I1603" t="s">
        <v>0</v>
      </c>
      <c r="J1603" t="s">
        <v>59</v>
      </c>
      <c r="K1603">
        <v>0</v>
      </c>
      <c r="L1603" t="s">
        <v>60</v>
      </c>
      <c r="M1603">
        <v>1</v>
      </c>
      <c r="N1603" t="s">
        <v>67</v>
      </c>
      <c r="O1603" s="2">
        <v>0.55347222222222225</v>
      </c>
      <c r="P1603">
        <f>-0.005074515*3600</f>
        <v>-18.268253999999999</v>
      </c>
      <c r="Q1603">
        <f>-0.0042508422*3600</f>
        <v>-15.303031920000002</v>
      </c>
    </row>
    <row r="1604" spans="1:17" x14ac:dyDescent="0.3">
      <c r="A1604" s="4" t="s">
        <v>47</v>
      </c>
      <c r="B1604" s="5" t="s">
        <v>1186</v>
      </c>
      <c r="C1604">
        <v>99.124277000000006</v>
      </c>
      <c r="D1604">
        <v>108.818195</v>
      </c>
      <c r="E1604">
        <v>1</v>
      </c>
      <c r="F1604">
        <v>1</v>
      </c>
      <c r="G1604">
        <v>0.26100000000000001</v>
      </c>
      <c r="H1604">
        <v>0</v>
      </c>
      <c r="I1604" t="s">
        <v>0</v>
      </c>
      <c r="J1604" t="s">
        <v>59</v>
      </c>
      <c r="K1604">
        <v>0</v>
      </c>
      <c r="L1604" t="s">
        <v>60</v>
      </c>
      <c r="M1604">
        <v>1</v>
      </c>
      <c r="N1604" t="s">
        <v>67</v>
      </c>
      <c r="O1604" s="2">
        <v>0.55347222222222225</v>
      </c>
      <c r="P1604">
        <f>-0.0051690559*3600</f>
        <v>-18.608601240000002</v>
      </c>
      <c r="Q1604">
        <f>-0.0042342215*3600</f>
        <v>-15.243197400000001</v>
      </c>
    </row>
    <row r="1605" spans="1:17" x14ac:dyDescent="0.3">
      <c r="A1605" s="4" t="s">
        <v>47</v>
      </c>
      <c r="B1605" s="5" t="s">
        <v>1187</v>
      </c>
      <c r="C1605">
        <v>99.12406</v>
      </c>
      <c r="D1605">
        <v>108.818197</v>
      </c>
      <c r="E1605">
        <v>1</v>
      </c>
      <c r="F1605">
        <v>1</v>
      </c>
      <c r="G1605">
        <v>0.26100000000000001</v>
      </c>
      <c r="H1605">
        <v>0</v>
      </c>
      <c r="I1605" t="s">
        <v>0</v>
      </c>
      <c r="J1605" t="s">
        <v>59</v>
      </c>
      <c r="K1605">
        <v>0</v>
      </c>
      <c r="L1605" t="s">
        <v>60</v>
      </c>
      <c r="M1605">
        <v>1</v>
      </c>
      <c r="N1605" t="s">
        <v>67</v>
      </c>
      <c r="O1605" s="2">
        <v>0.55347222222222225</v>
      </c>
      <c r="P1605">
        <f>-0.0050506224*3600</f>
        <v>-18.18224064</v>
      </c>
      <c r="Q1605">
        <f>-0.0042397219*3600</f>
        <v>-15.26299884</v>
      </c>
    </row>
    <row r="1606" spans="1:17" x14ac:dyDescent="0.3">
      <c r="A1606" s="4" t="s">
        <v>47</v>
      </c>
      <c r="B1606" s="5" t="s">
        <v>1188</v>
      </c>
      <c r="C1606">
        <v>99.122909000000007</v>
      </c>
      <c r="D1606">
        <v>108.81822099999999</v>
      </c>
      <c r="E1606">
        <v>1</v>
      </c>
      <c r="F1606">
        <v>1</v>
      </c>
      <c r="G1606">
        <v>0.26100000000000001</v>
      </c>
      <c r="H1606">
        <v>0</v>
      </c>
      <c r="I1606" t="s">
        <v>0</v>
      </c>
      <c r="J1606" t="s">
        <v>59</v>
      </c>
      <c r="K1606">
        <v>0</v>
      </c>
      <c r="L1606" t="s">
        <v>60</v>
      </c>
      <c r="M1606">
        <v>1</v>
      </c>
      <c r="N1606" t="s">
        <v>67</v>
      </c>
      <c r="O1606" s="2">
        <v>0.55347222222222225</v>
      </c>
      <c r="P1606">
        <f>-0.0051296071*3600</f>
        <v>-18.466585559999999</v>
      </c>
      <c r="Q1606">
        <f>-0.0041807886*3600</f>
        <v>-15.050838959999998</v>
      </c>
    </row>
    <row r="1607" spans="1:17" x14ac:dyDescent="0.3">
      <c r="A1607" s="4" t="s">
        <v>47</v>
      </c>
      <c r="B1607" s="5" t="s">
        <v>1189</v>
      </c>
      <c r="C1607">
        <v>99.123705000000001</v>
      </c>
      <c r="D1607">
        <v>108.818269</v>
      </c>
      <c r="E1607">
        <v>1</v>
      </c>
      <c r="F1607">
        <v>1</v>
      </c>
      <c r="G1607">
        <v>0.26100000000000001</v>
      </c>
      <c r="H1607">
        <v>0</v>
      </c>
      <c r="I1607" t="s">
        <v>0</v>
      </c>
      <c r="J1607" t="s">
        <v>59</v>
      </c>
      <c r="K1607">
        <v>0</v>
      </c>
      <c r="L1607" t="s">
        <v>60</v>
      </c>
      <c r="M1607">
        <v>1</v>
      </c>
      <c r="N1607" t="s">
        <v>67</v>
      </c>
      <c r="O1607" s="2">
        <v>0.55347222222222225</v>
      </c>
      <c r="P1607">
        <f>-0.0050346992*3600</f>
        <v>-18.124917119999999</v>
      </c>
      <c r="Q1607">
        <f>-0.0041302686*3600</f>
        <v>-14.868966959999998</v>
      </c>
    </row>
    <row r="1608" spans="1:17" x14ac:dyDescent="0.3">
      <c r="A1608" s="4" t="s">
        <v>47</v>
      </c>
      <c r="B1608" s="5" t="s">
        <v>1190</v>
      </c>
      <c r="C1608">
        <v>99.122895999999997</v>
      </c>
      <c r="D1608">
        <v>108.818162</v>
      </c>
      <c r="E1608">
        <v>1</v>
      </c>
      <c r="F1608">
        <v>1</v>
      </c>
      <c r="G1608">
        <v>0.26100000000000001</v>
      </c>
      <c r="H1608">
        <v>0</v>
      </c>
      <c r="I1608" t="s">
        <v>0</v>
      </c>
      <c r="J1608" t="s">
        <v>59</v>
      </c>
      <c r="K1608">
        <v>0</v>
      </c>
      <c r="L1608" t="s">
        <v>60</v>
      </c>
      <c r="M1608">
        <v>1</v>
      </c>
      <c r="N1608" t="s">
        <v>67</v>
      </c>
      <c r="O1608" s="2">
        <v>0.55347222222222225</v>
      </c>
      <c r="P1608">
        <f>-0.0049905946*3600</f>
        <v>-17.966140559999999</v>
      </c>
      <c r="Q1608">
        <f>-0.0042070054*3600</f>
        <v>-15.14521944</v>
      </c>
    </row>
    <row r="1609" spans="1:17" x14ac:dyDescent="0.3">
      <c r="A1609" s="4" t="s">
        <v>47</v>
      </c>
      <c r="B1609" s="5" t="s">
        <v>1191</v>
      </c>
      <c r="C1609">
        <v>99.123053999999996</v>
      </c>
      <c r="D1609">
        <v>108.817356</v>
      </c>
      <c r="E1609">
        <v>1</v>
      </c>
      <c r="F1609">
        <v>1</v>
      </c>
      <c r="G1609">
        <v>0.26100000000000001</v>
      </c>
      <c r="H1609">
        <v>0</v>
      </c>
      <c r="I1609" t="s">
        <v>0</v>
      </c>
      <c r="J1609" t="s">
        <v>59</v>
      </c>
      <c r="K1609">
        <v>0</v>
      </c>
      <c r="L1609" t="s">
        <v>60</v>
      </c>
      <c r="M1609">
        <v>1</v>
      </c>
      <c r="N1609" t="s">
        <v>67</v>
      </c>
      <c r="O1609" s="2">
        <v>0.55347222222222225</v>
      </c>
      <c r="P1609">
        <f>-0.0047236593*3600</f>
        <v>-17.00517348</v>
      </c>
      <c r="Q1609">
        <f>-0.0050127872*3600</f>
        <v>-18.046033920000003</v>
      </c>
    </row>
    <row r="1610" spans="1:17" x14ac:dyDescent="0.3">
      <c r="A1610" s="4" t="s">
        <v>47</v>
      </c>
      <c r="B1610" s="5" t="s">
        <v>1192</v>
      </c>
      <c r="C1610">
        <v>99.123006000000004</v>
      </c>
      <c r="D1610">
        <v>108.817319</v>
      </c>
      <c r="E1610">
        <v>1</v>
      </c>
      <c r="F1610">
        <v>1</v>
      </c>
      <c r="G1610">
        <v>0.26100000000000001</v>
      </c>
      <c r="H1610">
        <v>0</v>
      </c>
      <c r="I1610" t="s">
        <v>0</v>
      </c>
      <c r="J1610" t="s">
        <v>59</v>
      </c>
      <c r="K1610">
        <v>0</v>
      </c>
      <c r="L1610" t="s">
        <v>60</v>
      </c>
      <c r="M1610">
        <v>1</v>
      </c>
      <c r="N1610" t="s">
        <v>67</v>
      </c>
      <c r="O1610" s="2">
        <v>0.55347222222222225</v>
      </c>
      <c r="P1610">
        <f>-0.0046185106*3600</f>
        <v>-16.626638160000002</v>
      </c>
      <c r="Q1610">
        <f>-0.0050388732*3600</f>
        <v>-18.139943519999999</v>
      </c>
    </row>
    <row r="1611" spans="1:17" x14ac:dyDescent="0.3">
      <c r="A1611" s="4" t="s">
        <v>47</v>
      </c>
      <c r="B1611" s="5" t="s">
        <v>1193</v>
      </c>
      <c r="C1611">
        <v>99.123119000000003</v>
      </c>
      <c r="D1611">
        <v>108.81724199999999</v>
      </c>
      <c r="E1611">
        <v>1</v>
      </c>
      <c r="F1611">
        <v>1</v>
      </c>
      <c r="G1611">
        <v>0.26100000000000001</v>
      </c>
      <c r="H1611">
        <v>0</v>
      </c>
      <c r="I1611" t="s">
        <v>0</v>
      </c>
      <c r="J1611" t="s">
        <v>59</v>
      </c>
      <c r="K1611">
        <v>0</v>
      </c>
      <c r="L1611" t="s">
        <v>60</v>
      </c>
      <c r="M1611">
        <v>1</v>
      </c>
      <c r="N1611" t="s">
        <v>67</v>
      </c>
      <c r="O1611" s="2">
        <v>0.55347222222222225</v>
      </c>
      <c r="P1611">
        <f>-0.0046211657*3600</f>
        <v>-16.636196519999999</v>
      </c>
      <c r="Q1611">
        <f>-0.0051308204*3600</f>
        <v>-18.470953439999999</v>
      </c>
    </row>
    <row r="1612" spans="1:17" x14ac:dyDescent="0.3">
      <c r="A1612" s="4" t="s">
        <v>47</v>
      </c>
      <c r="B1612" s="5" t="s">
        <v>1194</v>
      </c>
      <c r="C1612">
        <v>99.122979000000001</v>
      </c>
      <c r="D1612">
        <v>108.817369</v>
      </c>
      <c r="E1612">
        <v>1</v>
      </c>
      <c r="F1612">
        <v>1</v>
      </c>
      <c r="G1612">
        <v>0.26100000000000001</v>
      </c>
      <c r="H1612">
        <v>0</v>
      </c>
      <c r="I1612" t="s">
        <v>0</v>
      </c>
      <c r="J1612" t="s">
        <v>59</v>
      </c>
      <c r="K1612">
        <v>0</v>
      </c>
      <c r="L1612" t="s">
        <v>60</v>
      </c>
      <c r="M1612">
        <v>1</v>
      </c>
      <c r="N1612" t="s">
        <v>67</v>
      </c>
      <c r="O1612" s="2">
        <v>0.55347222222222225</v>
      </c>
      <c r="P1612">
        <f>-0.0045859183*3600</f>
        <v>-16.509305879999999</v>
      </c>
      <c r="Q1612">
        <f>-0.0049750099*3600</f>
        <v>-17.91003564</v>
      </c>
    </row>
    <row r="1613" spans="1:17" x14ac:dyDescent="0.3">
      <c r="A1613" s="4" t="s">
        <v>47</v>
      </c>
      <c r="B1613" s="5" t="s">
        <v>1195</v>
      </c>
      <c r="C1613">
        <v>99.123586000000003</v>
      </c>
      <c r="D1613">
        <v>108.81733</v>
      </c>
      <c r="E1613">
        <v>1</v>
      </c>
      <c r="F1613">
        <v>1</v>
      </c>
      <c r="G1613">
        <v>0.26100000000000001</v>
      </c>
      <c r="H1613">
        <v>0</v>
      </c>
      <c r="I1613" t="s">
        <v>0</v>
      </c>
      <c r="J1613" t="s">
        <v>59</v>
      </c>
      <c r="K1613">
        <v>0</v>
      </c>
      <c r="L1613" t="s">
        <v>60</v>
      </c>
      <c r="M1613">
        <v>1</v>
      </c>
      <c r="N1613" t="s">
        <v>67</v>
      </c>
      <c r="O1613" s="2">
        <v>0.55347222222222225</v>
      </c>
      <c r="P1613">
        <f>-0.0045521848*3600</f>
        <v>-16.38786528</v>
      </c>
      <c r="Q1613">
        <f>-0.0049958256*3600</f>
        <v>-17.984972159999998</v>
      </c>
    </row>
    <row r="1614" spans="1:17" x14ac:dyDescent="0.3">
      <c r="A1614" s="4" t="s">
        <v>47</v>
      </c>
      <c r="B1614" s="5" t="s">
        <v>1196</v>
      </c>
      <c r="C1614">
        <v>99.123776000000007</v>
      </c>
      <c r="D1614">
        <v>108.81727600000001</v>
      </c>
      <c r="E1614">
        <v>1</v>
      </c>
      <c r="F1614">
        <v>1</v>
      </c>
      <c r="G1614">
        <v>0.26100000000000001</v>
      </c>
      <c r="H1614">
        <v>0</v>
      </c>
      <c r="I1614" t="s">
        <v>0</v>
      </c>
      <c r="J1614" t="s">
        <v>59</v>
      </c>
      <c r="K1614">
        <v>0</v>
      </c>
      <c r="L1614" t="s">
        <v>60</v>
      </c>
      <c r="M1614">
        <v>1</v>
      </c>
      <c r="N1614" t="s">
        <v>67</v>
      </c>
      <c r="O1614" s="2">
        <v>0.55347222222222225</v>
      </c>
      <c r="P1614">
        <f>-0.0046068006*3600</f>
        <v>-16.58448216</v>
      </c>
      <c r="Q1614">
        <f>-0.0050496971*3600</f>
        <v>-18.178909560000001</v>
      </c>
    </row>
    <row r="1615" spans="1:17" x14ac:dyDescent="0.3">
      <c r="A1615" s="4" t="s">
        <v>47</v>
      </c>
      <c r="B1615" s="5" t="s">
        <v>1197</v>
      </c>
      <c r="C1615">
        <v>99.123748000000006</v>
      </c>
      <c r="D1615">
        <v>108.81733800000001</v>
      </c>
      <c r="E1615">
        <v>1</v>
      </c>
      <c r="F1615">
        <v>1</v>
      </c>
      <c r="G1615">
        <v>0.26100000000000001</v>
      </c>
      <c r="H1615">
        <v>0</v>
      </c>
      <c r="I1615" t="s">
        <v>0</v>
      </c>
      <c r="J1615" t="s">
        <v>59</v>
      </c>
      <c r="K1615">
        <v>0</v>
      </c>
      <c r="L1615" t="s">
        <v>60</v>
      </c>
      <c r="M1615">
        <v>1</v>
      </c>
      <c r="N1615" t="s">
        <v>67</v>
      </c>
      <c r="O1615" s="2">
        <v>0.55347222222222225</v>
      </c>
      <c r="P1615">
        <f>-0.0046322731*3600</f>
        <v>-16.676183159999997</v>
      </c>
      <c r="Q1615">
        <f>-0.0050111108*3600</f>
        <v>-18.039998880000002</v>
      </c>
    </row>
    <row r="1616" spans="1:17" x14ac:dyDescent="0.3">
      <c r="A1616" s="4" t="s">
        <v>47</v>
      </c>
      <c r="B1616" s="5" t="s">
        <v>1198</v>
      </c>
      <c r="C1616">
        <v>99.12303</v>
      </c>
      <c r="D1616">
        <v>108.81722600000001</v>
      </c>
      <c r="E1616">
        <v>1</v>
      </c>
      <c r="F1616">
        <v>1</v>
      </c>
      <c r="G1616">
        <v>0.26100000000000001</v>
      </c>
      <c r="H1616">
        <v>0</v>
      </c>
      <c r="I1616" t="s">
        <v>0</v>
      </c>
      <c r="J1616" t="s">
        <v>59</v>
      </c>
      <c r="K1616">
        <v>0</v>
      </c>
      <c r="L1616" t="s">
        <v>60</v>
      </c>
      <c r="M1616">
        <v>1</v>
      </c>
      <c r="N1616" t="s">
        <v>67</v>
      </c>
      <c r="O1616" s="2">
        <v>0.5541666666666667</v>
      </c>
      <c r="P1616">
        <f>-0.0046148858*3600</f>
        <v>-16.613588880000002</v>
      </c>
      <c r="Q1616">
        <f>-0.0050848269*3600</f>
        <v>-18.305376839999997</v>
      </c>
    </row>
    <row r="1617" spans="1:17" x14ac:dyDescent="0.3">
      <c r="A1617" s="4" t="s">
        <v>47</v>
      </c>
      <c r="B1617" s="5" t="s">
        <v>1199</v>
      </c>
      <c r="C1617">
        <v>99.123153000000002</v>
      </c>
      <c r="D1617">
        <v>108.817261</v>
      </c>
      <c r="E1617">
        <v>1</v>
      </c>
      <c r="F1617">
        <v>1</v>
      </c>
      <c r="G1617">
        <v>0.26100000000000001</v>
      </c>
      <c r="H1617">
        <v>0</v>
      </c>
      <c r="I1617" t="s">
        <v>0</v>
      </c>
      <c r="J1617" t="s">
        <v>59</v>
      </c>
      <c r="K1617">
        <v>0</v>
      </c>
      <c r="L1617" t="s">
        <v>60</v>
      </c>
      <c r="M1617">
        <v>1</v>
      </c>
      <c r="N1617" t="s">
        <v>67</v>
      </c>
      <c r="O1617" s="2">
        <v>0.5541666666666667</v>
      </c>
      <c r="P1617">
        <f>-0.0045708475*3600</f>
        <v>-16.455051000000001</v>
      </c>
      <c r="Q1617">
        <f>-0.0050540442*3600</f>
        <v>-18.194559120000001</v>
      </c>
    </row>
    <row r="1618" spans="1:17" x14ac:dyDescent="0.3">
      <c r="A1618" s="4" t="s">
        <v>47</v>
      </c>
      <c r="B1618" s="5" t="s">
        <v>1200</v>
      </c>
      <c r="C1618">
        <v>99.124003999999999</v>
      </c>
      <c r="D1618">
        <v>108.81727600000001</v>
      </c>
      <c r="E1618">
        <v>1</v>
      </c>
      <c r="F1618">
        <v>1</v>
      </c>
      <c r="G1618">
        <v>0.26100000000000001</v>
      </c>
      <c r="H1618">
        <v>0</v>
      </c>
      <c r="I1618" t="s">
        <v>0</v>
      </c>
      <c r="J1618" t="s">
        <v>59</v>
      </c>
      <c r="K1618">
        <v>0</v>
      </c>
      <c r="L1618" t="s">
        <v>60</v>
      </c>
      <c r="M1618">
        <v>1</v>
      </c>
      <c r="N1618" t="s">
        <v>67</v>
      </c>
      <c r="O1618" s="2">
        <v>0.5541666666666667</v>
      </c>
      <c r="P1618">
        <f>-0.0045091065*3600</f>
        <v>-16.232783400000002</v>
      </c>
      <c r="Q1618">
        <f>-0.0050623677*3600</f>
        <v>-18.224523720000001</v>
      </c>
    </row>
    <row r="1619" spans="1:17" x14ac:dyDescent="0.3">
      <c r="A1619" s="4" t="s">
        <v>47</v>
      </c>
      <c r="B1619" s="5" t="s">
        <v>1201</v>
      </c>
      <c r="C1619">
        <v>99.123621</v>
      </c>
      <c r="D1619">
        <v>108.817341</v>
      </c>
      <c r="E1619">
        <v>1</v>
      </c>
      <c r="F1619">
        <v>1</v>
      </c>
      <c r="G1619">
        <v>0.26100000000000001</v>
      </c>
      <c r="H1619">
        <v>0</v>
      </c>
      <c r="I1619" t="s">
        <v>0</v>
      </c>
      <c r="J1619" t="s">
        <v>59</v>
      </c>
      <c r="K1619">
        <v>0</v>
      </c>
      <c r="L1619" t="s">
        <v>60</v>
      </c>
      <c r="M1619">
        <v>1</v>
      </c>
      <c r="N1619" t="s">
        <v>67</v>
      </c>
      <c r="O1619" s="2">
        <v>0.5541666666666667</v>
      </c>
      <c r="P1619">
        <f>-0.0046298186*3600</f>
        <v>-16.66734696</v>
      </c>
      <c r="Q1619">
        <f>-0.0049730108*3600</f>
        <v>-17.902838880000001</v>
      </c>
    </row>
    <row r="1620" spans="1:17" x14ac:dyDescent="0.3">
      <c r="A1620" s="4" t="s">
        <v>47</v>
      </c>
      <c r="B1620" s="5" t="s">
        <v>1202</v>
      </c>
      <c r="C1620">
        <v>99.123311000000001</v>
      </c>
      <c r="D1620">
        <v>108.817238</v>
      </c>
      <c r="E1620">
        <v>1</v>
      </c>
      <c r="F1620">
        <v>1</v>
      </c>
      <c r="G1620">
        <v>0.26100000000000001</v>
      </c>
      <c r="H1620">
        <v>0</v>
      </c>
      <c r="I1620" t="s">
        <v>0</v>
      </c>
      <c r="J1620" t="s">
        <v>59</v>
      </c>
      <c r="K1620">
        <v>0</v>
      </c>
      <c r="L1620" t="s">
        <v>60</v>
      </c>
      <c r="M1620">
        <v>1</v>
      </c>
      <c r="N1620" t="s">
        <v>67</v>
      </c>
      <c r="O1620" s="2">
        <v>0.5541666666666667</v>
      </c>
      <c r="P1620">
        <f>-0.0046529387*3600</f>
        <v>-16.75057932</v>
      </c>
      <c r="Q1620">
        <f>-0.0050598736*3600</f>
        <v>-18.215544959999999</v>
      </c>
    </row>
    <row r="1621" spans="1:17" x14ac:dyDescent="0.3">
      <c r="A1621" s="4" t="s">
        <v>47</v>
      </c>
      <c r="B1621" s="5" t="s">
        <v>1203</v>
      </c>
      <c r="C1621">
        <v>99.124656999999999</v>
      </c>
      <c r="D1621">
        <v>108.817386</v>
      </c>
      <c r="E1621">
        <v>1</v>
      </c>
      <c r="F1621">
        <v>1</v>
      </c>
      <c r="G1621">
        <v>0.26100000000000001</v>
      </c>
      <c r="H1621">
        <v>0</v>
      </c>
      <c r="I1621" t="s">
        <v>0</v>
      </c>
      <c r="J1621" t="s">
        <v>59</v>
      </c>
      <c r="K1621">
        <v>0</v>
      </c>
      <c r="L1621" t="s">
        <v>60</v>
      </c>
      <c r="M1621">
        <v>1</v>
      </c>
      <c r="N1621" t="s">
        <v>67</v>
      </c>
      <c r="O1621" s="2">
        <v>0.5541666666666667</v>
      </c>
      <c r="P1621">
        <f>-0.0044995574*3600</f>
        <v>-16.198406639999998</v>
      </c>
      <c r="Q1621">
        <f>-0.0049089153*3600</f>
        <v>-17.672095080000002</v>
      </c>
    </row>
    <row r="1622" spans="1:17" x14ac:dyDescent="0.3">
      <c r="A1622" s="4" t="s">
        <v>47</v>
      </c>
      <c r="B1622" s="5" t="s">
        <v>1204</v>
      </c>
      <c r="C1622">
        <v>99.124050999999994</v>
      </c>
      <c r="D1622">
        <v>108.817745</v>
      </c>
      <c r="E1622">
        <v>1</v>
      </c>
      <c r="F1622">
        <v>1</v>
      </c>
      <c r="G1622">
        <v>0.26100000000000001</v>
      </c>
      <c r="H1622">
        <v>0</v>
      </c>
      <c r="I1622" t="s">
        <v>0</v>
      </c>
      <c r="J1622" t="s">
        <v>59</v>
      </c>
      <c r="K1622">
        <v>0</v>
      </c>
      <c r="L1622" t="s">
        <v>60</v>
      </c>
      <c r="M1622">
        <v>1</v>
      </c>
      <c r="N1622" t="s">
        <v>67</v>
      </c>
      <c r="O1622" s="2">
        <v>0.5541666666666667</v>
      </c>
      <c r="P1622">
        <f>-0.0041078796*3600</f>
        <v>-14.78836656</v>
      </c>
      <c r="Q1622">
        <f>-0.004514169*3600</f>
        <v>-16.2510084</v>
      </c>
    </row>
    <row r="1623" spans="1:17" x14ac:dyDescent="0.3">
      <c r="A1623" s="4" t="s">
        <v>47</v>
      </c>
      <c r="B1623" s="5" t="s">
        <v>1205</v>
      </c>
      <c r="C1623">
        <v>99.124122</v>
      </c>
      <c r="D1623">
        <v>108.817562</v>
      </c>
      <c r="E1623">
        <v>1</v>
      </c>
      <c r="F1623">
        <v>1</v>
      </c>
      <c r="G1623">
        <v>0.26100000000000001</v>
      </c>
      <c r="H1623">
        <v>0</v>
      </c>
      <c r="I1623" t="s">
        <v>0</v>
      </c>
      <c r="J1623" t="s">
        <v>59</v>
      </c>
      <c r="K1623">
        <v>0</v>
      </c>
      <c r="L1623" t="s">
        <v>60</v>
      </c>
      <c r="M1623">
        <v>1</v>
      </c>
      <c r="N1623" t="s">
        <v>67</v>
      </c>
      <c r="O1623" s="2">
        <v>0.5541666666666667</v>
      </c>
      <c r="P1623">
        <f>-0.004279897*3600</f>
        <v>-15.407629200000001</v>
      </c>
      <c r="Q1623">
        <f>-0.0046715264*3600</f>
        <v>-16.817495040000001</v>
      </c>
    </row>
    <row r="1624" spans="1:17" x14ac:dyDescent="0.3">
      <c r="A1624" s="4" t="s">
        <v>47</v>
      </c>
      <c r="B1624" s="5" t="s">
        <v>1206</v>
      </c>
      <c r="C1624">
        <v>99.123839000000004</v>
      </c>
      <c r="D1624">
        <v>108.817375</v>
      </c>
      <c r="E1624">
        <v>1</v>
      </c>
      <c r="F1624">
        <v>1</v>
      </c>
      <c r="G1624">
        <v>0.26100000000000001</v>
      </c>
      <c r="H1624">
        <v>0</v>
      </c>
      <c r="I1624" t="s">
        <v>0</v>
      </c>
      <c r="J1624" t="s">
        <v>59</v>
      </c>
      <c r="K1624">
        <v>0</v>
      </c>
      <c r="L1624" t="s">
        <v>60</v>
      </c>
      <c r="M1624">
        <v>1</v>
      </c>
      <c r="N1624" t="s">
        <v>67</v>
      </c>
      <c r="O1624" s="2">
        <v>0.5541666666666667</v>
      </c>
      <c r="P1624">
        <f>-0.0040448658*3600</f>
        <v>-14.561516880000001</v>
      </c>
      <c r="Q1624">
        <f>-0.0048339491*3600</f>
        <v>-17.402216760000002</v>
      </c>
    </row>
    <row r="1625" spans="1:17" x14ac:dyDescent="0.3">
      <c r="A1625" s="4" t="s">
        <v>47</v>
      </c>
      <c r="B1625" s="5" t="s">
        <v>1207</v>
      </c>
      <c r="C1625">
        <v>99.123326000000006</v>
      </c>
      <c r="D1625">
        <v>108.817398</v>
      </c>
      <c r="E1625">
        <v>1</v>
      </c>
      <c r="F1625">
        <v>1</v>
      </c>
      <c r="G1625">
        <v>0.26100000000000001</v>
      </c>
      <c r="H1625">
        <v>0</v>
      </c>
      <c r="I1625" t="s">
        <v>0</v>
      </c>
      <c r="J1625" t="s">
        <v>59</v>
      </c>
      <c r="K1625">
        <v>0</v>
      </c>
      <c r="L1625" t="s">
        <v>60</v>
      </c>
      <c r="M1625">
        <v>1</v>
      </c>
      <c r="N1625" t="s">
        <v>67</v>
      </c>
      <c r="O1625" s="2">
        <v>0.5541666666666667</v>
      </c>
      <c r="P1625">
        <f>-0.0044616869*3600</f>
        <v>-16.062072839999999</v>
      </c>
      <c r="Q1625">
        <f>-0.0047814322*3600</f>
        <v>-17.213155919999998</v>
      </c>
    </row>
    <row r="1626" spans="1:17" x14ac:dyDescent="0.3">
      <c r="A1626" s="4" t="s">
        <v>47</v>
      </c>
      <c r="B1626" s="5" t="s">
        <v>1208</v>
      </c>
      <c r="C1626">
        <v>99.122454000000005</v>
      </c>
      <c r="D1626">
        <v>108.817128</v>
      </c>
      <c r="E1626">
        <v>1</v>
      </c>
      <c r="F1626">
        <v>1</v>
      </c>
      <c r="G1626">
        <v>0.26100000000000001</v>
      </c>
      <c r="H1626">
        <v>0</v>
      </c>
      <c r="I1626" t="s">
        <v>0</v>
      </c>
      <c r="J1626" t="s">
        <v>59</v>
      </c>
      <c r="K1626">
        <v>0</v>
      </c>
      <c r="L1626" t="s">
        <v>60</v>
      </c>
      <c r="M1626">
        <v>1</v>
      </c>
      <c r="N1626" t="s">
        <v>67</v>
      </c>
      <c r="O1626" s="2">
        <v>0.5541666666666667</v>
      </c>
      <c r="P1626">
        <f>-0.0041977711*3600</f>
        <v>-15.111975960000001</v>
      </c>
      <c r="Q1626">
        <f>-0.0050585352*3600</f>
        <v>-18.21072672</v>
      </c>
    </row>
    <row r="1627" spans="1:17" x14ac:dyDescent="0.3">
      <c r="A1627" s="4" t="s">
        <v>47</v>
      </c>
      <c r="B1627" s="5" t="s">
        <v>1209</v>
      </c>
      <c r="C1627">
        <v>99.123711999999998</v>
      </c>
      <c r="D1627">
        <v>108.817206</v>
      </c>
      <c r="E1627">
        <v>1</v>
      </c>
      <c r="F1627">
        <v>1</v>
      </c>
      <c r="G1627">
        <v>0.26100000000000001</v>
      </c>
      <c r="H1627">
        <v>0</v>
      </c>
      <c r="I1627" t="s">
        <v>0</v>
      </c>
      <c r="J1627" t="s">
        <v>59</v>
      </c>
      <c r="K1627">
        <v>0</v>
      </c>
      <c r="L1627" t="s">
        <v>60</v>
      </c>
      <c r="M1627">
        <v>1</v>
      </c>
      <c r="N1627" t="s">
        <v>67</v>
      </c>
      <c r="O1627" s="2">
        <v>0.5541666666666667</v>
      </c>
      <c r="P1627">
        <f>-0.0046128668*3600</f>
        <v>-16.606320479999997</v>
      </c>
      <c r="Q1627">
        <f>-0.0049850309*3600</f>
        <v>-17.94611124</v>
      </c>
    </row>
    <row r="1628" spans="1:17" x14ac:dyDescent="0.3">
      <c r="A1628" s="4" t="s">
        <v>47</v>
      </c>
      <c r="B1628" s="5" t="s">
        <v>1210</v>
      </c>
      <c r="C1628">
        <v>99.123273999999995</v>
      </c>
      <c r="D1628">
        <v>108.817149</v>
      </c>
      <c r="E1628">
        <v>1</v>
      </c>
      <c r="F1628">
        <v>1</v>
      </c>
      <c r="G1628">
        <v>0.26100000000000001</v>
      </c>
      <c r="H1628">
        <v>0</v>
      </c>
      <c r="I1628" t="s">
        <v>0</v>
      </c>
      <c r="J1628" t="s">
        <v>59</v>
      </c>
      <c r="K1628">
        <v>0</v>
      </c>
      <c r="L1628" t="s">
        <v>60</v>
      </c>
      <c r="M1628">
        <v>1</v>
      </c>
      <c r="N1628" t="s">
        <v>67</v>
      </c>
      <c r="O1628" s="2">
        <v>0.5541666666666667</v>
      </c>
      <c r="P1628">
        <f>-0.0044265083*3600</f>
        <v>-15.935429879999999</v>
      </c>
      <c r="Q1628">
        <f>-0.0050115479*3600</f>
        <v>-18.041572439999999</v>
      </c>
    </row>
    <row r="1629" spans="1:17" x14ac:dyDescent="0.3">
      <c r="A1629" s="4" t="s">
        <v>47</v>
      </c>
      <c r="B1629" s="5" t="s">
        <v>1211</v>
      </c>
      <c r="C1629">
        <v>99.123721000000003</v>
      </c>
      <c r="D1629">
        <v>108.81711799999999</v>
      </c>
      <c r="E1629">
        <v>1</v>
      </c>
      <c r="F1629">
        <v>1</v>
      </c>
      <c r="G1629">
        <v>0.26100000000000001</v>
      </c>
      <c r="H1629">
        <v>0</v>
      </c>
      <c r="I1629" t="s">
        <v>0</v>
      </c>
      <c r="J1629" t="s">
        <v>59</v>
      </c>
      <c r="K1629">
        <v>0</v>
      </c>
      <c r="L1629" t="s">
        <v>60</v>
      </c>
      <c r="M1629">
        <v>1</v>
      </c>
      <c r="N1629" t="s">
        <v>67</v>
      </c>
      <c r="O1629" s="2">
        <v>0.5541666666666667</v>
      </c>
      <c r="P1629">
        <f>-0.0044677378*3600</f>
        <v>-16.08385608</v>
      </c>
      <c r="Q1629">
        <f>-0.0050547024*3600</f>
        <v>-18.196928639999999</v>
      </c>
    </row>
    <row r="1630" spans="1:17" x14ac:dyDescent="0.3">
      <c r="A1630" s="4" t="s">
        <v>47</v>
      </c>
      <c r="B1630" s="5" t="s">
        <v>1212</v>
      </c>
      <c r="C1630">
        <v>99.122881000000007</v>
      </c>
      <c r="D1630">
        <v>108.817201</v>
      </c>
      <c r="E1630">
        <v>1</v>
      </c>
      <c r="F1630">
        <v>1</v>
      </c>
      <c r="G1630">
        <v>0.26100000000000001</v>
      </c>
      <c r="H1630">
        <v>0</v>
      </c>
      <c r="I1630" t="s">
        <v>0</v>
      </c>
      <c r="J1630" t="s">
        <v>59</v>
      </c>
      <c r="K1630">
        <v>0</v>
      </c>
      <c r="L1630" t="s">
        <v>60</v>
      </c>
      <c r="M1630">
        <v>1</v>
      </c>
      <c r="N1630" t="s">
        <v>67</v>
      </c>
      <c r="O1630" s="2">
        <v>0.5541666666666667</v>
      </c>
      <c r="P1630">
        <f>-0.004495634*3600</f>
        <v>-16.184282400000001</v>
      </c>
      <c r="Q1630">
        <f>-0.0049741133*3600</f>
        <v>-17.906807880000002</v>
      </c>
    </row>
    <row r="1631" spans="1:17" x14ac:dyDescent="0.3">
      <c r="A1631" s="4" t="s">
        <v>47</v>
      </c>
      <c r="B1631" s="5" t="s">
        <v>1213</v>
      </c>
      <c r="C1631">
        <v>99.122656000000006</v>
      </c>
      <c r="D1631">
        <v>108.817241</v>
      </c>
      <c r="E1631">
        <v>1</v>
      </c>
      <c r="F1631">
        <v>1</v>
      </c>
      <c r="G1631">
        <v>0.26100000000000001</v>
      </c>
      <c r="H1631">
        <v>0</v>
      </c>
      <c r="I1631" t="s">
        <v>0</v>
      </c>
      <c r="J1631" t="s">
        <v>59</v>
      </c>
      <c r="K1631">
        <v>0</v>
      </c>
      <c r="L1631" t="s">
        <v>60</v>
      </c>
      <c r="M1631">
        <v>1</v>
      </c>
      <c r="N1631" t="s">
        <v>67</v>
      </c>
      <c r="O1631" s="2">
        <v>0.55486111111111114</v>
      </c>
      <c r="P1631">
        <f>-0.0042543557*3600</f>
        <v>-15.315680520000001</v>
      </c>
      <c r="Q1631">
        <f>-0.0049999398*3600</f>
        <v>-17.999783280000003</v>
      </c>
    </row>
    <row r="1632" spans="1:17" x14ac:dyDescent="0.3">
      <c r="A1632" s="4" t="s">
        <v>47</v>
      </c>
      <c r="B1632" s="5" t="s">
        <v>1214</v>
      </c>
      <c r="C1632">
        <v>99.123839000000004</v>
      </c>
      <c r="D1632">
        <v>108.817183</v>
      </c>
      <c r="E1632">
        <v>1</v>
      </c>
      <c r="F1632">
        <v>1</v>
      </c>
      <c r="G1632">
        <v>0.26100000000000001</v>
      </c>
      <c r="H1632">
        <v>0</v>
      </c>
      <c r="I1632" t="s">
        <v>0</v>
      </c>
      <c r="J1632" t="s">
        <v>59</v>
      </c>
      <c r="K1632">
        <v>0</v>
      </c>
      <c r="L1632" t="s">
        <v>60</v>
      </c>
      <c r="M1632">
        <v>1</v>
      </c>
      <c r="N1632" t="s">
        <v>67</v>
      </c>
      <c r="O1632" s="2">
        <v>0.55486111111111114</v>
      </c>
      <c r="P1632">
        <f>-0.0044416674*3600</f>
        <v>-15.99000264</v>
      </c>
      <c r="Q1632">
        <f>-0.0050235978*3600</f>
        <v>-18.084952079999997</v>
      </c>
    </row>
    <row r="1633" spans="1:17" x14ac:dyDescent="0.3">
      <c r="A1633" s="4" t="s">
        <v>47</v>
      </c>
      <c r="B1633" s="5" t="s">
        <v>1215</v>
      </c>
      <c r="C1633">
        <v>99.124221000000006</v>
      </c>
      <c r="D1633">
        <v>108.817213</v>
      </c>
      <c r="E1633">
        <v>1</v>
      </c>
      <c r="F1633">
        <v>1</v>
      </c>
      <c r="G1633">
        <v>0.26100000000000001</v>
      </c>
      <c r="H1633">
        <v>0</v>
      </c>
      <c r="I1633" t="s">
        <v>0</v>
      </c>
      <c r="J1633" t="s">
        <v>59</v>
      </c>
      <c r="K1633">
        <v>0</v>
      </c>
      <c r="L1633" t="s">
        <v>60</v>
      </c>
      <c r="M1633">
        <v>1</v>
      </c>
      <c r="N1633" t="s">
        <v>67</v>
      </c>
      <c r="O1633" s="2">
        <v>0.55486111111111114</v>
      </c>
      <c r="P1633">
        <f>-0.0044090864*3600</f>
        <v>-15.872711039999999</v>
      </c>
      <c r="Q1633">
        <f>-0.0049669182*3600</f>
        <v>-17.880905519999999</v>
      </c>
    </row>
    <row r="1634" spans="1:17" x14ac:dyDescent="0.3">
      <c r="A1634" s="4" t="s">
        <v>47</v>
      </c>
      <c r="B1634" s="5" t="s">
        <v>1216</v>
      </c>
      <c r="C1634">
        <v>99.123904999999993</v>
      </c>
      <c r="D1634">
        <v>108.81720300000001</v>
      </c>
      <c r="E1634">
        <v>1</v>
      </c>
      <c r="F1634">
        <v>1</v>
      </c>
      <c r="G1634">
        <v>0.26100000000000001</v>
      </c>
      <c r="H1634">
        <v>0</v>
      </c>
      <c r="I1634" t="s">
        <v>0</v>
      </c>
      <c r="J1634" t="s">
        <v>59</v>
      </c>
      <c r="K1634">
        <v>0</v>
      </c>
      <c r="L1634" t="s">
        <v>60</v>
      </c>
      <c r="M1634">
        <v>1</v>
      </c>
      <c r="N1634" t="s">
        <v>67</v>
      </c>
      <c r="O1634" s="2">
        <v>0.55486111111111114</v>
      </c>
      <c r="P1634">
        <f>-0.0044264779*3600</f>
        <v>-15.935320439999998</v>
      </c>
      <c r="Q1634">
        <f>-0.00500635*3600</f>
        <v>-18.022859999999998</v>
      </c>
    </row>
    <row r="1635" spans="1:17" x14ac:dyDescent="0.3">
      <c r="A1635" s="4" t="s">
        <v>47</v>
      </c>
      <c r="B1635" s="5" t="s">
        <v>1217</v>
      </c>
      <c r="C1635">
        <v>99.124243000000007</v>
      </c>
      <c r="D1635">
        <v>108.81740600000001</v>
      </c>
      <c r="E1635">
        <v>1</v>
      </c>
      <c r="F1635">
        <v>1</v>
      </c>
      <c r="G1635">
        <v>0.26100000000000001</v>
      </c>
      <c r="H1635">
        <v>0</v>
      </c>
      <c r="I1635" t="s">
        <v>0</v>
      </c>
      <c r="J1635" t="s">
        <v>59</v>
      </c>
      <c r="K1635">
        <v>0</v>
      </c>
      <c r="L1635" t="s">
        <v>60</v>
      </c>
      <c r="M1635">
        <v>1</v>
      </c>
      <c r="N1635" t="s">
        <v>67</v>
      </c>
      <c r="O1635" s="2">
        <v>0.55486111111111114</v>
      </c>
      <c r="P1635">
        <f>-0.0045632076*3600</f>
        <v>-16.427547359999998</v>
      </c>
      <c r="Q1635">
        <f>-0.0047984614*3600</f>
        <v>-17.274461039999998</v>
      </c>
    </row>
    <row r="1636" spans="1:17" x14ac:dyDescent="0.3">
      <c r="A1636" s="4" t="s">
        <v>47</v>
      </c>
      <c r="B1636" s="5" t="s">
        <v>1218</v>
      </c>
      <c r="C1636">
        <v>99.122592999999995</v>
      </c>
      <c r="D1636">
        <v>108.81711300000001</v>
      </c>
      <c r="E1636">
        <v>1</v>
      </c>
      <c r="F1636">
        <v>1</v>
      </c>
      <c r="G1636">
        <v>0.26100000000000001</v>
      </c>
      <c r="H1636">
        <v>0</v>
      </c>
      <c r="I1636" t="s">
        <v>0</v>
      </c>
      <c r="J1636" t="s">
        <v>59</v>
      </c>
      <c r="K1636">
        <v>0</v>
      </c>
      <c r="L1636" t="s">
        <v>60</v>
      </c>
      <c r="M1636">
        <v>1</v>
      </c>
      <c r="N1636" t="s">
        <v>67</v>
      </c>
      <c r="O1636" s="2">
        <v>0.55486111111111114</v>
      </c>
      <c r="P1636">
        <f>-0.0044067015*3600</f>
        <v>-15.864125399999999</v>
      </c>
      <c r="Q1636">
        <f>-0.0050515391*3600</f>
        <v>-18.185540760000002</v>
      </c>
    </row>
    <row r="1637" spans="1:17" x14ac:dyDescent="0.3">
      <c r="A1637" s="4" t="s">
        <v>47</v>
      </c>
      <c r="B1637" s="5" t="s">
        <v>1219</v>
      </c>
      <c r="C1637">
        <v>99.122630000000001</v>
      </c>
      <c r="D1637">
        <v>108.81734299999999</v>
      </c>
      <c r="E1637">
        <v>1</v>
      </c>
      <c r="F1637">
        <v>1</v>
      </c>
      <c r="G1637">
        <v>0.26100000000000001</v>
      </c>
      <c r="H1637">
        <v>0</v>
      </c>
      <c r="I1637" t="s">
        <v>0</v>
      </c>
      <c r="J1637" t="s">
        <v>59</v>
      </c>
      <c r="K1637">
        <v>0</v>
      </c>
      <c r="L1637" t="s">
        <v>60</v>
      </c>
      <c r="M1637">
        <v>1</v>
      </c>
      <c r="N1637" t="s">
        <v>67</v>
      </c>
      <c r="O1637" s="2">
        <v>0.55486111111111114</v>
      </c>
      <c r="P1637">
        <f>-0.0045666667*3600</f>
        <v>-16.440000120000001</v>
      </c>
      <c r="Q1637">
        <f>-0.0048291684*3600</f>
        <v>-17.385006239999999</v>
      </c>
    </row>
    <row r="1638" spans="1:17" x14ac:dyDescent="0.3">
      <c r="A1638" s="4" t="s">
        <v>47</v>
      </c>
      <c r="B1638" s="5" t="s">
        <v>1220</v>
      </c>
      <c r="C1638">
        <v>99.123510999999993</v>
      </c>
      <c r="D1638">
        <v>108.81744500000001</v>
      </c>
      <c r="E1638">
        <v>1</v>
      </c>
      <c r="F1638">
        <v>1</v>
      </c>
      <c r="G1638">
        <v>0.26100000000000001</v>
      </c>
      <c r="H1638">
        <v>0</v>
      </c>
      <c r="I1638" t="s">
        <v>0</v>
      </c>
      <c r="J1638" t="s">
        <v>59</v>
      </c>
      <c r="K1638">
        <v>0</v>
      </c>
      <c r="L1638" t="s">
        <v>60</v>
      </c>
      <c r="M1638">
        <v>1</v>
      </c>
      <c r="N1638" t="s">
        <v>67</v>
      </c>
      <c r="O1638" s="2">
        <v>0.55486111111111114</v>
      </c>
      <c r="P1638">
        <f>-0.0045354056*3600</f>
        <v>-16.327460160000001</v>
      </c>
      <c r="Q1638">
        <f>-0.0047473571*3600</f>
        <v>-17.090485560000001</v>
      </c>
    </row>
    <row r="1639" spans="1:17" x14ac:dyDescent="0.3">
      <c r="A1639" s="4" t="s">
        <v>47</v>
      </c>
      <c r="B1639" s="5" t="s">
        <v>1221</v>
      </c>
      <c r="C1639">
        <v>99.123751999999996</v>
      </c>
      <c r="D1639">
        <v>108.81759700000001</v>
      </c>
      <c r="E1639">
        <v>1</v>
      </c>
      <c r="F1639">
        <v>1</v>
      </c>
      <c r="G1639">
        <v>0.26100000000000001</v>
      </c>
      <c r="H1639">
        <v>0</v>
      </c>
      <c r="I1639" t="s">
        <v>0</v>
      </c>
      <c r="J1639" t="s">
        <v>59</v>
      </c>
      <c r="K1639">
        <v>0</v>
      </c>
      <c r="L1639" t="s">
        <v>60</v>
      </c>
      <c r="M1639">
        <v>1</v>
      </c>
      <c r="N1639" t="s">
        <v>67</v>
      </c>
      <c r="O1639" s="2">
        <v>0.55486111111111114</v>
      </c>
      <c r="P1639">
        <f>-0.0043880754*3600</f>
        <v>-15.79707144</v>
      </c>
      <c r="Q1639">
        <f>-0.0045843959*3600</f>
        <v>-16.503825239999998</v>
      </c>
    </row>
    <row r="1640" spans="1:17" x14ac:dyDescent="0.3">
      <c r="A1640" s="4" t="s">
        <v>47</v>
      </c>
      <c r="B1640" s="5" t="s">
        <v>1222</v>
      </c>
      <c r="C1640">
        <v>99.123154</v>
      </c>
      <c r="D1640">
        <v>108.81727600000001</v>
      </c>
      <c r="E1640">
        <v>1</v>
      </c>
      <c r="F1640">
        <v>1</v>
      </c>
      <c r="G1640">
        <v>0.26100000000000001</v>
      </c>
      <c r="H1640">
        <v>0</v>
      </c>
      <c r="I1640" t="s">
        <v>0</v>
      </c>
      <c r="J1640" t="s">
        <v>59</v>
      </c>
      <c r="K1640">
        <v>0</v>
      </c>
      <c r="L1640" t="s">
        <v>60</v>
      </c>
      <c r="M1640">
        <v>1</v>
      </c>
      <c r="N1640" t="s">
        <v>67</v>
      </c>
      <c r="O1640" s="2">
        <v>0.55486111111111114</v>
      </c>
      <c r="P1640">
        <f>-0.0043900119*3600</f>
        <v>-15.804042839999999</v>
      </c>
      <c r="Q1640">
        <f>-0.0048830844*3600</f>
        <v>-17.579103840000002</v>
      </c>
    </row>
    <row r="1641" spans="1:17" x14ac:dyDescent="0.3">
      <c r="A1641" s="4" t="s">
        <v>47</v>
      </c>
      <c r="B1641" s="5" t="s">
        <v>1223</v>
      </c>
      <c r="C1641">
        <v>99.123339999999999</v>
      </c>
      <c r="D1641">
        <v>108.81729900000001</v>
      </c>
      <c r="E1641">
        <v>1</v>
      </c>
      <c r="F1641">
        <v>1</v>
      </c>
      <c r="G1641">
        <v>0.26100000000000001</v>
      </c>
      <c r="H1641">
        <v>0</v>
      </c>
      <c r="I1641" t="s">
        <v>0</v>
      </c>
      <c r="J1641" t="s">
        <v>59</v>
      </c>
      <c r="K1641">
        <v>0</v>
      </c>
      <c r="L1641" t="s">
        <v>60</v>
      </c>
      <c r="M1641">
        <v>1</v>
      </c>
      <c r="N1641" t="s">
        <v>67</v>
      </c>
      <c r="O1641" s="2">
        <v>0.55486111111111114</v>
      </c>
      <c r="P1641">
        <f>-0.0043065138*3600</f>
        <v>-15.503449679999999</v>
      </c>
      <c r="Q1641">
        <f>-0.0048559983*3600</f>
        <v>-17.481593879999998</v>
      </c>
    </row>
    <row r="1642" spans="1:17" x14ac:dyDescent="0.3">
      <c r="A1642" s="4" t="s">
        <v>47</v>
      </c>
      <c r="B1642" s="5" t="s">
        <v>1224</v>
      </c>
      <c r="C1642">
        <v>99.122792000000004</v>
      </c>
      <c r="D1642">
        <v>108.817763</v>
      </c>
      <c r="E1642">
        <v>1</v>
      </c>
      <c r="F1642">
        <v>1</v>
      </c>
      <c r="G1642">
        <v>0.26100000000000001</v>
      </c>
      <c r="H1642">
        <v>0</v>
      </c>
      <c r="I1642" t="s">
        <v>0</v>
      </c>
      <c r="J1642" t="s">
        <v>59</v>
      </c>
      <c r="K1642">
        <v>0</v>
      </c>
      <c r="L1642" t="s">
        <v>60</v>
      </c>
      <c r="M1642">
        <v>1</v>
      </c>
      <c r="N1642" t="s">
        <v>67</v>
      </c>
      <c r="O1642" s="2">
        <v>0.55486111111111114</v>
      </c>
      <c r="P1642">
        <f>-0.0040855112*3600</f>
        <v>-14.707840320000001</v>
      </c>
      <c r="Q1642">
        <f>-0.0043729868*3600</f>
        <v>-15.74275248</v>
      </c>
    </row>
    <row r="1643" spans="1:17" x14ac:dyDescent="0.3">
      <c r="A1643" s="4" t="s">
        <v>47</v>
      </c>
      <c r="B1643" s="5" t="s">
        <v>1225</v>
      </c>
      <c r="C1643">
        <v>99.122906999999998</v>
      </c>
      <c r="D1643">
        <v>108.817381</v>
      </c>
      <c r="E1643">
        <v>1</v>
      </c>
      <c r="F1643">
        <v>1</v>
      </c>
      <c r="G1643">
        <v>0.26100000000000001</v>
      </c>
      <c r="H1643">
        <v>0</v>
      </c>
      <c r="I1643" t="s">
        <v>0</v>
      </c>
      <c r="J1643" t="s">
        <v>59</v>
      </c>
      <c r="K1643">
        <v>0</v>
      </c>
      <c r="L1643" t="s">
        <v>60</v>
      </c>
      <c r="M1643">
        <v>1</v>
      </c>
      <c r="N1643" t="s">
        <v>67</v>
      </c>
      <c r="O1643" s="2">
        <v>0.55486111111111114</v>
      </c>
      <c r="P1643">
        <f>-0.0043883337*3600</f>
        <v>-15.798001320000001</v>
      </c>
      <c r="Q1643">
        <f>-0.004735432*3600</f>
        <v>-17.047555200000001</v>
      </c>
    </row>
    <row r="1644" spans="1:17" x14ac:dyDescent="0.3">
      <c r="A1644" s="4" t="s">
        <v>47</v>
      </c>
      <c r="B1644" s="5" t="s">
        <v>1226</v>
      </c>
      <c r="C1644">
        <v>99.123930000000001</v>
      </c>
      <c r="D1644">
        <v>108.81753500000001</v>
      </c>
      <c r="E1644">
        <v>1</v>
      </c>
      <c r="F1644">
        <v>1</v>
      </c>
      <c r="G1644">
        <v>0.26100000000000001</v>
      </c>
      <c r="H1644">
        <v>0</v>
      </c>
      <c r="I1644" t="s">
        <v>0</v>
      </c>
      <c r="J1644" t="s">
        <v>59</v>
      </c>
      <c r="K1644">
        <v>0</v>
      </c>
      <c r="L1644" t="s">
        <v>60</v>
      </c>
      <c r="M1644">
        <v>1</v>
      </c>
      <c r="N1644" t="s">
        <v>67</v>
      </c>
      <c r="O1644" s="2">
        <v>0.55555555555555558</v>
      </c>
      <c r="P1644">
        <f>-0.0044812805*3600</f>
        <v>-16.132609800000001</v>
      </c>
      <c r="Q1644">
        <f>-0.0045595927*3600</f>
        <v>-16.414533720000001</v>
      </c>
    </row>
    <row r="1645" spans="1:17" x14ac:dyDescent="0.3">
      <c r="A1645" s="4" t="s">
        <v>47</v>
      </c>
      <c r="B1645" s="5" t="s">
        <v>1227</v>
      </c>
      <c r="C1645">
        <v>99.122928000000002</v>
      </c>
      <c r="D1645">
        <v>108.817109</v>
      </c>
      <c r="E1645">
        <v>1</v>
      </c>
      <c r="F1645">
        <v>1</v>
      </c>
      <c r="G1645">
        <v>0.26100000000000001</v>
      </c>
      <c r="H1645">
        <v>0</v>
      </c>
      <c r="I1645" t="s">
        <v>0</v>
      </c>
      <c r="J1645" t="s">
        <v>59</v>
      </c>
      <c r="K1645">
        <v>0</v>
      </c>
      <c r="L1645" t="s">
        <v>60</v>
      </c>
      <c r="M1645">
        <v>1</v>
      </c>
      <c r="N1645" t="s">
        <v>67</v>
      </c>
      <c r="O1645" s="2">
        <v>0.55555555555555558</v>
      </c>
      <c r="P1645">
        <f>-0.0046863576*3600</f>
        <v>-16.870887359999998</v>
      </c>
      <c r="Q1645">
        <f>-0.0049844743*3600</f>
        <v>-17.94410748</v>
      </c>
    </row>
    <row r="1646" spans="1:17" x14ac:dyDescent="0.3">
      <c r="A1646" s="4" t="s">
        <v>47</v>
      </c>
      <c r="B1646" s="6" t="s">
        <v>1228</v>
      </c>
      <c r="C1646">
        <v>299.12240500000001</v>
      </c>
      <c r="D1646">
        <v>291.07818700000001</v>
      </c>
      <c r="E1646">
        <v>8.0371000000000006</v>
      </c>
      <c r="F1646">
        <v>7.9568000000000003</v>
      </c>
      <c r="G1646">
        <v>0.26100000000000001</v>
      </c>
      <c r="H1646">
        <v>0</v>
      </c>
      <c r="I1646" t="s">
        <v>0</v>
      </c>
      <c r="J1646" t="s">
        <v>59</v>
      </c>
      <c r="K1646">
        <v>3.4000000000000002E-2</v>
      </c>
      <c r="L1646" t="s">
        <v>60</v>
      </c>
      <c r="M1646">
        <v>1</v>
      </c>
      <c r="N1646" t="s">
        <v>53</v>
      </c>
      <c r="O1646" s="2">
        <v>0.55625000000000002</v>
      </c>
      <c r="P1646">
        <f>0.0033895981*3600</f>
        <v>12.202553160000001</v>
      </c>
      <c r="Q1646">
        <f>0.0040976448*3600</f>
        <v>14.751521280000002</v>
      </c>
    </row>
    <row r="1647" spans="1:17" x14ac:dyDescent="0.3">
      <c r="A1647" s="4" t="s">
        <v>47</v>
      </c>
      <c r="B1647" s="6" t="s">
        <v>1229</v>
      </c>
      <c r="C1647">
        <v>299.12213300000002</v>
      </c>
      <c r="D1647">
        <v>291.18564600000002</v>
      </c>
      <c r="E1647">
        <v>1</v>
      </c>
      <c r="F1647">
        <v>1</v>
      </c>
      <c r="G1647">
        <v>0.26100000000000001</v>
      </c>
      <c r="H1647">
        <v>0</v>
      </c>
      <c r="I1647" t="s">
        <v>0</v>
      </c>
      <c r="J1647" t="s">
        <v>59</v>
      </c>
      <c r="K1647">
        <v>0</v>
      </c>
      <c r="L1647" t="s">
        <v>60</v>
      </c>
      <c r="M1647">
        <v>1</v>
      </c>
      <c r="N1647" t="s">
        <v>67</v>
      </c>
      <c r="O1647" s="2">
        <v>0.55625000000000002</v>
      </c>
      <c r="P1647">
        <f>0.0035478791*3600</f>
        <v>12.77236476</v>
      </c>
      <c r="Q1647">
        <f>0.0040480019*3600</f>
        <v>14.572806839999998</v>
      </c>
    </row>
    <row r="1648" spans="1:17" x14ac:dyDescent="0.3">
      <c r="A1648" s="4" t="s">
        <v>47</v>
      </c>
      <c r="B1648" s="6" t="s">
        <v>1230</v>
      </c>
      <c r="C1648">
        <v>299.122748</v>
      </c>
      <c r="D1648">
        <v>291.18550800000003</v>
      </c>
      <c r="E1648">
        <v>1</v>
      </c>
      <c r="F1648">
        <v>1</v>
      </c>
      <c r="G1648">
        <v>0.26100000000000001</v>
      </c>
      <c r="H1648">
        <v>0</v>
      </c>
      <c r="I1648" t="s">
        <v>0</v>
      </c>
      <c r="J1648" t="s">
        <v>59</v>
      </c>
      <c r="K1648">
        <v>0</v>
      </c>
      <c r="L1648" t="s">
        <v>60</v>
      </c>
      <c r="M1648">
        <v>1</v>
      </c>
      <c r="N1648" t="s">
        <v>67</v>
      </c>
      <c r="O1648" s="2">
        <v>0.55625000000000002</v>
      </c>
      <c r="P1648">
        <f>0.0034664251*3600</f>
        <v>12.479130359999999</v>
      </c>
      <c r="Q1648">
        <f>0.0039464175*3600</f>
        <v>14.207103000000002</v>
      </c>
    </row>
    <row r="1649" spans="1:17" x14ac:dyDescent="0.3">
      <c r="A1649" s="4" t="s">
        <v>47</v>
      </c>
      <c r="B1649" s="6" t="s">
        <v>1231</v>
      </c>
      <c r="C1649">
        <v>299.12256600000001</v>
      </c>
      <c r="D1649">
        <v>291.18570199999999</v>
      </c>
      <c r="E1649">
        <v>1</v>
      </c>
      <c r="F1649">
        <v>1</v>
      </c>
      <c r="G1649">
        <v>0.26100000000000001</v>
      </c>
      <c r="H1649">
        <v>0</v>
      </c>
      <c r="I1649" t="s">
        <v>0</v>
      </c>
      <c r="J1649" t="s">
        <v>59</v>
      </c>
      <c r="K1649">
        <v>0</v>
      </c>
      <c r="L1649" t="s">
        <v>60</v>
      </c>
      <c r="M1649">
        <v>1</v>
      </c>
      <c r="N1649" t="s">
        <v>67</v>
      </c>
      <c r="O1649" s="2">
        <v>0.55625000000000002</v>
      </c>
      <c r="P1649">
        <f>0.0035681259*3600</f>
        <v>12.84525324</v>
      </c>
      <c r="Q1649">
        <f>0.0041576116*3600</f>
        <v>14.967401759999998</v>
      </c>
    </row>
    <row r="1650" spans="1:17" x14ac:dyDescent="0.3">
      <c r="A1650" s="4" t="s">
        <v>47</v>
      </c>
      <c r="B1650" s="6" t="s">
        <v>1232</v>
      </c>
      <c r="C1650">
        <v>299.12276000000003</v>
      </c>
      <c r="D1650">
        <v>291.18560000000002</v>
      </c>
      <c r="E1650">
        <v>1</v>
      </c>
      <c r="F1650">
        <v>1</v>
      </c>
      <c r="G1650">
        <v>0.26100000000000001</v>
      </c>
      <c r="H1650">
        <v>0</v>
      </c>
      <c r="I1650" t="s">
        <v>0</v>
      </c>
      <c r="J1650" t="s">
        <v>59</v>
      </c>
      <c r="K1650">
        <v>0</v>
      </c>
      <c r="L1650" t="s">
        <v>60</v>
      </c>
      <c r="M1650">
        <v>1</v>
      </c>
      <c r="N1650" t="s">
        <v>67</v>
      </c>
      <c r="O1650" s="2">
        <v>0.55625000000000002</v>
      </c>
      <c r="P1650">
        <f>0.0034472384*3600</f>
        <v>12.410058240000001</v>
      </c>
      <c r="Q1650">
        <f>0.0040290979*3600</f>
        <v>14.504752439999999</v>
      </c>
    </row>
    <row r="1651" spans="1:17" x14ac:dyDescent="0.3">
      <c r="A1651" s="4" t="s">
        <v>47</v>
      </c>
      <c r="B1651" s="6" t="s">
        <v>1233</v>
      </c>
      <c r="C1651">
        <v>299.122792</v>
      </c>
      <c r="D1651">
        <v>291.185247</v>
      </c>
      <c r="E1651">
        <v>1</v>
      </c>
      <c r="F1651">
        <v>1</v>
      </c>
      <c r="G1651">
        <v>0.26100000000000001</v>
      </c>
      <c r="H1651">
        <v>0</v>
      </c>
      <c r="I1651" t="s">
        <v>0</v>
      </c>
      <c r="J1651" t="s">
        <v>59</v>
      </c>
      <c r="K1651">
        <v>0</v>
      </c>
      <c r="L1651" t="s">
        <v>60</v>
      </c>
      <c r="M1651">
        <v>1</v>
      </c>
      <c r="N1651" t="s">
        <v>67</v>
      </c>
      <c r="O1651" s="2">
        <v>0.55625000000000002</v>
      </c>
      <c r="P1651">
        <f>0.0034305439*3600</f>
        <v>12.349958040000001</v>
      </c>
      <c r="Q1651">
        <f>0.0036629674*3600</f>
        <v>13.186682640000001</v>
      </c>
    </row>
    <row r="1652" spans="1:17" x14ac:dyDescent="0.3">
      <c r="A1652" s="4" t="s">
        <v>47</v>
      </c>
      <c r="B1652" s="6" t="s">
        <v>1234</v>
      </c>
      <c r="C1652">
        <v>299.122681</v>
      </c>
      <c r="D1652">
        <v>291.18553000000003</v>
      </c>
      <c r="E1652">
        <v>1</v>
      </c>
      <c r="F1652">
        <v>1</v>
      </c>
      <c r="G1652">
        <v>0.26100000000000001</v>
      </c>
      <c r="H1652">
        <v>0</v>
      </c>
      <c r="I1652" t="s">
        <v>0</v>
      </c>
      <c r="J1652" t="s">
        <v>59</v>
      </c>
      <c r="K1652">
        <v>0</v>
      </c>
      <c r="L1652" t="s">
        <v>60</v>
      </c>
      <c r="M1652">
        <v>1</v>
      </c>
      <c r="N1652" t="s">
        <v>67</v>
      </c>
      <c r="O1652" s="2">
        <v>0.55625000000000002</v>
      </c>
      <c r="P1652">
        <f>0.003560856*3600</f>
        <v>12.819081599999999</v>
      </c>
      <c r="Q1652">
        <f>0.0039721904*3600</f>
        <v>14.299885439999999</v>
      </c>
    </row>
    <row r="1653" spans="1:17" x14ac:dyDescent="0.3">
      <c r="A1653" s="4" t="s">
        <v>47</v>
      </c>
      <c r="B1653" s="6" t="s">
        <v>1235</v>
      </c>
      <c r="C1653">
        <v>299.12254000000001</v>
      </c>
      <c r="D1653">
        <v>291.18508200000002</v>
      </c>
      <c r="E1653">
        <v>1</v>
      </c>
      <c r="F1653">
        <v>1</v>
      </c>
      <c r="G1653">
        <v>0.26100000000000001</v>
      </c>
      <c r="H1653">
        <v>0</v>
      </c>
      <c r="I1653" t="s">
        <v>0</v>
      </c>
      <c r="J1653" t="s">
        <v>59</v>
      </c>
      <c r="K1653">
        <v>0</v>
      </c>
      <c r="L1653" t="s">
        <v>60</v>
      </c>
      <c r="M1653">
        <v>1</v>
      </c>
      <c r="N1653" t="s">
        <v>67</v>
      </c>
      <c r="O1653" s="2">
        <v>0.55625000000000002</v>
      </c>
      <c r="P1653">
        <f>0.0035504998*3600</f>
        <v>12.781799280000001</v>
      </c>
      <c r="Q1653">
        <f>0.0035284413*3600</f>
        <v>12.70238868</v>
      </c>
    </row>
    <row r="1654" spans="1:17" x14ac:dyDescent="0.3">
      <c r="A1654" s="4" t="s">
        <v>47</v>
      </c>
      <c r="B1654" s="6" t="s">
        <v>1236</v>
      </c>
      <c r="C1654">
        <v>299.12306899999999</v>
      </c>
      <c r="D1654">
        <v>291.185385</v>
      </c>
      <c r="E1654">
        <v>1</v>
      </c>
      <c r="F1654">
        <v>1</v>
      </c>
      <c r="G1654">
        <v>0.26100000000000001</v>
      </c>
      <c r="H1654">
        <v>0</v>
      </c>
      <c r="I1654" t="s">
        <v>0</v>
      </c>
      <c r="J1654" t="s">
        <v>59</v>
      </c>
      <c r="K1654">
        <v>0</v>
      </c>
      <c r="L1654" t="s">
        <v>60</v>
      </c>
      <c r="M1654">
        <v>1</v>
      </c>
      <c r="N1654" t="s">
        <v>67</v>
      </c>
      <c r="O1654" s="2">
        <v>0.55625000000000002</v>
      </c>
      <c r="P1654">
        <f>0.0034860863*3600</f>
        <v>12.54991068</v>
      </c>
      <c r="Q1654">
        <f>0.0038370019*3600</f>
        <v>13.813206839999999</v>
      </c>
    </row>
    <row r="1655" spans="1:17" x14ac:dyDescent="0.3">
      <c r="A1655" s="4" t="s">
        <v>47</v>
      </c>
      <c r="B1655" s="6" t="s">
        <v>1237</v>
      </c>
      <c r="C1655">
        <v>299.122568</v>
      </c>
      <c r="D1655">
        <v>291.18526800000001</v>
      </c>
      <c r="E1655">
        <v>1</v>
      </c>
      <c r="F1655">
        <v>1</v>
      </c>
      <c r="G1655">
        <v>0.26100000000000001</v>
      </c>
      <c r="H1655">
        <v>0</v>
      </c>
      <c r="I1655" t="s">
        <v>0</v>
      </c>
      <c r="J1655" t="s">
        <v>59</v>
      </c>
      <c r="K1655">
        <v>0</v>
      </c>
      <c r="L1655" t="s">
        <v>60</v>
      </c>
      <c r="M1655">
        <v>1</v>
      </c>
      <c r="N1655" t="s">
        <v>67</v>
      </c>
      <c r="O1655" s="2">
        <v>0.55625000000000002</v>
      </c>
      <c r="P1655">
        <f>0.0034260802*3600</f>
        <v>12.333888719999999</v>
      </c>
      <c r="Q1655">
        <f>0.0037263853*3600</f>
        <v>13.414987080000001</v>
      </c>
    </row>
    <row r="1656" spans="1:17" x14ac:dyDescent="0.3">
      <c r="A1656" s="4" t="s">
        <v>47</v>
      </c>
      <c r="B1656" s="6" t="s">
        <v>1238</v>
      </c>
      <c r="C1656">
        <v>299.12225100000001</v>
      </c>
      <c r="D1656">
        <v>291.18519300000003</v>
      </c>
      <c r="E1656">
        <v>1</v>
      </c>
      <c r="F1656">
        <v>1</v>
      </c>
      <c r="G1656">
        <v>0.26100000000000001</v>
      </c>
      <c r="H1656">
        <v>0</v>
      </c>
      <c r="I1656" t="s">
        <v>0</v>
      </c>
      <c r="J1656" t="s">
        <v>59</v>
      </c>
      <c r="K1656">
        <v>0</v>
      </c>
      <c r="L1656" t="s">
        <v>60</v>
      </c>
      <c r="M1656">
        <v>1</v>
      </c>
      <c r="N1656" t="s">
        <v>67</v>
      </c>
      <c r="O1656" s="2">
        <v>0.55625000000000002</v>
      </c>
      <c r="P1656">
        <f>0.0035326589*3600</f>
        <v>12.71757204</v>
      </c>
      <c r="Q1656">
        <f>0.0036659727*3600</f>
        <v>13.19750172</v>
      </c>
    </row>
    <row r="1657" spans="1:17" x14ac:dyDescent="0.3">
      <c r="A1657" s="4" t="s">
        <v>47</v>
      </c>
      <c r="B1657" s="6" t="s">
        <v>1239</v>
      </c>
      <c r="C1657">
        <v>299.12229100000002</v>
      </c>
      <c r="D1657">
        <v>291.18509299999999</v>
      </c>
      <c r="E1657">
        <v>1</v>
      </c>
      <c r="F1657">
        <v>1</v>
      </c>
      <c r="G1657">
        <v>0.26100000000000001</v>
      </c>
      <c r="H1657">
        <v>0</v>
      </c>
      <c r="I1657" t="s">
        <v>0</v>
      </c>
      <c r="J1657" t="s">
        <v>59</v>
      </c>
      <c r="K1657">
        <v>0</v>
      </c>
      <c r="L1657" t="s">
        <v>60</v>
      </c>
      <c r="M1657">
        <v>1</v>
      </c>
      <c r="N1657" t="s">
        <v>67</v>
      </c>
      <c r="O1657" s="2">
        <v>0.55625000000000002</v>
      </c>
      <c r="P1657">
        <f>0.0035365293*3600</f>
        <v>12.731505480000001</v>
      </c>
      <c r="Q1657">
        <f>0.0035541179*3600</f>
        <v>12.794824440000001</v>
      </c>
    </row>
    <row r="1658" spans="1:17" x14ac:dyDescent="0.3">
      <c r="A1658" s="4" t="s">
        <v>47</v>
      </c>
      <c r="B1658" s="6" t="s">
        <v>1240</v>
      </c>
      <c r="C1658">
        <v>299.123332</v>
      </c>
      <c r="D1658">
        <v>291.18511699999999</v>
      </c>
      <c r="E1658">
        <v>1</v>
      </c>
      <c r="F1658">
        <v>1</v>
      </c>
      <c r="G1658">
        <v>0.26100000000000001</v>
      </c>
      <c r="H1658">
        <v>0</v>
      </c>
      <c r="I1658" t="s">
        <v>0</v>
      </c>
      <c r="J1658" t="s">
        <v>59</v>
      </c>
      <c r="K1658">
        <v>0</v>
      </c>
      <c r="L1658" t="s">
        <v>60</v>
      </c>
      <c r="M1658">
        <v>1</v>
      </c>
      <c r="N1658" t="s">
        <v>67</v>
      </c>
      <c r="O1658" s="2">
        <v>0.55625000000000002</v>
      </c>
      <c r="P1658">
        <f>0.0034288999*3600</f>
        <v>12.34403964</v>
      </c>
      <c r="Q1658">
        <f>0.003584478*3600</f>
        <v>12.904120799999999</v>
      </c>
    </row>
    <row r="1659" spans="1:17" x14ac:dyDescent="0.3">
      <c r="A1659" s="4" t="s">
        <v>47</v>
      </c>
      <c r="B1659" s="6" t="s">
        <v>1241</v>
      </c>
      <c r="C1659">
        <v>299.12249300000002</v>
      </c>
      <c r="D1659">
        <v>291.18540300000001</v>
      </c>
      <c r="E1659">
        <v>1</v>
      </c>
      <c r="F1659">
        <v>1</v>
      </c>
      <c r="G1659">
        <v>0.26100000000000001</v>
      </c>
      <c r="H1659">
        <v>0</v>
      </c>
      <c r="I1659" t="s">
        <v>0</v>
      </c>
      <c r="J1659" t="s">
        <v>59</v>
      </c>
      <c r="K1659">
        <v>0</v>
      </c>
      <c r="L1659" t="s">
        <v>60</v>
      </c>
      <c r="M1659">
        <v>1</v>
      </c>
      <c r="N1659" t="s">
        <v>67</v>
      </c>
      <c r="O1659" s="2">
        <v>0.55625000000000002</v>
      </c>
      <c r="P1659">
        <f>0.00357724*3600</f>
        <v>12.878064</v>
      </c>
      <c r="Q1659">
        <f>0.0038718462*3600</f>
        <v>13.93864632</v>
      </c>
    </row>
    <row r="1660" spans="1:17" x14ac:dyDescent="0.3">
      <c r="A1660" s="4" t="s">
        <v>47</v>
      </c>
      <c r="B1660" s="6" t="s">
        <v>1242</v>
      </c>
      <c r="C1660">
        <v>299.12255099999999</v>
      </c>
      <c r="D1660">
        <v>291.18526400000002</v>
      </c>
      <c r="E1660">
        <v>1</v>
      </c>
      <c r="F1660">
        <v>1</v>
      </c>
      <c r="G1660">
        <v>0.26100000000000001</v>
      </c>
      <c r="H1660">
        <v>0</v>
      </c>
      <c r="I1660" t="s">
        <v>0</v>
      </c>
      <c r="J1660" t="s">
        <v>59</v>
      </c>
      <c r="K1660">
        <v>0</v>
      </c>
      <c r="L1660" t="s">
        <v>60</v>
      </c>
      <c r="M1660">
        <v>1</v>
      </c>
      <c r="N1660" t="s">
        <v>67</v>
      </c>
      <c r="O1660" s="2">
        <v>0.55625000000000002</v>
      </c>
      <c r="P1660">
        <f>0.003422215*3600</f>
        <v>12.319974</v>
      </c>
      <c r="Q1660">
        <f>0.0037419643*3600</f>
        <v>13.471071480000001</v>
      </c>
    </row>
    <row r="1661" spans="1:17" x14ac:dyDescent="0.3">
      <c r="A1661" s="4" t="s">
        <v>47</v>
      </c>
      <c r="B1661" s="6" t="s">
        <v>1243</v>
      </c>
      <c r="C1661">
        <v>299.12253099999998</v>
      </c>
      <c r="D1661">
        <v>291.18513999999999</v>
      </c>
      <c r="E1661">
        <v>1</v>
      </c>
      <c r="F1661">
        <v>1</v>
      </c>
      <c r="G1661">
        <v>0.26100000000000001</v>
      </c>
      <c r="H1661">
        <v>0</v>
      </c>
      <c r="I1661" t="s">
        <v>0</v>
      </c>
      <c r="J1661" t="s">
        <v>59</v>
      </c>
      <c r="K1661">
        <v>0</v>
      </c>
      <c r="L1661" t="s">
        <v>60</v>
      </c>
      <c r="M1661">
        <v>1</v>
      </c>
      <c r="N1661" t="s">
        <v>67</v>
      </c>
      <c r="O1661" s="2">
        <v>0.55625000000000002</v>
      </c>
      <c r="P1661">
        <f>0.0035223041*3600</f>
        <v>12.680294760000001</v>
      </c>
      <c r="Q1661">
        <f>0.0036196295*3600</f>
        <v>13.030666199999999</v>
      </c>
    </row>
    <row r="1662" spans="1:17" x14ac:dyDescent="0.3">
      <c r="A1662" s="4" t="s">
        <v>47</v>
      </c>
      <c r="B1662" s="6" t="s">
        <v>1244</v>
      </c>
      <c r="C1662">
        <v>299.122365</v>
      </c>
      <c r="D1662">
        <v>291.185044</v>
      </c>
      <c r="E1662">
        <v>1</v>
      </c>
      <c r="F1662">
        <v>1</v>
      </c>
      <c r="G1662">
        <v>0.26100000000000001</v>
      </c>
      <c r="H1662">
        <v>0</v>
      </c>
      <c r="I1662" t="s">
        <v>0</v>
      </c>
      <c r="J1662" t="s">
        <v>59</v>
      </c>
      <c r="K1662">
        <v>0</v>
      </c>
      <c r="L1662" t="s">
        <v>60</v>
      </c>
      <c r="M1662">
        <v>1</v>
      </c>
      <c r="N1662" t="s">
        <v>67</v>
      </c>
      <c r="O1662" s="2">
        <v>0.55625000000000002</v>
      </c>
      <c r="P1662">
        <f>0.003471868*3600</f>
        <v>12.4987248</v>
      </c>
      <c r="Q1662">
        <f>0.0035026248*3600</f>
        <v>12.60944928</v>
      </c>
    </row>
    <row r="1663" spans="1:17" x14ac:dyDescent="0.3">
      <c r="A1663" s="4" t="s">
        <v>47</v>
      </c>
      <c r="B1663" s="6" t="s">
        <v>1245</v>
      </c>
      <c r="C1663">
        <v>299.12252000000001</v>
      </c>
      <c r="D1663">
        <v>291.18535500000002</v>
      </c>
      <c r="E1663">
        <v>1</v>
      </c>
      <c r="F1663">
        <v>1</v>
      </c>
      <c r="G1663">
        <v>0.26100000000000001</v>
      </c>
      <c r="H1663">
        <v>0</v>
      </c>
      <c r="I1663" t="s">
        <v>0</v>
      </c>
      <c r="J1663" t="s">
        <v>59</v>
      </c>
      <c r="K1663">
        <v>0</v>
      </c>
      <c r="L1663" t="s">
        <v>60</v>
      </c>
      <c r="M1663">
        <v>1</v>
      </c>
      <c r="N1663" t="s">
        <v>67</v>
      </c>
      <c r="O1663" s="2">
        <v>0.55625000000000002</v>
      </c>
      <c r="P1663">
        <f>0.0035726165*3600</f>
        <v>12.861419399999999</v>
      </c>
      <c r="Q1663">
        <f>0.0038225228*3600</f>
        <v>13.76108208</v>
      </c>
    </row>
    <row r="1664" spans="1:17" x14ac:dyDescent="0.3">
      <c r="A1664" s="4" t="s">
        <v>47</v>
      </c>
      <c r="B1664" s="6" t="s">
        <v>1246</v>
      </c>
      <c r="C1664">
        <v>299.12242900000001</v>
      </c>
      <c r="D1664">
        <v>291.18496299999998</v>
      </c>
      <c r="E1664">
        <v>1</v>
      </c>
      <c r="F1664">
        <v>1</v>
      </c>
      <c r="G1664">
        <v>0.26100000000000001</v>
      </c>
      <c r="H1664">
        <v>0</v>
      </c>
      <c r="I1664" t="s">
        <v>0</v>
      </c>
      <c r="J1664" t="s">
        <v>59</v>
      </c>
      <c r="K1664">
        <v>0</v>
      </c>
      <c r="L1664" t="s">
        <v>60</v>
      </c>
      <c r="M1664">
        <v>1</v>
      </c>
      <c r="N1664" t="s">
        <v>67</v>
      </c>
      <c r="O1664" s="2">
        <v>0.55625000000000002</v>
      </c>
      <c r="P1664">
        <f>0.0034401795*3600</f>
        <v>12.384646200000001</v>
      </c>
      <c r="Q1664">
        <f>0.003427009*3600</f>
        <v>12.3372324</v>
      </c>
    </row>
    <row r="1665" spans="1:17" x14ac:dyDescent="0.3">
      <c r="A1665" s="4" t="s">
        <v>47</v>
      </c>
      <c r="B1665" s="6" t="s">
        <v>1247</v>
      </c>
      <c r="C1665">
        <v>299.12273099999999</v>
      </c>
      <c r="D1665">
        <v>291.18496099999999</v>
      </c>
      <c r="E1665">
        <v>1</v>
      </c>
      <c r="F1665">
        <v>1</v>
      </c>
      <c r="G1665">
        <v>0.26100000000000001</v>
      </c>
      <c r="H1665">
        <v>0</v>
      </c>
      <c r="I1665" t="s">
        <v>0</v>
      </c>
      <c r="J1665" t="s">
        <v>59</v>
      </c>
      <c r="K1665">
        <v>0</v>
      </c>
      <c r="L1665" t="s">
        <v>60</v>
      </c>
      <c r="M1665">
        <v>1</v>
      </c>
      <c r="N1665" t="s">
        <v>67</v>
      </c>
      <c r="O1665" s="2">
        <v>0.55625000000000002</v>
      </c>
      <c r="P1665">
        <f>0.0034551453*3600</f>
        <v>12.43852308</v>
      </c>
      <c r="Q1665">
        <f>0.0034463946*3600</f>
        <v>12.407020559999999</v>
      </c>
    </row>
    <row r="1666" spans="1:17" x14ac:dyDescent="0.3">
      <c r="A1666" s="4" t="s">
        <v>47</v>
      </c>
      <c r="B1666" s="6" t="s">
        <v>1248</v>
      </c>
      <c r="C1666">
        <v>299.12244500000003</v>
      </c>
      <c r="D1666">
        <v>291.18500999999998</v>
      </c>
      <c r="E1666">
        <v>1</v>
      </c>
      <c r="F1666">
        <v>1</v>
      </c>
      <c r="G1666">
        <v>0.26100000000000001</v>
      </c>
      <c r="H1666">
        <v>0</v>
      </c>
      <c r="I1666" t="s">
        <v>0</v>
      </c>
      <c r="J1666" t="s">
        <v>59</v>
      </c>
      <c r="K1666">
        <v>0</v>
      </c>
      <c r="L1666" t="s">
        <v>60</v>
      </c>
      <c r="M1666">
        <v>1</v>
      </c>
      <c r="N1666" t="s">
        <v>67</v>
      </c>
      <c r="O1666" s="2">
        <v>0.55694444444444446</v>
      </c>
      <c r="P1666">
        <f>0.0034314301*3600</f>
        <v>12.35314836</v>
      </c>
      <c r="Q1666">
        <f>0.0034912084*3600</f>
        <v>12.568350240000001</v>
      </c>
    </row>
    <row r="1667" spans="1:17" x14ac:dyDescent="0.3">
      <c r="A1667" s="4" t="s">
        <v>47</v>
      </c>
      <c r="B1667" s="6" t="s">
        <v>1249</v>
      </c>
      <c r="C1667">
        <v>299.12241299999999</v>
      </c>
      <c r="D1667">
        <v>291.18505800000003</v>
      </c>
      <c r="E1667">
        <v>1</v>
      </c>
      <c r="F1667">
        <v>1</v>
      </c>
      <c r="G1667">
        <v>0.26100000000000001</v>
      </c>
      <c r="H1667">
        <v>0</v>
      </c>
      <c r="I1667" t="s">
        <v>0</v>
      </c>
      <c r="J1667" t="s">
        <v>59</v>
      </c>
      <c r="K1667">
        <v>0</v>
      </c>
      <c r="L1667" t="s">
        <v>60</v>
      </c>
      <c r="M1667">
        <v>1</v>
      </c>
      <c r="N1667" t="s">
        <v>67</v>
      </c>
      <c r="O1667" s="2">
        <v>0.55694444444444446</v>
      </c>
      <c r="P1667">
        <f>0.0035271468*3600</f>
        <v>12.69772848</v>
      </c>
      <c r="Q1667">
        <f>0.0035486603*3600</f>
        <v>12.775177080000001</v>
      </c>
    </row>
    <row r="1668" spans="1:17" x14ac:dyDescent="0.3">
      <c r="A1668" s="4" t="s">
        <v>47</v>
      </c>
      <c r="B1668" s="6" t="s">
        <v>1250</v>
      </c>
      <c r="C1668">
        <v>299.12263400000001</v>
      </c>
      <c r="D1668">
        <v>291.18501199999997</v>
      </c>
      <c r="E1668">
        <v>1</v>
      </c>
      <c r="F1668">
        <v>1</v>
      </c>
      <c r="G1668">
        <v>0.26100000000000001</v>
      </c>
      <c r="H1668">
        <v>0</v>
      </c>
      <c r="I1668" t="s">
        <v>0</v>
      </c>
      <c r="J1668" t="s">
        <v>59</v>
      </c>
      <c r="K1668">
        <v>0</v>
      </c>
      <c r="L1668" t="s">
        <v>60</v>
      </c>
      <c r="M1668">
        <v>1</v>
      </c>
      <c r="N1668" t="s">
        <v>67</v>
      </c>
      <c r="O1668" s="2">
        <v>0.55694444444444446</v>
      </c>
      <c r="P1668">
        <f>0.0035073205*3600</f>
        <v>12.6263538</v>
      </c>
      <c r="Q1668">
        <f>0.0034824099*3600</f>
        <v>12.53667564</v>
      </c>
    </row>
    <row r="1669" spans="1:17" x14ac:dyDescent="0.3">
      <c r="A1669" s="4" t="s">
        <v>47</v>
      </c>
      <c r="B1669" s="6" t="s">
        <v>1251</v>
      </c>
      <c r="C1669">
        <v>299.12255299999998</v>
      </c>
      <c r="D1669">
        <v>291.18483600000002</v>
      </c>
      <c r="E1669">
        <v>1</v>
      </c>
      <c r="F1669">
        <v>1</v>
      </c>
      <c r="G1669">
        <v>0.26100000000000001</v>
      </c>
      <c r="H1669">
        <v>0</v>
      </c>
      <c r="I1669" t="s">
        <v>0</v>
      </c>
      <c r="J1669" t="s">
        <v>59</v>
      </c>
      <c r="K1669">
        <v>0</v>
      </c>
      <c r="L1669" t="s">
        <v>60</v>
      </c>
      <c r="M1669">
        <v>1</v>
      </c>
      <c r="N1669" t="s">
        <v>67</v>
      </c>
      <c r="O1669" s="2">
        <v>0.55694444444444446</v>
      </c>
      <c r="P1669">
        <f>0.0034558255*3600</f>
        <v>12.440971800000002</v>
      </c>
      <c r="Q1669">
        <f>0.003320454*3600</f>
        <v>11.9536344</v>
      </c>
    </row>
    <row r="1670" spans="1:17" x14ac:dyDescent="0.3">
      <c r="A1670" s="4" t="s">
        <v>47</v>
      </c>
      <c r="B1670" s="6" t="s">
        <v>1252</v>
      </c>
      <c r="C1670">
        <v>299.12234599999999</v>
      </c>
      <c r="D1670">
        <v>291.18504999999999</v>
      </c>
      <c r="E1670">
        <v>1</v>
      </c>
      <c r="F1670">
        <v>1</v>
      </c>
      <c r="G1670">
        <v>0.26100000000000001</v>
      </c>
      <c r="H1670">
        <v>0</v>
      </c>
      <c r="I1670" t="s">
        <v>0</v>
      </c>
      <c r="J1670" t="s">
        <v>59</v>
      </c>
      <c r="K1670">
        <v>0</v>
      </c>
      <c r="L1670" t="s">
        <v>60</v>
      </c>
      <c r="M1670">
        <v>1</v>
      </c>
      <c r="N1670" t="s">
        <v>67</v>
      </c>
      <c r="O1670" s="2">
        <v>0.55694444444444446</v>
      </c>
      <c r="P1670">
        <f>0.0035172615*3600</f>
        <v>12.662141399999999</v>
      </c>
      <c r="Q1670">
        <f>0.0035451071*3600</f>
        <v>12.76238556</v>
      </c>
    </row>
    <row r="1671" spans="1:17" x14ac:dyDescent="0.3">
      <c r="A1671" s="4" t="s">
        <v>47</v>
      </c>
      <c r="B1671" s="6" t="s">
        <v>1253</v>
      </c>
      <c r="C1671">
        <v>299.12264699999997</v>
      </c>
      <c r="D1671">
        <v>291.18486999999999</v>
      </c>
      <c r="E1671">
        <v>1</v>
      </c>
      <c r="F1671">
        <v>1</v>
      </c>
      <c r="G1671">
        <v>0.26100000000000001</v>
      </c>
      <c r="H1671">
        <v>0</v>
      </c>
      <c r="I1671" t="s">
        <v>0</v>
      </c>
      <c r="J1671" t="s">
        <v>59</v>
      </c>
      <c r="K1671">
        <v>0</v>
      </c>
      <c r="L1671" t="s">
        <v>60</v>
      </c>
      <c r="M1671">
        <v>1</v>
      </c>
      <c r="N1671" t="s">
        <v>67</v>
      </c>
      <c r="O1671" s="2">
        <v>0.55694444444444446</v>
      </c>
      <c r="P1671">
        <f>0.0034619165*3600</f>
        <v>12.4628994</v>
      </c>
      <c r="Q1671">
        <f>0.0033231096*3600</f>
        <v>11.96319456</v>
      </c>
    </row>
    <row r="1672" spans="1:17" x14ac:dyDescent="0.3">
      <c r="A1672" s="4" t="s">
        <v>47</v>
      </c>
      <c r="B1672" s="6" t="s">
        <v>1254</v>
      </c>
      <c r="C1672">
        <v>299.12325900000002</v>
      </c>
      <c r="D1672">
        <v>291.18443100000002</v>
      </c>
      <c r="E1672">
        <v>1</v>
      </c>
      <c r="F1672">
        <v>1</v>
      </c>
      <c r="G1672">
        <v>0.26100000000000001</v>
      </c>
      <c r="H1672">
        <v>0</v>
      </c>
      <c r="I1672" t="s">
        <v>0</v>
      </c>
      <c r="J1672" t="s">
        <v>59</v>
      </c>
      <c r="K1672">
        <v>0</v>
      </c>
      <c r="L1672" t="s">
        <v>60</v>
      </c>
      <c r="M1672">
        <v>1</v>
      </c>
      <c r="N1672" t="s">
        <v>67</v>
      </c>
      <c r="O1672" s="2">
        <v>0.55694444444444446</v>
      </c>
      <c r="P1672">
        <f>0.0034336767*3600</f>
        <v>12.361236119999999</v>
      </c>
      <c r="Q1672">
        <f>0.0032680205*3600</f>
        <v>11.7648738</v>
      </c>
    </row>
    <row r="1673" spans="1:17" x14ac:dyDescent="0.3">
      <c r="A1673" s="4" t="s">
        <v>47</v>
      </c>
      <c r="B1673" s="6" t="s">
        <v>1255</v>
      </c>
      <c r="C1673">
        <v>299.12267600000001</v>
      </c>
      <c r="D1673">
        <v>291.18458399999997</v>
      </c>
      <c r="E1673">
        <v>1</v>
      </c>
      <c r="F1673">
        <v>1</v>
      </c>
      <c r="G1673">
        <v>0.26100000000000001</v>
      </c>
      <c r="H1673">
        <v>0</v>
      </c>
      <c r="I1673" t="s">
        <v>0</v>
      </c>
      <c r="J1673" t="s">
        <v>59</v>
      </c>
      <c r="K1673">
        <v>0</v>
      </c>
      <c r="L1673" t="s">
        <v>60</v>
      </c>
      <c r="M1673">
        <v>1</v>
      </c>
      <c r="N1673" t="s">
        <v>67</v>
      </c>
      <c r="O1673" s="2">
        <v>0.55694444444444446</v>
      </c>
      <c r="P1673">
        <f>0.0034118695*3600</f>
        <v>12.2827302</v>
      </c>
      <c r="Q1673">
        <f>0.0033802701*3600</f>
        <v>12.16897236</v>
      </c>
    </row>
    <row r="1674" spans="1:17" x14ac:dyDescent="0.3">
      <c r="A1674" s="4" t="s">
        <v>47</v>
      </c>
      <c r="B1674" s="6" t="s">
        <v>1256</v>
      </c>
      <c r="C1674">
        <v>299.12269900000001</v>
      </c>
      <c r="D1674">
        <v>291.18468799999999</v>
      </c>
      <c r="E1674">
        <v>1</v>
      </c>
      <c r="F1674">
        <v>1</v>
      </c>
      <c r="G1674">
        <v>0.26100000000000001</v>
      </c>
      <c r="H1674">
        <v>0</v>
      </c>
      <c r="I1674" t="s">
        <v>0</v>
      </c>
      <c r="J1674" t="s">
        <v>59</v>
      </c>
      <c r="K1674">
        <v>0</v>
      </c>
      <c r="L1674" t="s">
        <v>60</v>
      </c>
      <c r="M1674">
        <v>1</v>
      </c>
      <c r="N1674" t="s">
        <v>67</v>
      </c>
      <c r="O1674" s="2">
        <v>0.55694444444444446</v>
      </c>
      <c r="P1674">
        <f>0.0033842734*3600</f>
        <v>12.183384239999999</v>
      </c>
      <c r="Q1674">
        <f>0.0035116561*3600</f>
        <v>12.641961960000001</v>
      </c>
    </row>
    <row r="1675" spans="1:17" x14ac:dyDescent="0.3">
      <c r="A1675" s="4" t="s">
        <v>47</v>
      </c>
      <c r="B1675" s="6" t="s">
        <v>1257</v>
      </c>
      <c r="C1675">
        <v>299.12208299999998</v>
      </c>
      <c r="D1675">
        <v>291.18476399999997</v>
      </c>
      <c r="E1675">
        <v>1</v>
      </c>
      <c r="F1675">
        <v>1</v>
      </c>
      <c r="G1675">
        <v>0.26100000000000001</v>
      </c>
      <c r="H1675">
        <v>0</v>
      </c>
      <c r="I1675" t="s">
        <v>0</v>
      </c>
      <c r="J1675" t="s">
        <v>59</v>
      </c>
      <c r="K1675">
        <v>0</v>
      </c>
      <c r="L1675" t="s">
        <v>60</v>
      </c>
      <c r="M1675">
        <v>1</v>
      </c>
      <c r="N1675" t="s">
        <v>67</v>
      </c>
      <c r="O1675" s="2">
        <v>0.55694444444444446</v>
      </c>
      <c r="P1675">
        <f>0.0033910816*3600</f>
        <v>12.207893759999999</v>
      </c>
      <c r="Q1675">
        <f>0.0035904046*3600</f>
        <v>12.925456560000001</v>
      </c>
    </row>
    <row r="1676" spans="1:17" x14ac:dyDescent="0.3">
      <c r="A1676" s="4" t="s">
        <v>47</v>
      </c>
      <c r="B1676" s="6" t="s">
        <v>1258</v>
      </c>
      <c r="C1676">
        <v>299.12311</v>
      </c>
      <c r="D1676">
        <v>291.18487499999998</v>
      </c>
      <c r="E1676">
        <v>1</v>
      </c>
      <c r="F1676">
        <v>1</v>
      </c>
      <c r="G1676">
        <v>0.26100000000000001</v>
      </c>
      <c r="H1676">
        <v>0</v>
      </c>
      <c r="I1676" t="s">
        <v>0</v>
      </c>
      <c r="J1676" t="s">
        <v>59</v>
      </c>
      <c r="K1676">
        <v>0</v>
      </c>
      <c r="L1676" t="s">
        <v>60</v>
      </c>
      <c r="M1676">
        <v>1</v>
      </c>
      <c r="N1676" t="s">
        <v>67</v>
      </c>
      <c r="O1676" s="2">
        <v>0.55694444444444446</v>
      </c>
      <c r="P1676">
        <f>0.0033409075*3600</f>
        <v>12.027267</v>
      </c>
      <c r="Q1676">
        <f>0.0036524148*3600</f>
        <v>13.14869328</v>
      </c>
    </row>
    <row r="1677" spans="1:17" x14ac:dyDescent="0.3">
      <c r="A1677" s="4" t="s">
        <v>47</v>
      </c>
      <c r="B1677" s="6" t="s">
        <v>1259</v>
      </c>
      <c r="C1677">
        <v>299.12254999999999</v>
      </c>
      <c r="D1677">
        <v>291.18469800000003</v>
      </c>
      <c r="E1677">
        <v>1</v>
      </c>
      <c r="F1677">
        <v>1</v>
      </c>
      <c r="G1677">
        <v>0.26100000000000001</v>
      </c>
      <c r="H1677">
        <v>0</v>
      </c>
      <c r="I1677" t="s">
        <v>0</v>
      </c>
      <c r="J1677" t="s">
        <v>59</v>
      </c>
      <c r="K1677">
        <v>0</v>
      </c>
      <c r="L1677" t="s">
        <v>60</v>
      </c>
      <c r="M1677">
        <v>1</v>
      </c>
      <c r="N1677" t="s">
        <v>67</v>
      </c>
      <c r="O1677" s="2">
        <v>0.55694444444444446</v>
      </c>
      <c r="P1677">
        <f>0.0033747612*3600</f>
        <v>12.149140320000001</v>
      </c>
      <c r="Q1677">
        <f>0.0034786551*3600</f>
        <v>12.52315836</v>
      </c>
    </row>
    <row r="1678" spans="1:17" x14ac:dyDescent="0.3">
      <c r="A1678" s="4" t="s">
        <v>47</v>
      </c>
      <c r="B1678" s="6" t="s">
        <v>1260</v>
      </c>
      <c r="C1678">
        <v>299.12296800000001</v>
      </c>
      <c r="D1678">
        <v>291.18477000000001</v>
      </c>
      <c r="E1678">
        <v>1</v>
      </c>
      <c r="F1678">
        <v>1</v>
      </c>
      <c r="G1678">
        <v>0.26100000000000001</v>
      </c>
      <c r="H1678">
        <v>0</v>
      </c>
      <c r="I1678" t="s">
        <v>0</v>
      </c>
      <c r="J1678" t="s">
        <v>59</v>
      </c>
      <c r="K1678">
        <v>0</v>
      </c>
      <c r="L1678" t="s">
        <v>60</v>
      </c>
      <c r="M1678">
        <v>1</v>
      </c>
      <c r="N1678" t="s">
        <v>67</v>
      </c>
      <c r="O1678" s="2">
        <v>0.55694444444444446</v>
      </c>
      <c r="P1678">
        <f>0.003432486*3600</f>
        <v>12.3569496</v>
      </c>
      <c r="Q1678">
        <f>0.0035686653*3600</f>
        <v>12.847195080000001</v>
      </c>
    </row>
    <row r="1679" spans="1:17" x14ac:dyDescent="0.3">
      <c r="A1679" s="4" t="s">
        <v>47</v>
      </c>
      <c r="B1679" s="6" t="s">
        <v>1261</v>
      </c>
      <c r="C1679">
        <v>299.12263999999999</v>
      </c>
      <c r="D1679">
        <v>291.18466100000001</v>
      </c>
      <c r="E1679">
        <v>1</v>
      </c>
      <c r="F1679">
        <v>1</v>
      </c>
      <c r="G1679">
        <v>0.26100000000000001</v>
      </c>
      <c r="H1679">
        <v>0</v>
      </c>
      <c r="I1679" t="s">
        <v>0</v>
      </c>
      <c r="J1679" t="s">
        <v>59</v>
      </c>
      <c r="K1679">
        <v>0</v>
      </c>
      <c r="L1679" t="s">
        <v>60</v>
      </c>
      <c r="M1679">
        <v>1</v>
      </c>
      <c r="N1679" t="s">
        <v>67</v>
      </c>
      <c r="O1679" s="2">
        <v>0.55694444444444446</v>
      </c>
      <c r="P1679">
        <f>0.0034801918*3600</f>
        <v>12.52869048</v>
      </c>
      <c r="Q1679">
        <f>0.0034677588*3600</f>
        <v>12.48393168</v>
      </c>
    </row>
    <row r="1680" spans="1:17" x14ac:dyDescent="0.3">
      <c r="A1680" s="4" t="s">
        <v>47</v>
      </c>
      <c r="B1680" s="6" t="s">
        <v>1262</v>
      </c>
      <c r="C1680">
        <v>299.12292000000002</v>
      </c>
      <c r="D1680">
        <v>291.18469700000003</v>
      </c>
      <c r="E1680">
        <v>1</v>
      </c>
      <c r="F1680">
        <v>1</v>
      </c>
      <c r="G1680">
        <v>0.26100000000000001</v>
      </c>
      <c r="H1680">
        <v>0</v>
      </c>
      <c r="I1680" t="s">
        <v>0</v>
      </c>
      <c r="J1680" t="s">
        <v>59</v>
      </c>
      <c r="K1680">
        <v>0</v>
      </c>
      <c r="L1680" t="s">
        <v>60</v>
      </c>
      <c r="M1680">
        <v>1</v>
      </c>
      <c r="N1680" t="s">
        <v>67</v>
      </c>
      <c r="O1680" s="2">
        <v>0.55694444444444446</v>
      </c>
      <c r="P1680">
        <f>0.0035803082*3600</f>
        <v>12.88910952</v>
      </c>
      <c r="Q1680">
        <f>0.0035101924*3600</f>
        <v>12.63669264</v>
      </c>
    </row>
    <row r="1681" spans="1:17" x14ac:dyDescent="0.3">
      <c r="A1681" s="4" t="s">
        <v>47</v>
      </c>
      <c r="B1681" s="6" t="s">
        <v>1263</v>
      </c>
      <c r="C1681">
        <v>299.12224500000002</v>
      </c>
      <c r="D1681">
        <v>291.18480799999998</v>
      </c>
      <c r="E1681">
        <v>1</v>
      </c>
      <c r="F1681">
        <v>1</v>
      </c>
      <c r="G1681">
        <v>0.26100000000000001</v>
      </c>
      <c r="H1681">
        <v>0</v>
      </c>
      <c r="I1681" t="s">
        <v>0</v>
      </c>
      <c r="J1681" t="s">
        <v>59</v>
      </c>
      <c r="K1681">
        <v>0</v>
      </c>
      <c r="L1681" t="s">
        <v>60</v>
      </c>
      <c r="M1681">
        <v>1</v>
      </c>
      <c r="N1681" t="s">
        <v>67</v>
      </c>
      <c r="O1681" s="2">
        <v>0.55694444444444446</v>
      </c>
      <c r="P1681">
        <f>0.0034477327*3600</f>
        <v>12.411837719999999</v>
      </c>
      <c r="Q1681">
        <f>0.003628804*3600</f>
        <v>13.063694399999999</v>
      </c>
    </row>
    <row r="1682" spans="1:17" x14ac:dyDescent="0.3">
      <c r="A1682" s="4" t="s">
        <v>47</v>
      </c>
      <c r="B1682" s="6" t="s">
        <v>1264</v>
      </c>
      <c r="C1682">
        <v>299.12251400000002</v>
      </c>
      <c r="D1682">
        <v>291.18408599999998</v>
      </c>
      <c r="E1682">
        <v>1</v>
      </c>
      <c r="F1682">
        <v>1</v>
      </c>
      <c r="G1682">
        <v>0.26100000000000001</v>
      </c>
      <c r="H1682">
        <v>0</v>
      </c>
      <c r="I1682" t="s">
        <v>0</v>
      </c>
      <c r="J1682" t="s">
        <v>59</v>
      </c>
      <c r="K1682">
        <v>0</v>
      </c>
      <c r="L1682" t="s">
        <v>60</v>
      </c>
      <c r="M1682">
        <v>1</v>
      </c>
      <c r="N1682" t="s">
        <v>67</v>
      </c>
      <c r="O1682" s="2">
        <v>0.55694444444444446</v>
      </c>
      <c r="P1682">
        <f>0.0032853017*3600</f>
        <v>11.827086119999999</v>
      </c>
      <c r="Q1682">
        <f>0.0029211525*3600</f>
        <v>10.516149</v>
      </c>
    </row>
    <row r="1683" spans="1:17" x14ac:dyDescent="0.3">
      <c r="A1683" s="4" t="s">
        <v>47</v>
      </c>
      <c r="B1683" s="6" t="s">
        <v>1265</v>
      </c>
      <c r="C1683">
        <v>299.12220000000002</v>
      </c>
      <c r="D1683">
        <v>291.18434000000002</v>
      </c>
      <c r="E1683">
        <v>1</v>
      </c>
      <c r="F1683">
        <v>1</v>
      </c>
      <c r="G1683">
        <v>0.26100000000000001</v>
      </c>
      <c r="H1683">
        <v>0</v>
      </c>
      <c r="I1683" t="s">
        <v>0</v>
      </c>
      <c r="J1683" t="s">
        <v>59</v>
      </c>
      <c r="K1683">
        <v>0</v>
      </c>
      <c r="L1683" t="s">
        <v>60</v>
      </c>
      <c r="M1683">
        <v>1</v>
      </c>
      <c r="N1683" t="s">
        <v>67</v>
      </c>
      <c r="O1683" s="2">
        <v>0.55694444444444446</v>
      </c>
      <c r="P1683">
        <f>0.0034528558*3600</f>
        <v>12.43028088</v>
      </c>
      <c r="Q1683">
        <f>0.0031756739*3600</f>
        <v>11.432426039999999</v>
      </c>
    </row>
    <row r="1684" spans="1:17" x14ac:dyDescent="0.3">
      <c r="A1684" s="4" t="s">
        <v>47</v>
      </c>
      <c r="B1684" s="6" t="s">
        <v>1266</v>
      </c>
      <c r="C1684">
        <v>299.122366</v>
      </c>
      <c r="D1684">
        <v>291.18402099999997</v>
      </c>
      <c r="E1684">
        <v>1</v>
      </c>
      <c r="F1684">
        <v>1</v>
      </c>
      <c r="G1684">
        <v>0.26100000000000001</v>
      </c>
      <c r="H1684">
        <v>0</v>
      </c>
      <c r="I1684" t="s">
        <v>0</v>
      </c>
      <c r="J1684" t="s">
        <v>59</v>
      </c>
      <c r="K1684">
        <v>0</v>
      </c>
      <c r="L1684" t="s">
        <v>60</v>
      </c>
      <c r="M1684">
        <v>1</v>
      </c>
      <c r="N1684" t="s">
        <v>67</v>
      </c>
      <c r="O1684" s="2">
        <v>0.55694444444444446</v>
      </c>
      <c r="P1684">
        <f>0.0034703421*3600</f>
        <v>12.49323156</v>
      </c>
      <c r="Q1684">
        <f>0.002850547*3600</f>
        <v>10.261969200000001</v>
      </c>
    </row>
    <row r="1685" spans="1:17" x14ac:dyDescent="0.3">
      <c r="A1685" s="4" t="s">
        <v>47</v>
      </c>
      <c r="B1685" s="6" t="s">
        <v>1267</v>
      </c>
      <c r="C1685">
        <v>299.12248299999999</v>
      </c>
      <c r="D1685">
        <v>291.18439599999999</v>
      </c>
      <c r="E1685">
        <v>1</v>
      </c>
      <c r="F1685">
        <v>1</v>
      </c>
      <c r="G1685">
        <v>0.26100000000000001</v>
      </c>
      <c r="H1685">
        <v>0</v>
      </c>
      <c r="I1685" t="s">
        <v>0</v>
      </c>
      <c r="J1685" t="s">
        <v>59</v>
      </c>
      <c r="K1685">
        <v>0</v>
      </c>
      <c r="L1685" t="s">
        <v>60</v>
      </c>
      <c r="M1685">
        <v>1</v>
      </c>
      <c r="N1685" t="s">
        <v>67</v>
      </c>
      <c r="O1685" s="2">
        <v>0.55694444444444446</v>
      </c>
      <c r="P1685">
        <f>0.0035614045*3600</f>
        <v>12.821056199999999</v>
      </c>
      <c r="Q1685">
        <f>0.0032509837*3600</f>
        <v>11.703541319999999</v>
      </c>
    </row>
    <row r="1686" spans="1:17" x14ac:dyDescent="0.3">
      <c r="A1686" s="4" t="s">
        <v>47</v>
      </c>
      <c r="B1686" s="6" t="s">
        <v>1268</v>
      </c>
      <c r="C1686">
        <v>299.12217299999998</v>
      </c>
      <c r="D1686">
        <v>291.18437399999999</v>
      </c>
      <c r="E1686">
        <v>1</v>
      </c>
      <c r="F1686">
        <v>1</v>
      </c>
      <c r="G1686">
        <v>0.26100000000000001</v>
      </c>
      <c r="H1686">
        <v>0</v>
      </c>
      <c r="I1686" t="s">
        <v>0</v>
      </c>
      <c r="J1686" t="s">
        <v>59</v>
      </c>
      <c r="K1686">
        <v>0</v>
      </c>
      <c r="L1686" t="s">
        <v>60</v>
      </c>
      <c r="M1686">
        <v>1</v>
      </c>
      <c r="N1686" t="s">
        <v>67</v>
      </c>
      <c r="O1686" s="2">
        <v>0.55694444444444446</v>
      </c>
      <c r="P1686">
        <f>0.0034518542*3600</f>
        <v>12.426675120000001</v>
      </c>
      <c r="Q1686">
        <f>0.0032130047*3600</f>
        <v>11.566816920000001</v>
      </c>
    </row>
    <row r="1687" spans="1:17" x14ac:dyDescent="0.3">
      <c r="A1687" s="4" t="s">
        <v>47</v>
      </c>
      <c r="B1687" s="6" t="s">
        <v>1269</v>
      </c>
      <c r="C1687">
        <v>299.122477</v>
      </c>
      <c r="D1687">
        <v>291.18444299999999</v>
      </c>
      <c r="E1687">
        <v>1</v>
      </c>
      <c r="F1687">
        <v>1</v>
      </c>
      <c r="G1687">
        <v>0.26100000000000001</v>
      </c>
      <c r="H1687">
        <v>0</v>
      </c>
      <c r="I1687" t="s">
        <v>0</v>
      </c>
      <c r="J1687" t="s">
        <v>59</v>
      </c>
      <c r="K1687">
        <v>0</v>
      </c>
      <c r="L1687" t="s">
        <v>60</v>
      </c>
      <c r="M1687">
        <v>1</v>
      </c>
      <c r="N1687" t="s">
        <v>67</v>
      </c>
      <c r="O1687" s="2">
        <v>0.55694444444444446</v>
      </c>
      <c r="P1687">
        <f>0.003487841*3600</f>
        <v>12.556227600000001</v>
      </c>
      <c r="Q1687">
        <f>0.003266733*3600</f>
        <v>11.7602388</v>
      </c>
    </row>
    <row r="1688" spans="1:17" x14ac:dyDescent="0.3">
      <c r="A1688" s="4" t="s">
        <v>47</v>
      </c>
      <c r="B1688" s="6" t="s">
        <v>1270</v>
      </c>
      <c r="C1688">
        <v>299.122525</v>
      </c>
      <c r="D1688">
        <v>291.18452600000001</v>
      </c>
      <c r="E1688">
        <v>1</v>
      </c>
      <c r="F1688">
        <v>1</v>
      </c>
      <c r="G1688">
        <v>0.26100000000000001</v>
      </c>
      <c r="H1688">
        <v>0</v>
      </c>
      <c r="I1688" t="s">
        <v>0</v>
      </c>
      <c r="J1688" t="s">
        <v>59</v>
      </c>
      <c r="K1688">
        <v>0</v>
      </c>
      <c r="L1688" t="s">
        <v>60</v>
      </c>
      <c r="M1688">
        <v>1</v>
      </c>
      <c r="N1688" t="s">
        <v>67</v>
      </c>
      <c r="O1688" s="2">
        <v>0.55694444444444446</v>
      </c>
      <c r="P1688">
        <f>0.0037403545*3600</f>
        <v>13.4652762</v>
      </c>
      <c r="Q1688">
        <f>0.0033306578*3600</f>
        <v>11.990368080000001</v>
      </c>
    </row>
    <row r="1689" spans="1:17" x14ac:dyDescent="0.3">
      <c r="A1689" s="4" t="s">
        <v>47</v>
      </c>
      <c r="B1689" s="6" t="s">
        <v>1271</v>
      </c>
      <c r="C1689">
        <v>299.12255499999998</v>
      </c>
      <c r="D1689">
        <v>291.18422700000002</v>
      </c>
      <c r="E1689">
        <v>1</v>
      </c>
      <c r="F1689">
        <v>1</v>
      </c>
      <c r="G1689">
        <v>0.26100000000000001</v>
      </c>
      <c r="H1689">
        <v>0</v>
      </c>
      <c r="I1689" t="s">
        <v>0</v>
      </c>
      <c r="J1689" t="s">
        <v>59</v>
      </c>
      <c r="K1689">
        <v>0</v>
      </c>
      <c r="L1689" t="s">
        <v>60</v>
      </c>
      <c r="M1689">
        <v>1</v>
      </c>
      <c r="N1689" t="s">
        <v>67</v>
      </c>
      <c r="O1689" s="2">
        <v>0.55694444444444446</v>
      </c>
      <c r="P1689">
        <f>0.0037786906*3600</f>
        <v>13.60328616</v>
      </c>
      <c r="Q1689">
        <f>0.0030195121*3600</f>
        <v>10.870243559999999</v>
      </c>
    </row>
    <row r="1690" spans="1:17" x14ac:dyDescent="0.3">
      <c r="A1690" s="4" t="s">
        <v>47</v>
      </c>
      <c r="B1690" s="6" t="s">
        <v>1272</v>
      </c>
      <c r="C1690">
        <v>299.12240200000002</v>
      </c>
      <c r="D1690">
        <v>291.18434600000001</v>
      </c>
      <c r="E1690">
        <v>1</v>
      </c>
      <c r="F1690">
        <v>1</v>
      </c>
      <c r="G1690">
        <v>0.26100000000000001</v>
      </c>
      <c r="H1690">
        <v>0</v>
      </c>
      <c r="I1690" t="s">
        <v>0</v>
      </c>
      <c r="J1690" t="s">
        <v>59</v>
      </c>
      <c r="K1690">
        <v>0</v>
      </c>
      <c r="L1690" t="s">
        <v>60</v>
      </c>
      <c r="M1690">
        <v>1</v>
      </c>
      <c r="N1690" t="s">
        <v>67</v>
      </c>
      <c r="O1690" s="2">
        <v>0.55694444444444446</v>
      </c>
      <c r="P1690">
        <f>0.0039667786*3600</f>
        <v>14.28040296</v>
      </c>
      <c r="Q1690">
        <f>0.0031356032*3600</f>
        <v>11.288171519999999</v>
      </c>
    </row>
    <row r="1691" spans="1:17" x14ac:dyDescent="0.3">
      <c r="A1691" s="4" t="s">
        <v>47</v>
      </c>
      <c r="B1691" s="6" t="s">
        <v>1273</v>
      </c>
      <c r="C1691">
        <v>299.12224200000003</v>
      </c>
      <c r="D1691">
        <v>291.18454000000003</v>
      </c>
      <c r="E1691">
        <v>1</v>
      </c>
      <c r="F1691">
        <v>1</v>
      </c>
      <c r="G1691">
        <v>0.26100000000000001</v>
      </c>
      <c r="H1691">
        <v>0</v>
      </c>
      <c r="I1691" t="s">
        <v>0</v>
      </c>
      <c r="J1691" t="s">
        <v>59</v>
      </c>
      <c r="K1691">
        <v>0</v>
      </c>
      <c r="L1691" t="s">
        <v>60</v>
      </c>
      <c r="M1691">
        <v>1</v>
      </c>
      <c r="N1691" t="s">
        <v>67</v>
      </c>
      <c r="O1691" s="2">
        <v>0.55694444444444446</v>
      </c>
      <c r="P1691">
        <f>0.0039625678*3600</f>
        <v>14.265244079999999</v>
      </c>
      <c r="Q1691">
        <f>0.0033886453*3600</f>
        <v>12.19912308</v>
      </c>
    </row>
    <row r="1692" spans="1:17" x14ac:dyDescent="0.3">
      <c r="A1692" s="4" t="s">
        <v>47</v>
      </c>
      <c r="B1692" s="6" t="s">
        <v>1274</v>
      </c>
      <c r="C1692">
        <v>299.12237199999998</v>
      </c>
      <c r="D1692">
        <v>291.18438500000002</v>
      </c>
      <c r="E1692">
        <v>1</v>
      </c>
      <c r="F1692">
        <v>1</v>
      </c>
      <c r="G1692">
        <v>0.26100000000000001</v>
      </c>
      <c r="H1692">
        <v>0</v>
      </c>
      <c r="I1692" t="s">
        <v>0</v>
      </c>
      <c r="J1692" t="s">
        <v>59</v>
      </c>
      <c r="K1692">
        <v>0</v>
      </c>
      <c r="L1692" t="s">
        <v>60</v>
      </c>
      <c r="M1692">
        <v>1</v>
      </c>
      <c r="N1692" t="s">
        <v>67</v>
      </c>
      <c r="O1692" s="2">
        <v>0.55694444444444446</v>
      </c>
      <c r="P1692">
        <f>0.0038689653*3600</f>
        <v>13.928275080000001</v>
      </c>
      <c r="Q1692">
        <f>0.0032265124*3600</f>
        <v>11.61544464</v>
      </c>
    </row>
    <row r="1693" spans="1:17" x14ac:dyDescent="0.3">
      <c r="A1693" s="4" t="s">
        <v>47</v>
      </c>
      <c r="B1693" s="6" t="s">
        <v>1275</v>
      </c>
      <c r="C1693">
        <v>299.12253199999998</v>
      </c>
      <c r="D1693">
        <v>291.18442900000002</v>
      </c>
      <c r="E1693">
        <v>1</v>
      </c>
      <c r="F1693">
        <v>1</v>
      </c>
      <c r="G1693">
        <v>0.26100000000000001</v>
      </c>
      <c r="H1693">
        <v>0</v>
      </c>
      <c r="I1693" t="s">
        <v>0</v>
      </c>
      <c r="J1693" t="s">
        <v>59</v>
      </c>
      <c r="K1693">
        <v>0</v>
      </c>
      <c r="L1693" t="s">
        <v>60</v>
      </c>
      <c r="M1693">
        <v>1</v>
      </c>
      <c r="N1693" t="s">
        <v>67</v>
      </c>
      <c r="O1693" s="2">
        <v>0.55694444444444446</v>
      </c>
      <c r="P1693">
        <f>0.0039396555*3600</f>
        <v>14.182759799999999</v>
      </c>
      <c r="Q1693">
        <f>0.0032471379*3600</f>
        <v>11.689696440000001</v>
      </c>
    </row>
    <row r="1694" spans="1:17" x14ac:dyDescent="0.3">
      <c r="A1694" s="4" t="s">
        <v>47</v>
      </c>
      <c r="B1694" s="6" t="s">
        <v>1276</v>
      </c>
      <c r="C1694">
        <v>299.12265400000001</v>
      </c>
      <c r="D1694">
        <v>291.18445200000002</v>
      </c>
      <c r="E1694">
        <v>1</v>
      </c>
      <c r="F1694">
        <v>1</v>
      </c>
      <c r="G1694">
        <v>0.26100000000000001</v>
      </c>
      <c r="H1694">
        <v>0</v>
      </c>
      <c r="I1694" t="s">
        <v>0</v>
      </c>
      <c r="J1694" t="s">
        <v>59</v>
      </c>
      <c r="K1694">
        <v>0</v>
      </c>
      <c r="L1694" t="s">
        <v>60</v>
      </c>
      <c r="M1694">
        <v>1</v>
      </c>
      <c r="N1694" t="s">
        <v>67</v>
      </c>
      <c r="O1694" s="2">
        <v>0.55694444444444446</v>
      </c>
      <c r="P1694">
        <f>0.0038459068*3600</f>
        <v>13.845264479999999</v>
      </c>
      <c r="Q1694">
        <f>0.0032915865*3600</f>
        <v>11.8497114</v>
      </c>
    </row>
    <row r="1695" spans="1:17" x14ac:dyDescent="0.3">
      <c r="A1695" s="4" t="s">
        <v>47</v>
      </c>
      <c r="B1695" s="6" t="s">
        <v>1277</v>
      </c>
      <c r="C1695">
        <v>299.122432</v>
      </c>
      <c r="D1695">
        <v>291.18443300000001</v>
      </c>
      <c r="E1695">
        <v>1</v>
      </c>
      <c r="F1695">
        <v>1</v>
      </c>
      <c r="G1695">
        <v>0.26100000000000001</v>
      </c>
      <c r="H1695">
        <v>0</v>
      </c>
      <c r="I1695" t="s">
        <v>0</v>
      </c>
      <c r="J1695" t="s">
        <v>59</v>
      </c>
      <c r="K1695">
        <v>0</v>
      </c>
      <c r="L1695" t="s">
        <v>60</v>
      </c>
      <c r="M1695">
        <v>1</v>
      </c>
      <c r="N1695" t="s">
        <v>67</v>
      </c>
      <c r="O1695" s="2">
        <v>0.55694444444444446</v>
      </c>
      <c r="P1695">
        <f>0.0038544475*3600</f>
        <v>13.876011</v>
      </c>
      <c r="Q1695">
        <f>0.0032294872*3600</f>
        <v>11.62615392</v>
      </c>
    </row>
    <row r="1696" spans="1:17" x14ac:dyDescent="0.3">
      <c r="A1696" s="4" t="s">
        <v>47</v>
      </c>
      <c r="B1696" s="5" t="s">
        <v>1478</v>
      </c>
      <c r="C1696">
        <v>98.826288000000005</v>
      </c>
      <c r="D1696">
        <v>104.937028</v>
      </c>
      <c r="E1696">
        <v>19.663499999999999</v>
      </c>
      <c r="F1696">
        <v>19.600899999999999</v>
      </c>
      <c r="G1696">
        <v>0.26100000000000001</v>
      </c>
      <c r="H1696">
        <v>0</v>
      </c>
      <c r="I1696" t="s">
        <v>0</v>
      </c>
      <c r="J1696" t="s">
        <v>59</v>
      </c>
      <c r="K1696">
        <v>3.4000000000000002E-2</v>
      </c>
      <c r="L1696" t="s">
        <v>60</v>
      </c>
      <c r="M1696">
        <v>1</v>
      </c>
      <c r="N1696" t="s">
        <v>53</v>
      </c>
      <c r="O1696" s="2">
        <v>0.55833333333333335</v>
      </c>
      <c r="P1696">
        <f>-0.0048520987*3600</f>
        <v>-17.467555319999999</v>
      </c>
      <c r="Q1696">
        <f>-0.0046731164*3600</f>
        <v>-16.823219039999998</v>
      </c>
    </row>
    <row r="1697" spans="1:17" x14ac:dyDescent="0.3">
      <c r="A1697" s="4" t="s">
        <v>47</v>
      </c>
      <c r="B1697" s="5" t="s">
        <v>1479</v>
      </c>
      <c r="C1697">
        <v>98.825961000000007</v>
      </c>
      <c r="D1697">
        <v>104.885244</v>
      </c>
      <c r="E1697">
        <v>1</v>
      </c>
      <c r="F1697">
        <v>1</v>
      </c>
      <c r="G1697">
        <v>0.26100000000000001</v>
      </c>
      <c r="H1697">
        <v>0</v>
      </c>
      <c r="I1697" t="s">
        <v>0</v>
      </c>
      <c r="J1697" t="s">
        <v>59</v>
      </c>
      <c r="K1697">
        <v>0</v>
      </c>
      <c r="L1697" t="s">
        <v>60</v>
      </c>
      <c r="M1697">
        <v>1</v>
      </c>
      <c r="N1697" t="s">
        <v>67</v>
      </c>
      <c r="O1697" s="2">
        <v>0.55833333333333335</v>
      </c>
      <c r="P1697">
        <f>-0.0049002849*3600</f>
        <v>-17.641025640000002</v>
      </c>
      <c r="Q1697">
        <f>-0.0045448956*3600</f>
        <v>-16.361624160000002</v>
      </c>
    </row>
    <row r="1698" spans="1:17" x14ac:dyDescent="0.3">
      <c r="A1698" s="4" t="s">
        <v>47</v>
      </c>
      <c r="B1698" s="5" t="s">
        <v>1480</v>
      </c>
      <c r="C1698">
        <v>98.826068000000006</v>
      </c>
      <c r="D1698">
        <v>104.885233</v>
      </c>
      <c r="E1698">
        <v>1</v>
      </c>
      <c r="F1698">
        <v>1</v>
      </c>
      <c r="G1698">
        <v>0.26100000000000001</v>
      </c>
      <c r="H1698">
        <v>0</v>
      </c>
      <c r="I1698" t="s">
        <v>0</v>
      </c>
      <c r="J1698" t="s">
        <v>59</v>
      </c>
      <c r="K1698">
        <v>0</v>
      </c>
      <c r="L1698" t="s">
        <v>60</v>
      </c>
      <c r="M1698">
        <v>1</v>
      </c>
      <c r="N1698" t="s">
        <v>67</v>
      </c>
      <c r="O1698" s="2">
        <v>0.55833333333333335</v>
      </c>
      <c r="P1698">
        <f>-0.0048169311*3600</f>
        <v>-17.340951959999998</v>
      </c>
      <c r="Q1698">
        <f>-0.0045423087*3600</f>
        <v>-16.352311319999998</v>
      </c>
    </row>
    <row r="1699" spans="1:17" x14ac:dyDescent="0.3">
      <c r="A1699" s="4" t="s">
        <v>47</v>
      </c>
      <c r="B1699" s="5" t="s">
        <v>1481</v>
      </c>
      <c r="C1699">
        <v>98.826106999999993</v>
      </c>
      <c r="D1699">
        <v>104.885147</v>
      </c>
      <c r="E1699">
        <v>1</v>
      </c>
      <c r="F1699">
        <v>1</v>
      </c>
      <c r="G1699">
        <v>0.26100000000000001</v>
      </c>
      <c r="H1699">
        <v>0</v>
      </c>
      <c r="I1699" t="s">
        <v>0</v>
      </c>
      <c r="J1699" t="s">
        <v>59</v>
      </c>
      <c r="K1699">
        <v>0</v>
      </c>
      <c r="L1699" t="s">
        <v>60</v>
      </c>
      <c r="M1699">
        <v>1</v>
      </c>
      <c r="N1699" t="s">
        <v>67</v>
      </c>
      <c r="O1699" s="2">
        <v>0.55833333333333335</v>
      </c>
      <c r="P1699">
        <f>-0.0048486527*3600</f>
        <v>-17.455149720000001</v>
      </c>
      <c r="Q1699">
        <f>-0.0045535919*3600</f>
        <v>-16.392930839999998</v>
      </c>
    </row>
    <row r="1700" spans="1:17" x14ac:dyDescent="0.3">
      <c r="A1700" s="4" t="s">
        <v>47</v>
      </c>
      <c r="B1700" s="5" t="s">
        <v>1482</v>
      </c>
      <c r="C1700">
        <v>98.826243000000005</v>
      </c>
      <c r="D1700">
        <v>104.88507799999999</v>
      </c>
      <c r="E1700">
        <v>1</v>
      </c>
      <c r="F1700">
        <v>1</v>
      </c>
      <c r="G1700">
        <v>0.26100000000000001</v>
      </c>
      <c r="H1700">
        <v>0</v>
      </c>
      <c r="I1700" t="s">
        <v>0</v>
      </c>
      <c r="J1700" t="s">
        <v>59</v>
      </c>
      <c r="K1700">
        <v>0</v>
      </c>
      <c r="L1700" t="s">
        <v>60</v>
      </c>
      <c r="M1700">
        <v>1</v>
      </c>
      <c r="N1700" t="s">
        <v>67</v>
      </c>
      <c r="O1700" s="2">
        <v>0.55833333333333335</v>
      </c>
      <c r="P1700">
        <f>-0.0047320891*3600</f>
        <v>-17.035520759999997</v>
      </c>
      <c r="Q1700">
        <f>-0.0045931642*3600</f>
        <v>-16.53539112</v>
      </c>
    </row>
    <row r="1701" spans="1:17" x14ac:dyDescent="0.3">
      <c r="A1701" s="4" t="s">
        <v>47</v>
      </c>
      <c r="B1701" s="5" t="s">
        <v>1483</v>
      </c>
      <c r="C1701">
        <v>98.825562000000005</v>
      </c>
      <c r="D1701">
        <v>104.88504399999999</v>
      </c>
      <c r="E1701">
        <v>1</v>
      </c>
      <c r="F1701">
        <v>1</v>
      </c>
      <c r="G1701">
        <v>0.26100000000000001</v>
      </c>
      <c r="H1701">
        <v>0</v>
      </c>
      <c r="I1701" t="s">
        <v>0</v>
      </c>
      <c r="J1701" t="s">
        <v>59</v>
      </c>
      <c r="K1701">
        <v>0</v>
      </c>
      <c r="L1701" t="s">
        <v>60</v>
      </c>
      <c r="M1701">
        <v>1</v>
      </c>
      <c r="N1701" t="s">
        <v>67</v>
      </c>
      <c r="O1701" s="2">
        <v>0.55833333333333335</v>
      </c>
      <c r="P1701">
        <f>-0.0047951476*3600</f>
        <v>-17.262531360000001</v>
      </c>
      <c r="Q1701">
        <f>-0.0045822145*3600</f>
        <v>-16.495972200000001</v>
      </c>
    </row>
    <row r="1702" spans="1:17" x14ac:dyDescent="0.3">
      <c r="A1702" s="4" t="s">
        <v>47</v>
      </c>
      <c r="B1702" s="5" t="s">
        <v>1484</v>
      </c>
      <c r="C1702">
        <v>98.827179999999998</v>
      </c>
      <c r="D1702">
        <v>104.885042</v>
      </c>
      <c r="E1702">
        <v>1</v>
      </c>
      <c r="F1702">
        <v>1</v>
      </c>
      <c r="G1702">
        <v>0.26100000000000001</v>
      </c>
      <c r="H1702">
        <v>0</v>
      </c>
      <c r="I1702" t="s">
        <v>0</v>
      </c>
      <c r="J1702" t="s">
        <v>59</v>
      </c>
      <c r="K1702">
        <v>0</v>
      </c>
      <c r="L1702" t="s">
        <v>60</v>
      </c>
      <c r="M1702">
        <v>1</v>
      </c>
      <c r="N1702" t="s">
        <v>67</v>
      </c>
      <c r="O1702" s="2">
        <v>0.55833333333333335</v>
      </c>
      <c r="P1702">
        <f>-0.0048751679*3600</f>
        <v>-17.550604439999997</v>
      </c>
      <c r="Q1702">
        <f>-0.004520254*3600</f>
        <v>-16.272914399999998</v>
      </c>
    </row>
    <row r="1703" spans="1:17" x14ac:dyDescent="0.3">
      <c r="A1703" s="4" t="s">
        <v>47</v>
      </c>
      <c r="B1703" s="5" t="s">
        <v>1485</v>
      </c>
      <c r="C1703">
        <v>98.825956000000005</v>
      </c>
      <c r="D1703">
        <v>104.88506599999999</v>
      </c>
      <c r="E1703">
        <v>1</v>
      </c>
      <c r="F1703">
        <v>1</v>
      </c>
      <c r="G1703">
        <v>0.26100000000000001</v>
      </c>
      <c r="H1703">
        <v>0</v>
      </c>
      <c r="I1703" t="s">
        <v>0</v>
      </c>
      <c r="J1703" t="s">
        <v>59</v>
      </c>
      <c r="K1703">
        <v>0</v>
      </c>
      <c r="L1703" t="s">
        <v>60</v>
      </c>
      <c r="M1703">
        <v>1</v>
      </c>
      <c r="N1703" t="s">
        <v>67</v>
      </c>
      <c r="O1703" s="2">
        <v>0.55833333333333335</v>
      </c>
      <c r="P1703">
        <f>-0.0048619902*3600</f>
        <v>-17.503164720000001</v>
      </c>
      <c r="Q1703">
        <f>-0.004461749*3600</f>
        <v>-16.062296400000001</v>
      </c>
    </row>
    <row r="1704" spans="1:17" x14ac:dyDescent="0.3">
      <c r="A1704" s="4" t="s">
        <v>47</v>
      </c>
      <c r="B1704" s="5" t="s">
        <v>1486</v>
      </c>
      <c r="C1704">
        <v>98.826217</v>
      </c>
      <c r="D1704">
        <v>104.885109</v>
      </c>
      <c r="E1704">
        <v>1</v>
      </c>
      <c r="F1704">
        <v>1</v>
      </c>
      <c r="G1704">
        <v>0.26100000000000001</v>
      </c>
      <c r="H1704">
        <v>0</v>
      </c>
      <c r="I1704" t="s">
        <v>0</v>
      </c>
      <c r="J1704" t="s">
        <v>59</v>
      </c>
      <c r="K1704">
        <v>0</v>
      </c>
      <c r="L1704" t="s">
        <v>60</v>
      </c>
      <c r="M1704">
        <v>1</v>
      </c>
      <c r="N1704" t="s">
        <v>67</v>
      </c>
      <c r="O1704" s="2">
        <v>0.55833333333333335</v>
      </c>
      <c r="P1704">
        <f>-0.0048315222*3600</f>
        <v>-17.393479919999997</v>
      </c>
      <c r="Q1704">
        <f>-0.0044278129*3600</f>
        <v>-15.940126439999998</v>
      </c>
    </row>
    <row r="1705" spans="1:17" x14ac:dyDescent="0.3">
      <c r="A1705" s="4" t="s">
        <v>47</v>
      </c>
      <c r="B1705" s="5" t="s">
        <v>1487</v>
      </c>
      <c r="C1705">
        <v>98.825973000000005</v>
      </c>
      <c r="D1705">
        <v>104.885099</v>
      </c>
      <c r="E1705">
        <v>1</v>
      </c>
      <c r="F1705">
        <v>1</v>
      </c>
      <c r="G1705">
        <v>0.26100000000000001</v>
      </c>
      <c r="H1705">
        <v>0</v>
      </c>
      <c r="I1705" t="s">
        <v>0</v>
      </c>
      <c r="J1705" t="s">
        <v>59</v>
      </c>
      <c r="K1705">
        <v>0</v>
      </c>
      <c r="L1705" t="s">
        <v>60</v>
      </c>
      <c r="M1705">
        <v>1</v>
      </c>
      <c r="N1705" t="s">
        <v>67</v>
      </c>
      <c r="O1705" s="2">
        <v>0.55833333333333335</v>
      </c>
      <c r="P1705">
        <f>-0.0048336203*3600</f>
        <v>-17.401033080000001</v>
      </c>
      <c r="Q1705">
        <f>-0.0044416434*3600</f>
        <v>-15.989916239999998</v>
      </c>
    </row>
    <row r="1706" spans="1:17" x14ac:dyDescent="0.3">
      <c r="A1706" s="4" t="s">
        <v>47</v>
      </c>
      <c r="B1706" s="5" t="s">
        <v>1488</v>
      </c>
      <c r="C1706">
        <v>98.826627000000002</v>
      </c>
      <c r="D1706">
        <v>104.88500000000001</v>
      </c>
      <c r="E1706">
        <v>1</v>
      </c>
      <c r="F1706">
        <v>1</v>
      </c>
      <c r="G1706">
        <v>0.26100000000000001</v>
      </c>
      <c r="H1706">
        <v>0</v>
      </c>
      <c r="I1706" t="s">
        <v>0</v>
      </c>
      <c r="J1706" t="s">
        <v>59</v>
      </c>
      <c r="K1706">
        <v>0</v>
      </c>
      <c r="L1706" t="s">
        <v>60</v>
      </c>
      <c r="M1706">
        <v>1</v>
      </c>
      <c r="N1706" t="s">
        <v>67</v>
      </c>
      <c r="O1706" s="2">
        <v>0.55833333333333335</v>
      </c>
      <c r="P1706">
        <f>-0.0048127256*3600</f>
        <v>-17.325812159999998</v>
      </c>
      <c r="Q1706">
        <f>-0.0045131274*3600</f>
        <v>-16.247258639999998</v>
      </c>
    </row>
    <row r="1707" spans="1:17" x14ac:dyDescent="0.3">
      <c r="A1707" s="4" t="s">
        <v>47</v>
      </c>
      <c r="B1707" s="5" t="s">
        <v>1489</v>
      </c>
      <c r="C1707">
        <v>98.826722000000004</v>
      </c>
      <c r="D1707">
        <v>104.885199</v>
      </c>
      <c r="E1707">
        <v>1</v>
      </c>
      <c r="F1707">
        <v>1</v>
      </c>
      <c r="G1707">
        <v>0.26100000000000001</v>
      </c>
      <c r="H1707">
        <v>0</v>
      </c>
      <c r="I1707" t="s">
        <v>0</v>
      </c>
      <c r="J1707" t="s">
        <v>59</v>
      </c>
      <c r="K1707">
        <v>0</v>
      </c>
      <c r="L1707" t="s">
        <v>60</v>
      </c>
      <c r="M1707">
        <v>1</v>
      </c>
      <c r="N1707" t="s">
        <v>67</v>
      </c>
      <c r="O1707" s="2">
        <v>0.55833333333333335</v>
      </c>
      <c r="P1707">
        <f>-0.0048350339*3600</f>
        <v>-17.40612204</v>
      </c>
      <c r="Q1707">
        <f>-0.0043260392*3600</f>
        <v>-15.573741120000001</v>
      </c>
    </row>
    <row r="1708" spans="1:17" x14ac:dyDescent="0.3">
      <c r="A1708" s="4" t="s">
        <v>47</v>
      </c>
      <c r="B1708" s="5" t="s">
        <v>1490</v>
      </c>
      <c r="C1708">
        <v>98.826351000000003</v>
      </c>
      <c r="D1708">
        <v>104.88506</v>
      </c>
      <c r="E1708">
        <v>1</v>
      </c>
      <c r="F1708">
        <v>1</v>
      </c>
      <c r="G1708">
        <v>0.26100000000000001</v>
      </c>
      <c r="H1708">
        <v>0</v>
      </c>
      <c r="I1708" t="s">
        <v>0</v>
      </c>
      <c r="J1708" t="s">
        <v>59</v>
      </c>
      <c r="K1708">
        <v>0</v>
      </c>
      <c r="L1708" t="s">
        <v>60</v>
      </c>
      <c r="M1708">
        <v>1</v>
      </c>
      <c r="N1708" t="s">
        <v>67</v>
      </c>
      <c r="O1708" s="2">
        <v>0.55833333333333335</v>
      </c>
      <c r="P1708">
        <f>-0.0048068041*3600</f>
        <v>-17.304494760000001</v>
      </c>
      <c r="Q1708">
        <f>-0.004447227*3600</f>
        <v>-16.0100172</v>
      </c>
    </row>
    <row r="1709" spans="1:17" x14ac:dyDescent="0.3">
      <c r="A1709" s="4" t="s">
        <v>47</v>
      </c>
      <c r="B1709" s="5" t="s">
        <v>1491</v>
      </c>
      <c r="C1709">
        <v>98.826018000000005</v>
      </c>
      <c r="D1709">
        <v>104.88512</v>
      </c>
      <c r="E1709">
        <v>1</v>
      </c>
      <c r="F1709">
        <v>1</v>
      </c>
      <c r="G1709">
        <v>0.26100000000000001</v>
      </c>
      <c r="H1709">
        <v>0</v>
      </c>
      <c r="I1709" t="s">
        <v>0</v>
      </c>
      <c r="J1709" t="s">
        <v>59</v>
      </c>
      <c r="K1709">
        <v>0</v>
      </c>
      <c r="L1709" t="s">
        <v>60</v>
      </c>
      <c r="M1709">
        <v>1</v>
      </c>
      <c r="N1709" t="s">
        <v>67</v>
      </c>
      <c r="O1709" s="2">
        <v>0.55833333333333335</v>
      </c>
      <c r="P1709">
        <f>-0.0048718532*3600</f>
        <v>-17.538671520000001</v>
      </c>
      <c r="Q1709">
        <f>-0.004382243*3600</f>
        <v>-15.7760748</v>
      </c>
    </row>
    <row r="1710" spans="1:17" x14ac:dyDescent="0.3">
      <c r="A1710" s="4" t="s">
        <v>47</v>
      </c>
      <c r="B1710" s="5" t="s">
        <v>1492</v>
      </c>
      <c r="C1710">
        <v>98.826025999999999</v>
      </c>
      <c r="D1710">
        <v>104.88511800000001</v>
      </c>
      <c r="E1710">
        <v>1</v>
      </c>
      <c r="F1710">
        <v>1</v>
      </c>
      <c r="G1710">
        <v>0.26100000000000001</v>
      </c>
      <c r="H1710">
        <v>0</v>
      </c>
      <c r="I1710" t="s">
        <v>0</v>
      </c>
      <c r="J1710" t="s">
        <v>59</v>
      </c>
      <c r="K1710">
        <v>0</v>
      </c>
      <c r="L1710" t="s">
        <v>60</v>
      </c>
      <c r="M1710">
        <v>1</v>
      </c>
      <c r="N1710" t="s">
        <v>67</v>
      </c>
      <c r="O1710" s="2">
        <v>0.55833333333333335</v>
      </c>
      <c r="P1710">
        <f>-0.0048496048*3600</f>
        <v>-17.45857728</v>
      </c>
      <c r="Q1710">
        <f>-0.0043618584*3600</f>
        <v>-15.702690239999999</v>
      </c>
    </row>
    <row r="1711" spans="1:17" x14ac:dyDescent="0.3">
      <c r="A1711" s="4" t="s">
        <v>47</v>
      </c>
      <c r="B1711" s="5" t="s">
        <v>1493</v>
      </c>
      <c r="C1711">
        <v>98.825906000000003</v>
      </c>
      <c r="D1711">
        <v>104.88502800000001</v>
      </c>
      <c r="E1711">
        <v>1</v>
      </c>
      <c r="F1711">
        <v>1</v>
      </c>
      <c r="G1711">
        <v>0.26100000000000001</v>
      </c>
      <c r="H1711">
        <v>0</v>
      </c>
      <c r="I1711" t="s">
        <v>0</v>
      </c>
      <c r="J1711" t="s">
        <v>59</v>
      </c>
      <c r="K1711">
        <v>0</v>
      </c>
      <c r="L1711" t="s">
        <v>60</v>
      </c>
      <c r="M1711">
        <v>1</v>
      </c>
      <c r="N1711" t="s">
        <v>67</v>
      </c>
      <c r="O1711" s="2">
        <v>0.55833333333333335</v>
      </c>
      <c r="P1711">
        <f>-0.0048218164*3600</f>
        <v>-17.35853904</v>
      </c>
      <c r="Q1711">
        <f>-0.0044466873*3600</f>
        <v>-16.008074279999999</v>
      </c>
    </row>
    <row r="1712" spans="1:17" x14ac:dyDescent="0.3">
      <c r="A1712" s="4" t="s">
        <v>47</v>
      </c>
      <c r="B1712" s="5" t="s">
        <v>1494</v>
      </c>
      <c r="C1712">
        <v>98.826987000000003</v>
      </c>
      <c r="D1712">
        <v>104.88530299999999</v>
      </c>
      <c r="E1712">
        <v>1</v>
      </c>
      <c r="F1712">
        <v>1</v>
      </c>
      <c r="G1712">
        <v>0.26100000000000001</v>
      </c>
      <c r="H1712">
        <v>0</v>
      </c>
      <c r="I1712" t="s">
        <v>0</v>
      </c>
      <c r="J1712" t="s">
        <v>59</v>
      </c>
      <c r="K1712">
        <v>0</v>
      </c>
      <c r="L1712" t="s">
        <v>60</v>
      </c>
      <c r="M1712">
        <v>1</v>
      </c>
      <c r="N1712" t="s">
        <v>67</v>
      </c>
      <c r="O1712" s="2">
        <v>0.55833333333333335</v>
      </c>
      <c r="P1712">
        <f>-0.0047864797*3600</f>
        <v>-17.231326920000001</v>
      </c>
      <c r="Q1712">
        <f>-0.0041938526*3600</f>
        <v>-15.097869359999999</v>
      </c>
    </row>
    <row r="1713" spans="1:17" x14ac:dyDescent="0.3">
      <c r="A1713" s="4" t="s">
        <v>47</v>
      </c>
      <c r="B1713" s="5" t="s">
        <v>1495</v>
      </c>
      <c r="C1713">
        <v>98.826464000000001</v>
      </c>
      <c r="D1713">
        <v>104.88510100000001</v>
      </c>
      <c r="E1713">
        <v>1</v>
      </c>
      <c r="F1713">
        <v>1</v>
      </c>
      <c r="G1713">
        <v>0.26100000000000001</v>
      </c>
      <c r="H1713">
        <v>0</v>
      </c>
      <c r="I1713" t="s">
        <v>0</v>
      </c>
      <c r="J1713" t="s">
        <v>59</v>
      </c>
      <c r="K1713">
        <v>0</v>
      </c>
      <c r="L1713" t="s">
        <v>60</v>
      </c>
      <c r="M1713">
        <v>1</v>
      </c>
      <c r="N1713" t="s">
        <v>67</v>
      </c>
      <c r="O1713" s="2">
        <v>0.55833333333333335</v>
      </c>
      <c r="P1713">
        <f>-0.0048666631*3600</f>
        <v>-17.519987159999999</v>
      </c>
      <c r="Q1713">
        <f>-0.0043877904*3600</f>
        <v>-15.79604544</v>
      </c>
    </row>
    <row r="1714" spans="1:17" x14ac:dyDescent="0.3">
      <c r="A1714" s="4" t="s">
        <v>47</v>
      </c>
      <c r="B1714" s="5" t="s">
        <v>1496</v>
      </c>
      <c r="C1714">
        <v>98.826824999999999</v>
      </c>
      <c r="D1714">
        <v>104.885108</v>
      </c>
      <c r="E1714">
        <v>1</v>
      </c>
      <c r="F1714">
        <v>1</v>
      </c>
      <c r="G1714">
        <v>0.26100000000000001</v>
      </c>
      <c r="H1714">
        <v>0</v>
      </c>
      <c r="I1714" t="s">
        <v>0</v>
      </c>
      <c r="J1714" t="s">
        <v>59</v>
      </c>
      <c r="K1714">
        <v>0</v>
      </c>
      <c r="L1714" t="s">
        <v>60</v>
      </c>
      <c r="M1714">
        <v>1</v>
      </c>
      <c r="N1714" t="s">
        <v>67</v>
      </c>
      <c r="O1714" s="2">
        <v>0.55833333333333335</v>
      </c>
      <c r="P1714">
        <f>-0.0048093908*3600</f>
        <v>-17.313806879999998</v>
      </c>
      <c r="Q1714">
        <f>-0.0043828903*3600</f>
        <v>-15.778405080000001</v>
      </c>
    </row>
    <row r="1715" spans="1:17" x14ac:dyDescent="0.3">
      <c r="A1715" s="4" t="s">
        <v>47</v>
      </c>
      <c r="B1715" s="5" t="s">
        <v>1497</v>
      </c>
      <c r="C1715">
        <v>98.825973000000005</v>
      </c>
      <c r="D1715">
        <v>104.88511200000001</v>
      </c>
      <c r="E1715">
        <v>1</v>
      </c>
      <c r="F1715">
        <v>1</v>
      </c>
      <c r="G1715">
        <v>0.26100000000000001</v>
      </c>
      <c r="H1715">
        <v>0</v>
      </c>
      <c r="I1715" t="s">
        <v>0</v>
      </c>
      <c r="J1715" t="s">
        <v>59</v>
      </c>
      <c r="K1715">
        <v>0</v>
      </c>
      <c r="L1715" t="s">
        <v>60</v>
      </c>
      <c r="M1715">
        <v>1</v>
      </c>
      <c r="N1715" t="s">
        <v>67</v>
      </c>
      <c r="O1715" s="2">
        <v>0.55833333333333335</v>
      </c>
      <c r="P1715">
        <f>-0.0048122248*3600</f>
        <v>-17.324009279999999</v>
      </c>
      <c r="Q1715">
        <f>-0.0043646833*3600</f>
        <v>-15.71285988</v>
      </c>
    </row>
    <row r="1716" spans="1:17" x14ac:dyDescent="0.3">
      <c r="A1716" s="4" t="s">
        <v>47</v>
      </c>
      <c r="B1716" s="5" t="s">
        <v>1498</v>
      </c>
      <c r="C1716">
        <v>98.826025999999999</v>
      </c>
      <c r="D1716">
        <v>104.885025</v>
      </c>
      <c r="E1716">
        <v>1</v>
      </c>
      <c r="F1716">
        <v>1</v>
      </c>
      <c r="G1716">
        <v>0.26100000000000001</v>
      </c>
      <c r="H1716">
        <v>0</v>
      </c>
      <c r="I1716" t="s">
        <v>0</v>
      </c>
      <c r="J1716" t="s">
        <v>59</v>
      </c>
      <c r="K1716">
        <v>0</v>
      </c>
      <c r="L1716" t="s">
        <v>60</v>
      </c>
      <c r="M1716">
        <v>1</v>
      </c>
      <c r="N1716" t="s">
        <v>67</v>
      </c>
      <c r="O1716" s="2">
        <v>0.55833333333333335</v>
      </c>
      <c r="P1716">
        <f>-0.0047819642*3600</f>
        <v>-17.215071119999998</v>
      </c>
      <c r="Q1716">
        <f>-0.0044435205*3600</f>
        <v>-15.9966738</v>
      </c>
    </row>
    <row r="1717" spans="1:17" x14ac:dyDescent="0.3">
      <c r="A1717" s="4" t="s">
        <v>47</v>
      </c>
      <c r="B1717" s="5" t="s">
        <v>1499</v>
      </c>
      <c r="C1717">
        <v>98.826109000000002</v>
      </c>
      <c r="D1717">
        <v>104.885065</v>
      </c>
      <c r="E1717">
        <v>1</v>
      </c>
      <c r="F1717">
        <v>1</v>
      </c>
      <c r="G1717">
        <v>0.26100000000000001</v>
      </c>
      <c r="H1717">
        <v>0</v>
      </c>
      <c r="I1717" t="s">
        <v>0</v>
      </c>
      <c r="J1717" t="s">
        <v>59</v>
      </c>
      <c r="K1717">
        <v>0</v>
      </c>
      <c r="L1717" t="s">
        <v>60</v>
      </c>
      <c r="M1717">
        <v>1</v>
      </c>
      <c r="N1717" t="s">
        <v>67</v>
      </c>
      <c r="O1717" s="2">
        <v>0.55833333333333335</v>
      </c>
      <c r="P1717">
        <f>-0.0056425466*3600</f>
        <v>-20.313167760000002</v>
      </c>
      <c r="Q1717">
        <f>-0.0043302718*3600</f>
        <v>-15.588978480000002</v>
      </c>
    </row>
    <row r="1718" spans="1:17" x14ac:dyDescent="0.3">
      <c r="A1718" s="4" t="s">
        <v>47</v>
      </c>
      <c r="B1718" s="5" t="s">
        <v>1500</v>
      </c>
      <c r="C1718">
        <v>98.826205999999999</v>
      </c>
      <c r="D1718">
        <v>104.8862</v>
      </c>
      <c r="E1718">
        <v>1</v>
      </c>
      <c r="F1718">
        <v>1</v>
      </c>
      <c r="G1718">
        <v>0.26100000000000001</v>
      </c>
      <c r="H1718">
        <v>0</v>
      </c>
      <c r="I1718" t="s">
        <v>0</v>
      </c>
      <c r="J1718" t="s">
        <v>59</v>
      </c>
      <c r="K1718">
        <v>0</v>
      </c>
      <c r="L1718" t="s">
        <v>60</v>
      </c>
      <c r="M1718">
        <v>1</v>
      </c>
      <c r="N1718" t="s">
        <v>67</v>
      </c>
      <c r="O1718" s="2">
        <v>0.55833333333333335</v>
      </c>
      <c r="P1718">
        <f>-0.0056180423*3600</f>
        <v>-20.22495228</v>
      </c>
      <c r="Q1718">
        <f>-0.0031839834*3600</f>
        <v>-11.462340240000001</v>
      </c>
    </row>
    <row r="1719" spans="1:17" x14ac:dyDescent="0.3">
      <c r="A1719" s="4" t="s">
        <v>47</v>
      </c>
      <c r="B1719" s="5" t="s">
        <v>1501</v>
      </c>
      <c r="C1719">
        <v>98.826707999999996</v>
      </c>
      <c r="D1719">
        <v>104.886033</v>
      </c>
      <c r="E1719">
        <v>1</v>
      </c>
      <c r="F1719">
        <v>1</v>
      </c>
      <c r="G1719">
        <v>0.26100000000000001</v>
      </c>
      <c r="H1719">
        <v>0</v>
      </c>
      <c r="I1719" t="s">
        <v>0</v>
      </c>
      <c r="J1719" t="s">
        <v>59</v>
      </c>
      <c r="K1719">
        <v>0</v>
      </c>
      <c r="L1719" t="s">
        <v>60</v>
      </c>
      <c r="M1719">
        <v>1</v>
      </c>
      <c r="N1719" t="s">
        <v>67</v>
      </c>
      <c r="O1719" s="2">
        <v>0.55833333333333335</v>
      </c>
      <c r="P1719">
        <f>-0.0057789744*3600</f>
        <v>-20.80430784</v>
      </c>
      <c r="Q1719">
        <f>-0.0033712577*3600</f>
        <v>-12.13652772</v>
      </c>
    </row>
    <row r="1720" spans="1:17" x14ac:dyDescent="0.3">
      <c r="A1720" s="4" t="s">
        <v>47</v>
      </c>
      <c r="B1720" s="5" t="s">
        <v>1502</v>
      </c>
      <c r="C1720">
        <v>98.827190999999999</v>
      </c>
      <c r="D1720">
        <v>104.885929</v>
      </c>
      <c r="E1720">
        <v>1</v>
      </c>
      <c r="F1720">
        <v>1</v>
      </c>
      <c r="G1720">
        <v>0.26100000000000001</v>
      </c>
      <c r="H1720">
        <v>0</v>
      </c>
      <c r="I1720" t="s">
        <v>0</v>
      </c>
      <c r="J1720" t="s">
        <v>59</v>
      </c>
      <c r="K1720">
        <v>0</v>
      </c>
      <c r="L1720" t="s">
        <v>60</v>
      </c>
      <c r="M1720">
        <v>1</v>
      </c>
      <c r="N1720" t="s">
        <v>67</v>
      </c>
      <c r="O1720" s="2">
        <v>0.55833333333333335</v>
      </c>
      <c r="P1720">
        <f>-0.0058364042*3600</f>
        <v>-21.011055119999998</v>
      </c>
      <c r="Q1720">
        <f>-0.0034812439*3600</f>
        <v>-12.532478040000001</v>
      </c>
    </row>
    <row r="1721" spans="1:17" x14ac:dyDescent="0.3">
      <c r="A1721" s="4" t="s">
        <v>47</v>
      </c>
      <c r="B1721" s="5" t="s">
        <v>1503</v>
      </c>
      <c r="C1721">
        <v>98.826430000000002</v>
      </c>
      <c r="D1721">
        <v>104.885797</v>
      </c>
      <c r="E1721">
        <v>1</v>
      </c>
      <c r="F1721">
        <v>1</v>
      </c>
      <c r="G1721">
        <v>0.26100000000000001</v>
      </c>
      <c r="H1721">
        <v>0</v>
      </c>
      <c r="I1721" t="s">
        <v>0</v>
      </c>
      <c r="J1721" t="s">
        <v>59</v>
      </c>
      <c r="K1721">
        <v>0</v>
      </c>
      <c r="L1721" t="s">
        <v>60</v>
      </c>
      <c r="M1721">
        <v>1</v>
      </c>
      <c r="N1721" t="s">
        <v>67</v>
      </c>
      <c r="O1721" s="2">
        <v>0.55833333333333335</v>
      </c>
      <c r="P1721">
        <f>-0.0058507034*3600</f>
        <v>-21.062532239999999</v>
      </c>
      <c r="Q1721">
        <f>-0.0035869723*3600</f>
        <v>-12.91310028</v>
      </c>
    </row>
    <row r="1722" spans="1:17" x14ac:dyDescent="0.3">
      <c r="A1722" s="4" t="s">
        <v>47</v>
      </c>
      <c r="B1722" s="5" t="s">
        <v>1504</v>
      </c>
      <c r="C1722">
        <v>98.826694000000003</v>
      </c>
      <c r="D1722">
        <v>104.885746</v>
      </c>
      <c r="E1722">
        <v>1</v>
      </c>
      <c r="F1722">
        <v>1</v>
      </c>
      <c r="G1722">
        <v>0.26100000000000001</v>
      </c>
      <c r="H1722">
        <v>0</v>
      </c>
      <c r="I1722" t="s">
        <v>0</v>
      </c>
      <c r="J1722" t="s">
        <v>59</v>
      </c>
      <c r="K1722">
        <v>0</v>
      </c>
      <c r="L1722" t="s">
        <v>60</v>
      </c>
      <c r="M1722">
        <v>1</v>
      </c>
      <c r="N1722" t="s">
        <v>67</v>
      </c>
      <c r="O1722" s="2">
        <v>0.55902777777777779</v>
      </c>
      <c r="P1722">
        <f>-0.0058891386*3600</f>
        <v>-21.20089896</v>
      </c>
      <c r="Q1722">
        <f>-0.0036337723*3600</f>
        <v>-13.081580280000001</v>
      </c>
    </row>
    <row r="1723" spans="1:17" x14ac:dyDescent="0.3">
      <c r="A1723" s="4" t="s">
        <v>47</v>
      </c>
      <c r="B1723" s="5" t="s">
        <v>1505</v>
      </c>
      <c r="C1723">
        <v>98.826089999999994</v>
      </c>
      <c r="D1723">
        <v>104.885718</v>
      </c>
      <c r="E1723">
        <v>1</v>
      </c>
      <c r="F1723">
        <v>1</v>
      </c>
      <c r="G1723">
        <v>0.26100000000000001</v>
      </c>
      <c r="H1723">
        <v>0</v>
      </c>
      <c r="I1723" t="s">
        <v>0</v>
      </c>
      <c r="J1723" t="s">
        <v>59</v>
      </c>
      <c r="K1723">
        <v>0</v>
      </c>
      <c r="L1723" t="s">
        <v>60</v>
      </c>
      <c r="M1723">
        <v>1</v>
      </c>
      <c r="N1723" t="s">
        <v>67</v>
      </c>
      <c r="O1723" s="2">
        <v>0.55902777777777779</v>
      </c>
      <c r="P1723">
        <f>-0.0058127076*3600</f>
        <v>-20.925747359999999</v>
      </c>
      <c r="Q1723">
        <f>-0.0036565554*3600</f>
        <v>-13.163599439999999</v>
      </c>
    </row>
    <row r="1724" spans="1:17" x14ac:dyDescent="0.3">
      <c r="A1724" s="4" t="s">
        <v>47</v>
      </c>
      <c r="B1724" s="5" t="s">
        <v>1506</v>
      </c>
      <c r="C1724">
        <v>98.826217999999997</v>
      </c>
      <c r="D1724">
        <v>104.884308</v>
      </c>
      <c r="E1724">
        <v>1</v>
      </c>
      <c r="F1724">
        <v>1</v>
      </c>
      <c r="G1724">
        <v>0.26100000000000001</v>
      </c>
      <c r="H1724">
        <v>0</v>
      </c>
      <c r="I1724" t="s">
        <v>0</v>
      </c>
      <c r="J1724" t="s">
        <v>59</v>
      </c>
      <c r="K1724">
        <v>0</v>
      </c>
      <c r="L1724" t="s">
        <v>60</v>
      </c>
      <c r="M1724">
        <v>1</v>
      </c>
      <c r="N1724" t="s">
        <v>67</v>
      </c>
      <c r="O1724" s="2">
        <v>0.55902777777777779</v>
      </c>
      <c r="P1724">
        <f>-0.005628495*3600</f>
        <v>-20.262581999999998</v>
      </c>
      <c r="Q1724">
        <f>-0.0045421167*3600</f>
        <v>-16.35162012</v>
      </c>
    </row>
    <row r="1725" spans="1:17" x14ac:dyDescent="0.3">
      <c r="A1725" s="4" t="s">
        <v>47</v>
      </c>
      <c r="B1725" s="5" t="s">
        <v>1507</v>
      </c>
      <c r="C1725">
        <v>98.826217</v>
      </c>
      <c r="D1725">
        <v>104.884289</v>
      </c>
      <c r="E1725">
        <v>1</v>
      </c>
      <c r="F1725">
        <v>1</v>
      </c>
      <c r="G1725">
        <v>0.26100000000000001</v>
      </c>
      <c r="H1725">
        <v>0</v>
      </c>
      <c r="I1725" t="s">
        <v>0</v>
      </c>
      <c r="J1725" t="s">
        <v>59</v>
      </c>
      <c r="K1725">
        <v>0</v>
      </c>
      <c r="L1725" t="s">
        <v>60</v>
      </c>
      <c r="M1725">
        <v>1</v>
      </c>
      <c r="N1725" t="s">
        <v>67</v>
      </c>
      <c r="O1725" s="2">
        <v>0.55902777777777779</v>
      </c>
      <c r="P1725">
        <f>-0.0056692197*3600</f>
        <v>-20.40919092</v>
      </c>
      <c r="Q1725">
        <f>-0.0045630254*3600</f>
        <v>-16.426891440000002</v>
      </c>
    </row>
    <row r="1726" spans="1:17" x14ac:dyDescent="0.3">
      <c r="A1726" s="4" t="s">
        <v>47</v>
      </c>
      <c r="B1726" s="5" t="s">
        <v>1508</v>
      </c>
      <c r="C1726">
        <v>98.826238000000004</v>
      </c>
      <c r="D1726">
        <v>104.884201</v>
      </c>
      <c r="E1726">
        <v>1</v>
      </c>
      <c r="F1726">
        <v>1</v>
      </c>
      <c r="G1726">
        <v>0.26100000000000001</v>
      </c>
      <c r="H1726">
        <v>0</v>
      </c>
      <c r="I1726" t="s">
        <v>0</v>
      </c>
      <c r="J1726" t="s">
        <v>59</v>
      </c>
      <c r="K1726">
        <v>0</v>
      </c>
      <c r="L1726" t="s">
        <v>60</v>
      </c>
      <c r="M1726">
        <v>1</v>
      </c>
      <c r="N1726" t="s">
        <v>67</v>
      </c>
      <c r="O1726" s="2">
        <v>0.55902777777777779</v>
      </c>
      <c r="P1726">
        <f>-0.0054970426*3600</f>
        <v>-19.78935336</v>
      </c>
      <c r="Q1726">
        <f>-0.0046537637*3600</f>
        <v>-16.753549319999998</v>
      </c>
    </row>
    <row r="1727" spans="1:17" x14ac:dyDescent="0.3">
      <c r="A1727" s="4" t="s">
        <v>47</v>
      </c>
      <c r="B1727" s="5" t="s">
        <v>1509</v>
      </c>
      <c r="C1727">
        <v>98.827039999999997</v>
      </c>
      <c r="D1727">
        <v>104.884204</v>
      </c>
      <c r="E1727">
        <v>1</v>
      </c>
      <c r="F1727">
        <v>1</v>
      </c>
      <c r="G1727">
        <v>0.26100000000000001</v>
      </c>
      <c r="H1727">
        <v>0</v>
      </c>
      <c r="I1727" t="s">
        <v>0</v>
      </c>
      <c r="J1727" t="s">
        <v>59</v>
      </c>
      <c r="K1727">
        <v>0</v>
      </c>
      <c r="L1727" t="s">
        <v>60</v>
      </c>
      <c r="M1727">
        <v>1</v>
      </c>
      <c r="N1727" t="s">
        <v>67</v>
      </c>
      <c r="O1727" s="2">
        <v>0.55902777777777779</v>
      </c>
      <c r="P1727">
        <f>-0.0056104887*3600</f>
        <v>-20.197759319999999</v>
      </c>
      <c r="Q1727">
        <f>-0.0046539275*3600</f>
        <v>-16.754139000000002</v>
      </c>
    </row>
    <row r="1728" spans="1:17" x14ac:dyDescent="0.3">
      <c r="A1728" s="4" t="s">
        <v>47</v>
      </c>
      <c r="B1728" s="5" t="s">
        <v>1510</v>
      </c>
      <c r="C1728">
        <v>98.826053000000002</v>
      </c>
      <c r="D1728">
        <v>104.88421</v>
      </c>
      <c r="E1728">
        <v>1</v>
      </c>
      <c r="F1728">
        <v>1</v>
      </c>
      <c r="G1728">
        <v>0.26100000000000001</v>
      </c>
      <c r="H1728">
        <v>0</v>
      </c>
      <c r="I1728" t="s">
        <v>0</v>
      </c>
      <c r="J1728" t="s">
        <v>59</v>
      </c>
      <c r="K1728">
        <v>0</v>
      </c>
      <c r="L1728" t="s">
        <v>60</v>
      </c>
      <c r="M1728">
        <v>1</v>
      </c>
      <c r="N1728" t="s">
        <v>67</v>
      </c>
      <c r="O1728" s="2">
        <v>0.55902777777777779</v>
      </c>
      <c r="P1728">
        <f>-0.0056017388*3600</f>
        <v>-20.16625968</v>
      </c>
      <c r="Q1728">
        <f>-0.0046404719*3600</f>
        <v>-16.70569884</v>
      </c>
    </row>
    <row r="1729" spans="1:17" x14ac:dyDescent="0.3">
      <c r="A1729" s="4" t="s">
        <v>47</v>
      </c>
      <c r="B1729" s="5" t="s">
        <v>1511</v>
      </c>
      <c r="C1729">
        <v>98.826625000000007</v>
      </c>
      <c r="D1729">
        <v>104.88453199999999</v>
      </c>
      <c r="E1729">
        <v>1</v>
      </c>
      <c r="F1729">
        <v>1</v>
      </c>
      <c r="G1729">
        <v>0.26100000000000001</v>
      </c>
      <c r="H1729">
        <v>0</v>
      </c>
      <c r="I1729" t="s">
        <v>0</v>
      </c>
      <c r="J1729" t="s">
        <v>59</v>
      </c>
      <c r="K1729">
        <v>0</v>
      </c>
      <c r="L1729" t="s">
        <v>60</v>
      </c>
      <c r="M1729">
        <v>1</v>
      </c>
      <c r="N1729" t="s">
        <v>67</v>
      </c>
      <c r="O1729" s="2">
        <v>0.55902777777777779</v>
      </c>
      <c r="P1729">
        <f>-0.0059832908*3600</f>
        <v>-21.539846879999999</v>
      </c>
      <c r="Q1729">
        <f>-0.0043357589*3600</f>
        <v>-15.608732040000001</v>
      </c>
    </row>
    <row r="1730" spans="1:17" x14ac:dyDescent="0.3">
      <c r="A1730" s="4" t="s">
        <v>47</v>
      </c>
      <c r="B1730" s="5" t="s">
        <v>1512</v>
      </c>
      <c r="C1730">
        <v>98.826249000000004</v>
      </c>
      <c r="D1730">
        <v>104.88475800000001</v>
      </c>
      <c r="E1730">
        <v>1</v>
      </c>
      <c r="F1730">
        <v>1</v>
      </c>
      <c r="G1730">
        <v>0.26100000000000001</v>
      </c>
      <c r="H1730">
        <v>0</v>
      </c>
      <c r="I1730" t="s">
        <v>0</v>
      </c>
      <c r="J1730" t="s">
        <v>59</v>
      </c>
      <c r="K1730">
        <v>0</v>
      </c>
      <c r="L1730" t="s">
        <v>60</v>
      </c>
      <c r="M1730">
        <v>1</v>
      </c>
      <c r="N1730" t="s">
        <v>67</v>
      </c>
      <c r="O1730" s="2">
        <v>0.55902777777777779</v>
      </c>
      <c r="P1730">
        <f>-0.0059198631*3600</f>
        <v>-21.311507159999998</v>
      </c>
      <c r="Q1730">
        <f>-0.0040937386*3600</f>
        <v>-14.73745896</v>
      </c>
    </row>
    <row r="1731" spans="1:17" x14ac:dyDescent="0.3">
      <c r="A1731" s="4" t="s">
        <v>47</v>
      </c>
      <c r="B1731" s="5" t="s">
        <v>1513</v>
      </c>
      <c r="C1731">
        <v>98.825934000000004</v>
      </c>
      <c r="D1731">
        <v>104.88466699999999</v>
      </c>
      <c r="E1731">
        <v>1</v>
      </c>
      <c r="F1731">
        <v>1</v>
      </c>
      <c r="G1731">
        <v>0.26100000000000001</v>
      </c>
      <c r="H1731">
        <v>0</v>
      </c>
      <c r="I1731" t="s">
        <v>0</v>
      </c>
      <c r="J1731" t="s">
        <v>59</v>
      </c>
      <c r="K1731">
        <v>0</v>
      </c>
      <c r="L1731" t="s">
        <v>60</v>
      </c>
      <c r="M1731">
        <v>1</v>
      </c>
      <c r="N1731" t="s">
        <v>67</v>
      </c>
      <c r="O1731" s="2">
        <v>0.55902777777777779</v>
      </c>
      <c r="P1731">
        <f>-0.0059811299*3600</f>
        <v>-21.532067640000001</v>
      </c>
      <c r="Q1731">
        <f>-0.0041922181*3600</f>
        <v>-15.091985159999998</v>
      </c>
    </row>
    <row r="1732" spans="1:17" x14ac:dyDescent="0.3">
      <c r="A1732" s="4" t="s">
        <v>47</v>
      </c>
      <c r="B1732" s="5" t="s">
        <v>1514</v>
      </c>
      <c r="C1732">
        <v>98.826514000000003</v>
      </c>
      <c r="D1732">
        <v>104.884553</v>
      </c>
      <c r="E1732">
        <v>1</v>
      </c>
      <c r="F1732">
        <v>1</v>
      </c>
      <c r="G1732">
        <v>0.26100000000000001</v>
      </c>
      <c r="H1732">
        <v>0</v>
      </c>
      <c r="I1732" t="s">
        <v>0</v>
      </c>
      <c r="J1732" t="s">
        <v>59</v>
      </c>
      <c r="K1732">
        <v>0</v>
      </c>
      <c r="L1732" t="s">
        <v>60</v>
      </c>
      <c r="M1732">
        <v>1</v>
      </c>
      <c r="N1732" t="s">
        <v>67</v>
      </c>
      <c r="O1732" s="2">
        <v>0.55902777777777779</v>
      </c>
      <c r="P1732">
        <f>-0.0059474055*3600</f>
        <v>-21.410659800000001</v>
      </c>
      <c r="Q1732">
        <f>-0.0043192762*3600</f>
        <v>-15.549394320000001</v>
      </c>
    </row>
    <row r="1733" spans="1:17" x14ac:dyDescent="0.3">
      <c r="A1733" s="4" t="s">
        <v>47</v>
      </c>
      <c r="B1733" s="5" t="s">
        <v>1515</v>
      </c>
      <c r="C1733">
        <v>98.825959999999995</v>
      </c>
      <c r="D1733">
        <v>104.884623</v>
      </c>
      <c r="E1733">
        <v>1</v>
      </c>
      <c r="F1733">
        <v>1</v>
      </c>
      <c r="G1733">
        <v>0.26100000000000001</v>
      </c>
      <c r="H1733">
        <v>0</v>
      </c>
      <c r="I1733" t="s">
        <v>0</v>
      </c>
      <c r="J1733" t="s">
        <v>59</v>
      </c>
      <c r="K1733">
        <v>0</v>
      </c>
      <c r="L1733" t="s">
        <v>60</v>
      </c>
      <c r="M1733">
        <v>1</v>
      </c>
      <c r="N1733" t="s">
        <v>67</v>
      </c>
      <c r="O1733" s="2">
        <v>0.55902777777777779</v>
      </c>
      <c r="P1733">
        <f>-0.0060563821*3600</f>
        <v>-21.80297556</v>
      </c>
      <c r="Q1733">
        <f>-0.004226522*3600</f>
        <v>-15.215479199999999</v>
      </c>
    </row>
    <row r="1734" spans="1:17" x14ac:dyDescent="0.3">
      <c r="A1734" s="4" t="s">
        <v>47</v>
      </c>
      <c r="B1734" s="5" t="s">
        <v>1516</v>
      </c>
      <c r="C1734">
        <v>98.826004999999995</v>
      </c>
      <c r="D1734">
        <v>104.884581</v>
      </c>
      <c r="E1734">
        <v>1</v>
      </c>
      <c r="F1734">
        <v>1</v>
      </c>
      <c r="G1734">
        <v>0.26100000000000001</v>
      </c>
      <c r="H1734">
        <v>0</v>
      </c>
      <c r="I1734" t="s">
        <v>0</v>
      </c>
      <c r="J1734" t="s">
        <v>59</v>
      </c>
      <c r="K1734">
        <v>0</v>
      </c>
      <c r="L1734" t="s">
        <v>60</v>
      </c>
      <c r="M1734">
        <v>1</v>
      </c>
      <c r="N1734" t="s">
        <v>67</v>
      </c>
      <c r="O1734" s="2">
        <v>0.55902777777777779</v>
      </c>
      <c r="P1734">
        <f>-0.0059693542*3600</f>
        <v>-21.489675119999998</v>
      </c>
      <c r="Q1734">
        <f>-0.0043016102*3600</f>
        <v>-15.48579672</v>
      </c>
    </row>
    <row r="1735" spans="1:17" x14ac:dyDescent="0.3">
      <c r="A1735" s="4" t="s">
        <v>47</v>
      </c>
      <c r="B1735" s="5" t="s">
        <v>1517</v>
      </c>
      <c r="C1735">
        <v>98.825834999999998</v>
      </c>
      <c r="D1735">
        <v>104.884563</v>
      </c>
      <c r="E1735">
        <v>1</v>
      </c>
      <c r="F1735">
        <v>1</v>
      </c>
      <c r="G1735">
        <v>0.26100000000000001</v>
      </c>
      <c r="H1735">
        <v>0</v>
      </c>
      <c r="I1735" t="s">
        <v>0</v>
      </c>
      <c r="J1735" t="s">
        <v>59</v>
      </c>
      <c r="K1735">
        <v>0</v>
      </c>
      <c r="L1735" t="s">
        <v>60</v>
      </c>
      <c r="M1735">
        <v>1</v>
      </c>
      <c r="N1735" t="s">
        <v>67</v>
      </c>
      <c r="O1735" s="2">
        <v>0.55902777777777779</v>
      </c>
      <c r="P1735">
        <f>-0.0061043843*3600</f>
        <v>-21.97578348</v>
      </c>
      <c r="Q1735">
        <f>-0.00427631*3600</f>
        <v>-15.394716000000001</v>
      </c>
    </row>
    <row r="1736" spans="1:17" x14ac:dyDescent="0.3">
      <c r="A1736" s="4" t="s">
        <v>47</v>
      </c>
      <c r="B1736" s="5" t="s">
        <v>1518</v>
      </c>
      <c r="C1736">
        <v>98.825884000000002</v>
      </c>
      <c r="D1736">
        <v>104.884456</v>
      </c>
      <c r="E1736">
        <v>1</v>
      </c>
      <c r="F1736">
        <v>1</v>
      </c>
      <c r="G1736">
        <v>0.26100000000000001</v>
      </c>
      <c r="H1736">
        <v>0</v>
      </c>
      <c r="I1736" t="s">
        <v>0</v>
      </c>
      <c r="J1736" t="s">
        <v>59</v>
      </c>
      <c r="K1736">
        <v>0</v>
      </c>
      <c r="L1736" t="s">
        <v>60</v>
      </c>
      <c r="M1736">
        <v>1</v>
      </c>
      <c r="N1736" t="s">
        <v>67</v>
      </c>
      <c r="O1736" s="2">
        <v>0.55902777777777779</v>
      </c>
      <c r="P1736">
        <f>-0.0059853538*3600</f>
        <v>-21.54727368</v>
      </c>
      <c r="Q1736">
        <f>-0.0043885346*3600</f>
        <v>-15.798724559999998</v>
      </c>
    </row>
    <row r="1737" spans="1:17" x14ac:dyDescent="0.3">
      <c r="A1737" s="4" t="s">
        <v>47</v>
      </c>
      <c r="B1737" s="5" t="s">
        <v>1519</v>
      </c>
      <c r="C1737">
        <v>98.827216000000007</v>
      </c>
      <c r="D1737">
        <v>104.884067</v>
      </c>
      <c r="E1737">
        <v>1</v>
      </c>
      <c r="F1737">
        <v>1</v>
      </c>
      <c r="G1737">
        <v>0.26100000000000001</v>
      </c>
      <c r="H1737">
        <v>0</v>
      </c>
      <c r="I1737" t="s">
        <v>0</v>
      </c>
      <c r="J1737" t="s">
        <v>59</v>
      </c>
      <c r="K1737">
        <v>0</v>
      </c>
      <c r="L1737" t="s">
        <v>60</v>
      </c>
      <c r="M1737">
        <v>1</v>
      </c>
      <c r="N1737" t="s">
        <v>67</v>
      </c>
      <c r="O1737" s="2">
        <v>0.55902777777777779</v>
      </c>
      <c r="P1737">
        <f>-0.0061686262*3600</f>
        <v>-22.207054320000001</v>
      </c>
      <c r="Q1737">
        <f>-0.0048138127*3600</f>
        <v>-17.329725719999999</v>
      </c>
    </row>
    <row r="1738" spans="1:17" x14ac:dyDescent="0.3">
      <c r="A1738" s="4" t="s">
        <v>47</v>
      </c>
      <c r="B1738" s="5" t="s">
        <v>1520</v>
      </c>
      <c r="C1738">
        <v>98.826666000000003</v>
      </c>
      <c r="D1738">
        <v>104.88414400000001</v>
      </c>
      <c r="E1738">
        <v>1</v>
      </c>
      <c r="F1738">
        <v>1</v>
      </c>
      <c r="G1738">
        <v>0.26100000000000001</v>
      </c>
      <c r="H1738">
        <v>0</v>
      </c>
      <c r="I1738" t="s">
        <v>0</v>
      </c>
      <c r="J1738" t="s">
        <v>59</v>
      </c>
      <c r="K1738">
        <v>0</v>
      </c>
      <c r="L1738" t="s">
        <v>60</v>
      </c>
      <c r="M1738">
        <v>1</v>
      </c>
      <c r="N1738" t="s">
        <v>67</v>
      </c>
      <c r="O1738" s="2">
        <v>0.55902777777777779</v>
      </c>
      <c r="P1738">
        <f>-0.0059830862*3600</f>
        <v>-21.539110320000002</v>
      </c>
      <c r="Q1738">
        <f>-0.0047272163*3600</f>
        <v>-17.017978679999999</v>
      </c>
    </row>
    <row r="1739" spans="1:17" x14ac:dyDescent="0.3">
      <c r="A1739" s="4" t="s">
        <v>47</v>
      </c>
      <c r="B1739" s="5" t="s">
        <v>1521</v>
      </c>
      <c r="C1739">
        <v>98.826673999999997</v>
      </c>
      <c r="D1739">
        <v>104.884153</v>
      </c>
      <c r="E1739">
        <v>1</v>
      </c>
      <c r="F1739">
        <v>1</v>
      </c>
      <c r="G1739">
        <v>0.26100000000000001</v>
      </c>
      <c r="H1739">
        <v>0</v>
      </c>
      <c r="I1739" t="s">
        <v>0</v>
      </c>
      <c r="J1739" t="s">
        <v>59</v>
      </c>
      <c r="K1739">
        <v>0</v>
      </c>
      <c r="L1739" t="s">
        <v>60</v>
      </c>
      <c r="M1739">
        <v>1</v>
      </c>
      <c r="N1739" t="s">
        <v>67</v>
      </c>
      <c r="O1739" s="2">
        <v>0.55902777777777779</v>
      </c>
      <c r="P1739">
        <f>-0.0058902837*3600</f>
        <v>-21.20502132</v>
      </c>
      <c r="Q1739">
        <f>-0.0047008788*3600</f>
        <v>-16.923163679999998</v>
      </c>
    </row>
    <row r="1740" spans="1:17" x14ac:dyDescent="0.3">
      <c r="A1740" s="4" t="s">
        <v>47</v>
      </c>
      <c r="B1740" s="5" t="s">
        <v>1522</v>
      </c>
      <c r="C1740">
        <v>98.826892999999998</v>
      </c>
      <c r="D1740">
        <v>104.884229</v>
      </c>
      <c r="E1740">
        <v>1</v>
      </c>
      <c r="F1740">
        <v>1</v>
      </c>
      <c r="G1740">
        <v>0.26100000000000001</v>
      </c>
      <c r="H1740">
        <v>0</v>
      </c>
      <c r="I1740" t="s">
        <v>0</v>
      </c>
      <c r="J1740" t="s">
        <v>59</v>
      </c>
      <c r="K1740">
        <v>0</v>
      </c>
      <c r="L1740" t="s">
        <v>60</v>
      </c>
      <c r="M1740">
        <v>1</v>
      </c>
      <c r="N1740" t="s">
        <v>67</v>
      </c>
      <c r="O1740" s="2">
        <v>0.55902777777777779</v>
      </c>
      <c r="P1740">
        <f>-0.0058588722*3600</f>
        <v>-21.091939920000002</v>
      </c>
      <c r="Q1740">
        <f>-0.0046821515*3600</f>
        <v>-16.8557454</v>
      </c>
    </row>
    <row r="1741" spans="1:17" x14ac:dyDescent="0.3">
      <c r="A1741" s="4" t="s">
        <v>47</v>
      </c>
      <c r="B1741" s="5" t="s">
        <v>1523</v>
      </c>
      <c r="C1741">
        <v>98.827133000000003</v>
      </c>
      <c r="D1741">
        <v>104.884306</v>
      </c>
      <c r="E1741">
        <v>1</v>
      </c>
      <c r="F1741">
        <v>1</v>
      </c>
      <c r="G1741">
        <v>0.26100000000000001</v>
      </c>
      <c r="H1741">
        <v>0</v>
      </c>
      <c r="I1741" t="s">
        <v>0</v>
      </c>
      <c r="J1741" t="s">
        <v>59</v>
      </c>
      <c r="K1741">
        <v>0</v>
      </c>
      <c r="L1741" t="s">
        <v>60</v>
      </c>
      <c r="M1741">
        <v>1</v>
      </c>
      <c r="N1741" t="s">
        <v>67</v>
      </c>
      <c r="O1741" s="2">
        <v>0.55902777777777779</v>
      </c>
      <c r="P1741">
        <f>-0.0058933964*3600</f>
        <v>-21.21622704</v>
      </c>
      <c r="Q1741">
        <f>-0.0045647017*3600</f>
        <v>-16.432926119999998</v>
      </c>
    </row>
    <row r="1742" spans="1:17" x14ac:dyDescent="0.3">
      <c r="A1742" s="4" t="s">
        <v>47</v>
      </c>
      <c r="B1742" s="5" t="s">
        <v>1524</v>
      </c>
      <c r="C1742">
        <v>98.826904999999996</v>
      </c>
      <c r="D1742">
        <v>104.884066</v>
      </c>
      <c r="E1742">
        <v>1</v>
      </c>
      <c r="F1742">
        <v>1</v>
      </c>
      <c r="G1742">
        <v>0.26100000000000001</v>
      </c>
      <c r="H1742">
        <v>0</v>
      </c>
      <c r="I1742" t="s">
        <v>0</v>
      </c>
      <c r="J1742" t="s">
        <v>59</v>
      </c>
      <c r="K1742">
        <v>0</v>
      </c>
      <c r="L1742" t="s">
        <v>60</v>
      </c>
      <c r="M1742">
        <v>1</v>
      </c>
      <c r="N1742" t="s">
        <v>67</v>
      </c>
      <c r="O1742" s="2">
        <v>0.55902777777777779</v>
      </c>
      <c r="P1742">
        <f>-0.0058315513*3600</f>
        <v>-20.993584679999998</v>
      </c>
      <c r="Q1742">
        <f>-0.0048190351*3600</f>
        <v>-17.348526359999997</v>
      </c>
    </row>
    <row r="1743" spans="1:17" x14ac:dyDescent="0.3">
      <c r="A1743" s="4" t="s">
        <v>47</v>
      </c>
      <c r="B1743" s="5" t="s">
        <v>1525</v>
      </c>
      <c r="C1743">
        <v>98.826842999999997</v>
      </c>
      <c r="D1743">
        <v>104.884097</v>
      </c>
      <c r="E1743">
        <v>1</v>
      </c>
      <c r="F1743">
        <v>1</v>
      </c>
      <c r="G1743">
        <v>0.26100000000000001</v>
      </c>
      <c r="H1743">
        <v>0</v>
      </c>
      <c r="I1743" t="s">
        <v>0</v>
      </c>
      <c r="J1743" t="s">
        <v>59</v>
      </c>
      <c r="K1743">
        <v>0</v>
      </c>
      <c r="L1743" t="s">
        <v>60</v>
      </c>
      <c r="M1743">
        <v>1</v>
      </c>
      <c r="N1743" t="s">
        <v>67</v>
      </c>
      <c r="O1743" s="2">
        <v>0.55902777777777779</v>
      </c>
      <c r="P1743">
        <f>-0.0058974253*3600</f>
        <v>-21.230731080000002</v>
      </c>
      <c r="Q1743">
        <f>-0.0048003539*3600</f>
        <v>-17.28127404</v>
      </c>
    </row>
    <row r="1744" spans="1:17" x14ac:dyDescent="0.3">
      <c r="A1744" s="4" t="s">
        <v>47</v>
      </c>
      <c r="B1744" s="5" t="s">
        <v>1526</v>
      </c>
      <c r="C1744">
        <v>98.826296999999997</v>
      </c>
      <c r="D1744">
        <v>104.88420000000001</v>
      </c>
      <c r="E1744">
        <v>1</v>
      </c>
      <c r="F1744">
        <v>1</v>
      </c>
      <c r="G1744">
        <v>0.26100000000000001</v>
      </c>
      <c r="H1744">
        <v>0</v>
      </c>
      <c r="I1744" t="s">
        <v>0</v>
      </c>
      <c r="J1744" t="s">
        <v>59</v>
      </c>
      <c r="K1744">
        <v>0</v>
      </c>
      <c r="L1744" t="s">
        <v>60</v>
      </c>
      <c r="M1744">
        <v>1</v>
      </c>
      <c r="N1744" t="s">
        <v>67</v>
      </c>
      <c r="O1744" s="2">
        <v>0.55902777777777779</v>
      </c>
      <c r="P1744">
        <f>-0.0059365476*3600</f>
        <v>-21.371571359999997</v>
      </c>
      <c r="Q1744">
        <f>-0.0046674791*3600</f>
        <v>-16.80292476</v>
      </c>
    </row>
    <row r="1745" spans="1:17" x14ac:dyDescent="0.3">
      <c r="A1745" s="4" t="s">
        <v>47</v>
      </c>
      <c r="B1745" s="5" t="s">
        <v>1527</v>
      </c>
      <c r="C1745">
        <v>98.826486000000003</v>
      </c>
      <c r="D1745">
        <v>104.884399</v>
      </c>
      <c r="E1745">
        <v>1</v>
      </c>
      <c r="F1745">
        <v>1</v>
      </c>
      <c r="G1745">
        <v>0.26100000000000001</v>
      </c>
      <c r="H1745">
        <v>0</v>
      </c>
      <c r="I1745" t="s">
        <v>0</v>
      </c>
      <c r="J1745" t="s">
        <v>59</v>
      </c>
      <c r="K1745">
        <v>0</v>
      </c>
      <c r="L1745" t="s">
        <v>60</v>
      </c>
      <c r="M1745">
        <v>1</v>
      </c>
      <c r="N1745" t="s">
        <v>67</v>
      </c>
      <c r="O1745" s="2">
        <v>0.55902777777777779</v>
      </c>
      <c r="P1745">
        <f>-0.0057117406*3600</f>
        <v>-20.56226616</v>
      </c>
      <c r="Q1745">
        <f>-0.0044782183*3600</f>
        <v>-16.121585879999998</v>
      </c>
    </row>
    <row r="1746" spans="1:17" x14ac:dyDescent="0.3">
      <c r="A1746" s="4" t="s">
        <v>47</v>
      </c>
      <c r="B1746" s="5" t="s">
        <v>1528</v>
      </c>
      <c r="C1746">
        <v>98.827606000000003</v>
      </c>
      <c r="D1746">
        <v>104.884407</v>
      </c>
      <c r="E1746">
        <v>1</v>
      </c>
      <c r="F1746">
        <v>1</v>
      </c>
      <c r="G1746">
        <v>0.26100000000000001</v>
      </c>
      <c r="H1746">
        <v>0</v>
      </c>
      <c r="I1746" t="s">
        <v>0</v>
      </c>
      <c r="J1746" t="s">
        <v>59</v>
      </c>
      <c r="K1746">
        <v>0</v>
      </c>
      <c r="L1746" t="s">
        <v>60</v>
      </c>
      <c r="M1746">
        <v>1</v>
      </c>
      <c r="N1746" t="s">
        <v>67</v>
      </c>
      <c r="O1746" s="2">
        <v>0.55902777777777779</v>
      </c>
      <c r="P1746">
        <f>-0.0059614627*3600</f>
        <v>-21.46126572</v>
      </c>
      <c r="Q1746">
        <f>-0.0045026788*3600</f>
        <v>-16.209643679999999</v>
      </c>
    </row>
    <row r="1747" spans="1:17" x14ac:dyDescent="0.3">
      <c r="A1747" s="4" t="s">
        <v>47</v>
      </c>
      <c r="B1747" s="6" t="s">
        <v>1529</v>
      </c>
      <c r="C1747">
        <v>298.82666499999999</v>
      </c>
      <c r="D1747">
        <v>295.06456300000002</v>
      </c>
      <c r="E1747">
        <v>19.6633</v>
      </c>
      <c r="F1747">
        <v>19.6008</v>
      </c>
      <c r="G1747">
        <v>0.26100000000000001</v>
      </c>
      <c r="H1747">
        <v>0</v>
      </c>
      <c r="I1747" t="s">
        <v>0</v>
      </c>
      <c r="J1747" t="s">
        <v>59</v>
      </c>
      <c r="K1747">
        <v>3.4000000000000002E-2</v>
      </c>
      <c r="L1747" t="s">
        <v>60</v>
      </c>
      <c r="M1747">
        <v>1</v>
      </c>
      <c r="N1747" t="s">
        <v>53</v>
      </c>
      <c r="O1747" s="2">
        <v>0.56041666666666667</v>
      </c>
      <c r="P1747">
        <f>0.0049400209*3600</f>
        <v>17.78407524</v>
      </c>
      <c r="Q1747">
        <f>0.0033478954*3600</f>
        <v>12.05242344</v>
      </c>
    </row>
    <row r="1748" spans="1:17" x14ac:dyDescent="0.3">
      <c r="A1748" s="4" t="s">
        <v>47</v>
      </c>
      <c r="B1748" s="6" t="s">
        <v>1530</v>
      </c>
      <c r="C1748">
        <v>298.826348</v>
      </c>
      <c r="D1748">
        <v>295.11222700000002</v>
      </c>
      <c r="E1748">
        <v>1</v>
      </c>
      <c r="F1748">
        <v>1</v>
      </c>
      <c r="G1748">
        <v>0.26100000000000001</v>
      </c>
      <c r="H1748">
        <v>0</v>
      </c>
      <c r="I1748" t="s">
        <v>0</v>
      </c>
      <c r="J1748" t="s">
        <v>59</v>
      </c>
      <c r="K1748">
        <v>0</v>
      </c>
      <c r="L1748" t="s">
        <v>60</v>
      </c>
      <c r="M1748">
        <v>1</v>
      </c>
      <c r="N1748" t="s">
        <v>67</v>
      </c>
      <c r="O1748" s="2">
        <v>0.56041666666666667</v>
      </c>
      <c r="P1748">
        <f>0.0049470183*3600</f>
        <v>17.809265879999998</v>
      </c>
      <c r="Q1748">
        <f>0.0029647233*3600</f>
        <v>10.67300388</v>
      </c>
    </row>
    <row r="1749" spans="1:17" x14ac:dyDescent="0.3">
      <c r="A1749" s="4" t="s">
        <v>47</v>
      </c>
      <c r="B1749" s="6" t="s">
        <v>1531</v>
      </c>
      <c r="C1749">
        <v>298.82621399999999</v>
      </c>
      <c r="D1749">
        <v>295.11219499999999</v>
      </c>
      <c r="E1749">
        <v>1</v>
      </c>
      <c r="F1749">
        <v>1</v>
      </c>
      <c r="G1749">
        <v>0.26100000000000001</v>
      </c>
      <c r="H1749">
        <v>0</v>
      </c>
      <c r="I1749" t="s">
        <v>0</v>
      </c>
      <c r="J1749" t="s">
        <v>59</v>
      </c>
      <c r="K1749">
        <v>0</v>
      </c>
      <c r="L1749" t="s">
        <v>60</v>
      </c>
      <c r="M1749">
        <v>1</v>
      </c>
      <c r="N1749" t="s">
        <v>67</v>
      </c>
      <c r="O1749" s="2">
        <v>0.56041666666666667</v>
      </c>
      <c r="P1749">
        <f>0.0047997182*3600</f>
        <v>17.278985519999999</v>
      </c>
      <c r="Q1749">
        <f>0.0029349212*3600</f>
        <v>10.56571632</v>
      </c>
    </row>
    <row r="1750" spans="1:17" x14ac:dyDescent="0.3">
      <c r="A1750" s="4" t="s">
        <v>47</v>
      </c>
      <c r="B1750" s="6" t="s">
        <v>1532</v>
      </c>
      <c r="C1750">
        <v>298.826594</v>
      </c>
      <c r="D1750">
        <v>295.11234999999999</v>
      </c>
      <c r="E1750">
        <v>1</v>
      </c>
      <c r="F1750">
        <v>1</v>
      </c>
      <c r="G1750">
        <v>0.26100000000000001</v>
      </c>
      <c r="H1750">
        <v>0</v>
      </c>
      <c r="I1750" t="s">
        <v>0</v>
      </c>
      <c r="J1750" t="s">
        <v>59</v>
      </c>
      <c r="K1750">
        <v>0</v>
      </c>
      <c r="L1750" t="s">
        <v>60</v>
      </c>
      <c r="M1750">
        <v>1</v>
      </c>
      <c r="N1750" t="s">
        <v>67</v>
      </c>
      <c r="O1750" s="2">
        <v>0.56041666666666667</v>
      </c>
      <c r="P1750">
        <f>0.0048657466*3600</f>
        <v>17.51668776</v>
      </c>
      <c r="Q1750">
        <f>0.0030351962*3600</f>
        <v>10.926706320000001</v>
      </c>
    </row>
    <row r="1751" spans="1:17" x14ac:dyDescent="0.3">
      <c r="A1751" s="4" t="s">
        <v>47</v>
      </c>
      <c r="B1751" s="6" t="s">
        <v>1533</v>
      </c>
      <c r="C1751">
        <v>298.82631800000001</v>
      </c>
      <c r="D1751">
        <v>295.11223000000001</v>
      </c>
      <c r="E1751">
        <v>1</v>
      </c>
      <c r="F1751">
        <v>1</v>
      </c>
      <c r="G1751">
        <v>0.26100000000000001</v>
      </c>
      <c r="H1751">
        <v>0</v>
      </c>
      <c r="I1751" t="s">
        <v>0</v>
      </c>
      <c r="J1751" t="s">
        <v>59</v>
      </c>
      <c r="K1751">
        <v>0</v>
      </c>
      <c r="L1751" t="s">
        <v>60</v>
      </c>
      <c r="M1751">
        <v>1</v>
      </c>
      <c r="N1751" t="s">
        <v>67</v>
      </c>
      <c r="O1751" s="2">
        <v>0.56041666666666667</v>
      </c>
      <c r="P1751">
        <f>0.0047201782*3600</f>
        <v>16.992641519999999</v>
      </c>
      <c r="Q1751">
        <f>0.0028573101*3600</f>
        <v>10.286316360000001</v>
      </c>
    </row>
    <row r="1752" spans="1:17" x14ac:dyDescent="0.3">
      <c r="A1752" s="4" t="s">
        <v>47</v>
      </c>
      <c r="B1752" s="6" t="s">
        <v>1534</v>
      </c>
      <c r="C1752">
        <v>298.82718799999998</v>
      </c>
      <c r="D1752">
        <v>295.11245200000002</v>
      </c>
      <c r="E1752">
        <v>1</v>
      </c>
      <c r="F1752">
        <v>1</v>
      </c>
      <c r="G1752">
        <v>0.26100000000000001</v>
      </c>
      <c r="H1752">
        <v>0</v>
      </c>
      <c r="I1752" t="s">
        <v>0</v>
      </c>
      <c r="J1752" t="s">
        <v>59</v>
      </c>
      <c r="K1752">
        <v>0</v>
      </c>
      <c r="L1752" t="s">
        <v>60</v>
      </c>
      <c r="M1752">
        <v>1</v>
      </c>
      <c r="N1752" t="s">
        <v>67</v>
      </c>
      <c r="O1752" s="2">
        <v>0.56041666666666667</v>
      </c>
      <c r="P1752">
        <f>0.0047043873*3600</f>
        <v>16.93579428</v>
      </c>
      <c r="Q1752">
        <f>0.0030386842*3600</f>
        <v>10.93926312</v>
      </c>
    </row>
    <row r="1753" spans="1:17" x14ac:dyDescent="0.3">
      <c r="A1753" s="4" t="s">
        <v>47</v>
      </c>
      <c r="B1753" s="6" t="s">
        <v>1535</v>
      </c>
      <c r="C1753">
        <v>298.82675399999999</v>
      </c>
      <c r="D1753">
        <v>295.11210499999999</v>
      </c>
      <c r="E1753">
        <v>1</v>
      </c>
      <c r="F1753">
        <v>1</v>
      </c>
      <c r="G1753">
        <v>0.26100000000000001</v>
      </c>
      <c r="H1753">
        <v>0</v>
      </c>
      <c r="I1753" t="s">
        <v>0</v>
      </c>
      <c r="J1753" t="s">
        <v>59</v>
      </c>
      <c r="K1753">
        <v>0</v>
      </c>
      <c r="L1753" t="s">
        <v>60</v>
      </c>
      <c r="M1753">
        <v>1</v>
      </c>
      <c r="N1753" t="s">
        <v>67</v>
      </c>
      <c r="O1753" s="2">
        <v>0.56041666666666667</v>
      </c>
      <c r="P1753">
        <f>0.0046848794*3600</f>
        <v>16.865565839999999</v>
      </c>
      <c r="Q1753">
        <f>0.0026541371*3600</f>
        <v>9.55489356</v>
      </c>
    </row>
    <row r="1754" spans="1:17" x14ac:dyDescent="0.3">
      <c r="A1754" s="4" t="s">
        <v>47</v>
      </c>
      <c r="B1754" s="6" t="s">
        <v>1536</v>
      </c>
      <c r="C1754">
        <v>298.82812300000001</v>
      </c>
      <c r="D1754">
        <v>295.11235499999998</v>
      </c>
      <c r="E1754">
        <v>1</v>
      </c>
      <c r="F1754">
        <v>1</v>
      </c>
      <c r="G1754">
        <v>0.26100000000000001</v>
      </c>
      <c r="H1754">
        <v>0</v>
      </c>
      <c r="I1754" t="s">
        <v>0</v>
      </c>
      <c r="J1754" t="s">
        <v>59</v>
      </c>
      <c r="K1754">
        <v>0</v>
      </c>
      <c r="L1754" t="s">
        <v>60</v>
      </c>
      <c r="M1754">
        <v>1</v>
      </c>
      <c r="N1754" t="s">
        <v>67</v>
      </c>
      <c r="O1754" s="2">
        <v>0.56041666666666667</v>
      </c>
      <c r="P1754">
        <f>0.0047042743*3600</f>
        <v>16.935387479999999</v>
      </c>
      <c r="Q1754">
        <f>0.0029019982*3600</f>
        <v>10.447193519999999</v>
      </c>
    </row>
    <row r="1755" spans="1:17" x14ac:dyDescent="0.3">
      <c r="A1755" s="4" t="s">
        <v>47</v>
      </c>
      <c r="B1755" s="6" t="s">
        <v>1537</v>
      </c>
      <c r="C1755">
        <v>298.827585</v>
      </c>
      <c r="D1755">
        <v>295.11228699999998</v>
      </c>
      <c r="E1755">
        <v>1</v>
      </c>
      <c r="F1755">
        <v>1</v>
      </c>
      <c r="G1755">
        <v>0.26100000000000001</v>
      </c>
      <c r="H1755">
        <v>0</v>
      </c>
      <c r="I1755" t="s">
        <v>0</v>
      </c>
      <c r="J1755" t="s">
        <v>59</v>
      </c>
      <c r="K1755">
        <v>0</v>
      </c>
      <c r="L1755" t="s">
        <v>60</v>
      </c>
      <c r="M1755">
        <v>1</v>
      </c>
      <c r="N1755" t="s">
        <v>67</v>
      </c>
      <c r="O1755" s="2">
        <v>0.56041666666666667</v>
      </c>
      <c r="P1755">
        <f>0.0050953879*3600</f>
        <v>18.343396439999999</v>
      </c>
      <c r="Q1755">
        <f>0.0027269148*3600</f>
        <v>9.8168932799999986</v>
      </c>
    </row>
    <row r="1756" spans="1:17" x14ac:dyDescent="0.3">
      <c r="A1756" s="4" t="s">
        <v>47</v>
      </c>
      <c r="B1756" s="6" t="s">
        <v>1538</v>
      </c>
      <c r="C1756">
        <v>298.827629</v>
      </c>
      <c r="D1756">
        <v>295.11210199999999</v>
      </c>
      <c r="E1756">
        <v>1</v>
      </c>
      <c r="F1756">
        <v>1</v>
      </c>
      <c r="G1756">
        <v>0.26100000000000001</v>
      </c>
      <c r="H1756">
        <v>0</v>
      </c>
      <c r="I1756" t="s">
        <v>0</v>
      </c>
      <c r="J1756" t="s">
        <v>59</v>
      </c>
      <c r="K1756">
        <v>0</v>
      </c>
      <c r="L1756" t="s">
        <v>60</v>
      </c>
      <c r="M1756">
        <v>1</v>
      </c>
      <c r="N1756" t="s">
        <v>67</v>
      </c>
      <c r="O1756" s="2">
        <v>0.56041666666666667</v>
      </c>
      <c r="P1756">
        <f>0.0050074654*3600</f>
        <v>18.026875440000001</v>
      </c>
      <c r="Q1756">
        <f>0.0025334036*3600</f>
        <v>9.1202529600000002</v>
      </c>
    </row>
    <row r="1757" spans="1:17" x14ac:dyDescent="0.3">
      <c r="A1757" s="4" t="s">
        <v>47</v>
      </c>
      <c r="B1757" s="6" t="s">
        <v>1539</v>
      </c>
      <c r="C1757">
        <v>298.82757600000002</v>
      </c>
      <c r="D1757">
        <v>295.11194599999999</v>
      </c>
      <c r="E1757">
        <v>1</v>
      </c>
      <c r="F1757">
        <v>1</v>
      </c>
      <c r="G1757">
        <v>0.26100000000000001</v>
      </c>
      <c r="H1757">
        <v>0</v>
      </c>
      <c r="I1757" t="s">
        <v>0</v>
      </c>
      <c r="J1757" t="s">
        <v>59</v>
      </c>
      <c r="K1757">
        <v>0</v>
      </c>
      <c r="L1757" t="s">
        <v>60</v>
      </c>
      <c r="M1757">
        <v>1</v>
      </c>
      <c r="N1757" t="s">
        <v>67</v>
      </c>
      <c r="O1757" s="2">
        <v>0.56041666666666667</v>
      </c>
      <c r="P1757">
        <f>0.0049920802*3600</f>
        <v>17.97148872</v>
      </c>
      <c r="Q1757">
        <f>0.0024039105*3600</f>
        <v>8.6540778000000014</v>
      </c>
    </row>
    <row r="1758" spans="1:17" x14ac:dyDescent="0.3">
      <c r="A1758" s="4" t="s">
        <v>47</v>
      </c>
      <c r="B1758" s="6" t="s">
        <v>1540</v>
      </c>
      <c r="C1758">
        <v>298.82726000000002</v>
      </c>
      <c r="D1758">
        <v>295.111896</v>
      </c>
      <c r="E1758">
        <v>1</v>
      </c>
      <c r="F1758">
        <v>1</v>
      </c>
      <c r="G1758">
        <v>0.26100000000000001</v>
      </c>
      <c r="H1758">
        <v>0</v>
      </c>
      <c r="I1758" t="s">
        <v>0</v>
      </c>
      <c r="J1758" t="s">
        <v>59</v>
      </c>
      <c r="K1758">
        <v>0</v>
      </c>
      <c r="L1758" t="s">
        <v>60</v>
      </c>
      <c r="M1758">
        <v>1</v>
      </c>
      <c r="N1758" t="s">
        <v>67</v>
      </c>
      <c r="O1758" s="2">
        <v>0.56041666666666667</v>
      </c>
      <c r="P1758">
        <f>0.0050595298*3600</f>
        <v>18.21430728</v>
      </c>
      <c r="Q1758">
        <f>0.0023551277*3600</f>
        <v>8.47845972</v>
      </c>
    </row>
    <row r="1759" spans="1:17" x14ac:dyDescent="0.3">
      <c r="A1759" s="4" t="s">
        <v>47</v>
      </c>
      <c r="B1759" s="6" t="s">
        <v>1541</v>
      </c>
      <c r="C1759">
        <v>298.82824299999999</v>
      </c>
      <c r="D1759">
        <v>295.11186800000002</v>
      </c>
      <c r="E1759">
        <v>1</v>
      </c>
      <c r="F1759">
        <v>1</v>
      </c>
      <c r="G1759">
        <v>0.26100000000000001</v>
      </c>
      <c r="H1759">
        <v>0</v>
      </c>
      <c r="I1759" t="s">
        <v>0</v>
      </c>
      <c r="J1759" t="s">
        <v>59</v>
      </c>
      <c r="K1759">
        <v>0</v>
      </c>
      <c r="L1759" t="s">
        <v>60</v>
      </c>
      <c r="M1759">
        <v>1</v>
      </c>
      <c r="N1759" t="s">
        <v>67</v>
      </c>
      <c r="O1759" s="2">
        <v>0.56041666666666667</v>
      </c>
      <c r="P1759">
        <f>0.0050402743*3600</f>
        <v>18.144987479999998</v>
      </c>
      <c r="Q1759">
        <f>0.002299371*3600</f>
        <v>8.2777355999999997</v>
      </c>
    </row>
    <row r="1760" spans="1:17" x14ac:dyDescent="0.3">
      <c r="A1760" s="4" t="s">
        <v>47</v>
      </c>
      <c r="B1760" s="6" t="s">
        <v>1542</v>
      </c>
      <c r="C1760">
        <v>298.82829700000002</v>
      </c>
      <c r="D1760">
        <v>295.11184900000001</v>
      </c>
      <c r="E1760">
        <v>1</v>
      </c>
      <c r="F1760">
        <v>1</v>
      </c>
      <c r="G1760">
        <v>0.26100000000000001</v>
      </c>
      <c r="H1760">
        <v>0</v>
      </c>
      <c r="I1760" t="s">
        <v>0</v>
      </c>
      <c r="J1760" t="s">
        <v>59</v>
      </c>
      <c r="K1760">
        <v>0</v>
      </c>
      <c r="L1760" t="s">
        <v>60</v>
      </c>
      <c r="M1760">
        <v>1</v>
      </c>
      <c r="N1760" t="s">
        <v>67</v>
      </c>
      <c r="O1760" s="2">
        <v>0.56041666666666667</v>
      </c>
      <c r="P1760">
        <f>0.0049965316*3600</f>
        <v>17.987513759999999</v>
      </c>
      <c r="Q1760">
        <f>0.0023088749*3600</f>
        <v>8.3119496399999999</v>
      </c>
    </row>
    <row r="1761" spans="1:17" x14ac:dyDescent="0.3">
      <c r="A1761" s="4" t="s">
        <v>47</v>
      </c>
      <c r="B1761" s="6" t="s">
        <v>1543</v>
      </c>
      <c r="C1761">
        <v>298.82708300000002</v>
      </c>
      <c r="D1761">
        <v>295.11173300000002</v>
      </c>
      <c r="E1761">
        <v>1</v>
      </c>
      <c r="F1761">
        <v>1</v>
      </c>
      <c r="G1761">
        <v>0.26100000000000001</v>
      </c>
      <c r="H1761">
        <v>0</v>
      </c>
      <c r="I1761" t="s">
        <v>0</v>
      </c>
      <c r="J1761" t="s">
        <v>59</v>
      </c>
      <c r="K1761">
        <v>0</v>
      </c>
      <c r="L1761" t="s">
        <v>60</v>
      </c>
      <c r="M1761">
        <v>1</v>
      </c>
      <c r="N1761" t="s">
        <v>67</v>
      </c>
      <c r="O1761" s="2">
        <v>0.56041666666666667</v>
      </c>
      <c r="P1761">
        <f>0.0050086427*3600</f>
        <v>18.031113719999997</v>
      </c>
      <c r="Q1761">
        <f>0.0022009376*3600</f>
        <v>7.9233753599999996</v>
      </c>
    </row>
    <row r="1762" spans="1:17" x14ac:dyDescent="0.3">
      <c r="A1762" s="4" t="s">
        <v>47</v>
      </c>
      <c r="B1762" s="6" t="s">
        <v>1544</v>
      </c>
      <c r="C1762">
        <v>298.82725900000003</v>
      </c>
      <c r="D1762">
        <v>295.11173600000001</v>
      </c>
      <c r="E1762">
        <v>1</v>
      </c>
      <c r="F1762">
        <v>1</v>
      </c>
      <c r="G1762">
        <v>0.26100000000000001</v>
      </c>
      <c r="H1762">
        <v>0</v>
      </c>
      <c r="I1762" t="s">
        <v>0</v>
      </c>
      <c r="J1762" t="s">
        <v>59</v>
      </c>
      <c r="K1762">
        <v>0</v>
      </c>
      <c r="L1762" t="s">
        <v>60</v>
      </c>
      <c r="M1762">
        <v>1</v>
      </c>
      <c r="N1762" t="s">
        <v>67</v>
      </c>
      <c r="O1762" s="2">
        <v>0.56041666666666667</v>
      </c>
      <c r="P1762">
        <f>0.0049970096*3600</f>
        <v>17.98923456</v>
      </c>
      <c r="Q1762">
        <f>0.0022054632*3600</f>
        <v>7.9396675200000004</v>
      </c>
    </row>
    <row r="1763" spans="1:17" x14ac:dyDescent="0.3">
      <c r="A1763" s="4" t="s">
        <v>47</v>
      </c>
      <c r="B1763" s="6" t="s">
        <v>1545</v>
      </c>
      <c r="C1763">
        <v>298.82812200000001</v>
      </c>
      <c r="D1763">
        <v>295.11211600000001</v>
      </c>
      <c r="E1763">
        <v>1</v>
      </c>
      <c r="F1763">
        <v>1</v>
      </c>
      <c r="G1763">
        <v>0.26100000000000001</v>
      </c>
      <c r="H1763">
        <v>0</v>
      </c>
      <c r="I1763" t="s">
        <v>0</v>
      </c>
      <c r="J1763" t="s">
        <v>59</v>
      </c>
      <c r="K1763">
        <v>0</v>
      </c>
      <c r="L1763" t="s">
        <v>60</v>
      </c>
      <c r="M1763">
        <v>1</v>
      </c>
      <c r="N1763" t="s">
        <v>67</v>
      </c>
      <c r="O1763" s="2">
        <v>0.56041666666666667</v>
      </c>
      <c r="P1763">
        <f>0.0051136234*3600</f>
        <v>18.40904424</v>
      </c>
      <c r="Q1763">
        <f>0.002570108*3600</f>
        <v>9.2523888000000003</v>
      </c>
    </row>
    <row r="1764" spans="1:17" x14ac:dyDescent="0.3">
      <c r="A1764" s="4" t="s">
        <v>47</v>
      </c>
      <c r="B1764" s="6" t="s">
        <v>1546</v>
      </c>
      <c r="C1764">
        <v>298.82722000000001</v>
      </c>
      <c r="D1764">
        <v>295.111513</v>
      </c>
      <c r="E1764">
        <v>1</v>
      </c>
      <c r="F1764">
        <v>1</v>
      </c>
      <c r="G1764">
        <v>0.26100000000000001</v>
      </c>
      <c r="H1764">
        <v>0</v>
      </c>
      <c r="I1764" t="s">
        <v>0</v>
      </c>
      <c r="J1764" t="s">
        <v>59</v>
      </c>
      <c r="K1764">
        <v>0</v>
      </c>
      <c r="L1764" t="s">
        <v>60</v>
      </c>
      <c r="M1764">
        <v>1</v>
      </c>
      <c r="N1764" t="s">
        <v>67</v>
      </c>
      <c r="O1764" s="2">
        <v>0.56041666666666667</v>
      </c>
      <c r="P1764">
        <f>0.004990282*3600</f>
        <v>17.9650152</v>
      </c>
      <c r="Q1764">
        <f>0.0019853608*3600</f>
        <v>7.1472988800000001</v>
      </c>
    </row>
    <row r="1765" spans="1:17" x14ac:dyDescent="0.3">
      <c r="A1765" s="4" t="s">
        <v>47</v>
      </c>
      <c r="B1765" s="6" t="s">
        <v>1547</v>
      </c>
      <c r="C1765">
        <v>298.82709199999999</v>
      </c>
      <c r="D1765">
        <v>295.11227200000002</v>
      </c>
      <c r="E1765">
        <v>1</v>
      </c>
      <c r="F1765">
        <v>1</v>
      </c>
      <c r="G1765">
        <v>0.26100000000000001</v>
      </c>
      <c r="H1765">
        <v>0</v>
      </c>
      <c r="I1765" t="s">
        <v>0</v>
      </c>
      <c r="J1765" t="s">
        <v>59</v>
      </c>
      <c r="K1765">
        <v>0</v>
      </c>
      <c r="L1765" t="s">
        <v>60</v>
      </c>
      <c r="M1765">
        <v>1</v>
      </c>
      <c r="N1765" t="s">
        <v>67</v>
      </c>
      <c r="O1765" s="2">
        <v>0.56041666666666667</v>
      </c>
      <c r="P1765">
        <f>0.0049931877*3600</f>
        <v>17.975475720000002</v>
      </c>
      <c r="Q1765">
        <f>0.0026846792*3600</f>
        <v>9.6648451200000007</v>
      </c>
    </row>
    <row r="1766" spans="1:17" x14ac:dyDescent="0.3">
      <c r="A1766" s="4" t="s">
        <v>47</v>
      </c>
      <c r="B1766" s="6" t="s">
        <v>1548</v>
      </c>
      <c r="C1766">
        <v>298.82708500000001</v>
      </c>
      <c r="D1766">
        <v>295.11202800000001</v>
      </c>
      <c r="E1766">
        <v>1</v>
      </c>
      <c r="F1766">
        <v>1</v>
      </c>
      <c r="G1766">
        <v>0.26100000000000001</v>
      </c>
      <c r="H1766">
        <v>0</v>
      </c>
      <c r="I1766" t="s">
        <v>0</v>
      </c>
      <c r="J1766" t="s">
        <v>59</v>
      </c>
      <c r="K1766">
        <v>0</v>
      </c>
      <c r="L1766" t="s">
        <v>60</v>
      </c>
      <c r="M1766">
        <v>1</v>
      </c>
      <c r="N1766" t="s">
        <v>67</v>
      </c>
      <c r="O1766" s="2">
        <v>0.56041666666666667</v>
      </c>
      <c r="P1766">
        <f>0.0049973208*3600</f>
        <v>17.990354879999998</v>
      </c>
      <c r="Q1766">
        <f>0.0024208502*3600</f>
        <v>8.7150607200000003</v>
      </c>
    </row>
    <row r="1767" spans="1:17" x14ac:dyDescent="0.3">
      <c r="A1767" s="4" t="s">
        <v>47</v>
      </c>
      <c r="B1767" s="6" t="s">
        <v>1549</v>
      </c>
      <c r="C1767">
        <v>298.82774799999999</v>
      </c>
      <c r="D1767">
        <v>295.11196799999999</v>
      </c>
      <c r="E1767">
        <v>1</v>
      </c>
      <c r="F1767">
        <v>1</v>
      </c>
      <c r="G1767">
        <v>0.26100000000000001</v>
      </c>
      <c r="H1767">
        <v>0</v>
      </c>
      <c r="I1767" t="s">
        <v>0</v>
      </c>
      <c r="J1767" t="s">
        <v>59</v>
      </c>
      <c r="K1767">
        <v>0</v>
      </c>
      <c r="L1767" t="s">
        <v>60</v>
      </c>
      <c r="M1767">
        <v>1</v>
      </c>
      <c r="N1767" t="s">
        <v>67</v>
      </c>
      <c r="O1767" s="2">
        <v>0.56041666666666667</v>
      </c>
      <c r="P1767">
        <f>0.005111044*3600</f>
        <v>18.3997584</v>
      </c>
      <c r="Q1767">
        <f>0.0022549252*3600</f>
        <v>8.1177307200000008</v>
      </c>
    </row>
    <row r="1768" spans="1:17" x14ac:dyDescent="0.3">
      <c r="A1768" s="4" t="s">
        <v>47</v>
      </c>
      <c r="B1768" s="6" t="s">
        <v>1550</v>
      </c>
      <c r="C1768">
        <v>298.82644399999998</v>
      </c>
      <c r="D1768">
        <v>295.111761</v>
      </c>
      <c r="E1768">
        <v>1</v>
      </c>
      <c r="F1768">
        <v>1</v>
      </c>
      <c r="G1768">
        <v>0.26100000000000001</v>
      </c>
      <c r="H1768">
        <v>0</v>
      </c>
      <c r="I1768" t="s">
        <v>0</v>
      </c>
      <c r="J1768" t="s">
        <v>59</v>
      </c>
      <c r="K1768">
        <v>0</v>
      </c>
      <c r="L1768" t="s">
        <v>60</v>
      </c>
      <c r="M1768">
        <v>1</v>
      </c>
      <c r="N1768" t="s">
        <v>67</v>
      </c>
      <c r="O1768" s="2">
        <v>0.56041666666666667</v>
      </c>
      <c r="P1768">
        <f>0.0050484821*3600</f>
        <v>18.174535559999999</v>
      </c>
      <c r="Q1768">
        <f>0.0020735996*3600</f>
        <v>7.4649585599999995</v>
      </c>
    </row>
    <row r="1769" spans="1:17" x14ac:dyDescent="0.3">
      <c r="A1769" s="4" t="s">
        <v>47</v>
      </c>
      <c r="B1769" s="6" t="s">
        <v>1551</v>
      </c>
      <c r="C1769">
        <v>298.82671699999997</v>
      </c>
      <c r="D1769">
        <v>295.11165699999998</v>
      </c>
      <c r="E1769">
        <v>1</v>
      </c>
      <c r="F1769">
        <v>1</v>
      </c>
      <c r="G1769">
        <v>0.26100000000000001</v>
      </c>
      <c r="H1769">
        <v>0</v>
      </c>
      <c r="I1769" t="s">
        <v>0</v>
      </c>
      <c r="J1769" t="s">
        <v>59</v>
      </c>
      <c r="K1769">
        <v>0</v>
      </c>
      <c r="L1769" t="s">
        <v>60</v>
      </c>
      <c r="M1769">
        <v>1</v>
      </c>
      <c r="N1769" t="s">
        <v>67</v>
      </c>
      <c r="O1769" s="2">
        <v>0.56041666666666667</v>
      </c>
      <c r="P1769">
        <f>0.0050612317*3600</f>
        <v>18.22043412</v>
      </c>
      <c r="Q1769">
        <f>0.0019449098*3600</f>
        <v>7.0016752799999997</v>
      </c>
    </row>
    <row r="1770" spans="1:17" x14ac:dyDescent="0.3">
      <c r="A1770" s="4" t="s">
        <v>47</v>
      </c>
      <c r="B1770" s="6" t="s">
        <v>1552</v>
      </c>
      <c r="C1770">
        <v>298.82674600000001</v>
      </c>
      <c r="D1770">
        <v>295.11175100000003</v>
      </c>
      <c r="E1770">
        <v>1</v>
      </c>
      <c r="F1770">
        <v>1</v>
      </c>
      <c r="G1770">
        <v>0.26100000000000001</v>
      </c>
      <c r="H1770">
        <v>0</v>
      </c>
      <c r="I1770" t="s">
        <v>0</v>
      </c>
      <c r="J1770" t="s">
        <v>59</v>
      </c>
      <c r="K1770">
        <v>0</v>
      </c>
      <c r="L1770" t="s">
        <v>60</v>
      </c>
      <c r="M1770">
        <v>1</v>
      </c>
      <c r="N1770" t="s">
        <v>67</v>
      </c>
      <c r="O1770" s="2">
        <v>0.56041666666666667</v>
      </c>
      <c r="P1770">
        <f>0.0051169009*3600</f>
        <v>18.42084324</v>
      </c>
      <c r="Q1770">
        <f>0.002019612*3600</f>
        <v>7.2706032</v>
      </c>
    </row>
    <row r="1771" spans="1:17" x14ac:dyDescent="0.3">
      <c r="A1771" s="4" t="s">
        <v>47</v>
      </c>
      <c r="B1771" s="6" t="s">
        <v>1553</v>
      </c>
      <c r="C1771">
        <v>298.82667700000002</v>
      </c>
      <c r="D1771">
        <v>295.11187799999999</v>
      </c>
      <c r="E1771">
        <v>1</v>
      </c>
      <c r="F1771">
        <v>1</v>
      </c>
      <c r="G1771">
        <v>0.26100000000000001</v>
      </c>
      <c r="H1771">
        <v>0</v>
      </c>
      <c r="I1771" t="s">
        <v>0</v>
      </c>
      <c r="J1771" t="s">
        <v>59</v>
      </c>
      <c r="K1771">
        <v>0</v>
      </c>
      <c r="L1771" t="s">
        <v>60</v>
      </c>
      <c r="M1771">
        <v>1</v>
      </c>
      <c r="N1771" t="s">
        <v>67</v>
      </c>
      <c r="O1771" s="2">
        <v>0.56111111111111112</v>
      </c>
      <c r="P1771">
        <f>0.0052031562*3600</f>
        <v>18.731362319999999</v>
      </c>
      <c r="Q1771">
        <f>0.0020461821*3600</f>
        <v>7.3662555600000008</v>
      </c>
    </row>
    <row r="1772" spans="1:17" x14ac:dyDescent="0.3">
      <c r="A1772" s="4" t="s">
        <v>47</v>
      </c>
      <c r="B1772" s="6" t="s">
        <v>1554</v>
      </c>
      <c r="C1772">
        <v>298.82644599999998</v>
      </c>
      <c r="D1772">
        <v>295.11200100000002</v>
      </c>
      <c r="E1772">
        <v>1</v>
      </c>
      <c r="F1772">
        <v>1</v>
      </c>
      <c r="G1772">
        <v>0.26100000000000001</v>
      </c>
      <c r="H1772">
        <v>0</v>
      </c>
      <c r="I1772" t="s">
        <v>0</v>
      </c>
      <c r="J1772" t="s">
        <v>59</v>
      </c>
      <c r="K1772">
        <v>0</v>
      </c>
      <c r="L1772" t="s">
        <v>60</v>
      </c>
      <c r="M1772">
        <v>1</v>
      </c>
      <c r="N1772" t="s">
        <v>67</v>
      </c>
      <c r="O1772" s="2">
        <v>0.56111111111111112</v>
      </c>
      <c r="P1772">
        <f>0.0050647131*3600</f>
        <v>18.232967159999998</v>
      </c>
      <c r="Q1772">
        <f>0.0021654515*3600</f>
        <v>7.7956253999999996</v>
      </c>
    </row>
    <row r="1773" spans="1:17" x14ac:dyDescent="0.3">
      <c r="A1773" s="4" t="s">
        <v>47</v>
      </c>
      <c r="B1773" s="6" t="s">
        <v>1555</v>
      </c>
      <c r="C1773">
        <v>298.82766199999998</v>
      </c>
      <c r="D1773">
        <v>295.11208499999998</v>
      </c>
      <c r="E1773">
        <v>1</v>
      </c>
      <c r="F1773">
        <v>1</v>
      </c>
      <c r="G1773">
        <v>0.26100000000000001</v>
      </c>
      <c r="H1773">
        <v>0</v>
      </c>
      <c r="I1773" t="s">
        <v>0</v>
      </c>
      <c r="J1773" t="s">
        <v>59</v>
      </c>
      <c r="K1773">
        <v>0</v>
      </c>
      <c r="L1773" t="s">
        <v>60</v>
      </c>
      <c r="M1773">
        <v>1</v>
      </c>
      <c r="N1773" t="s">
        <v>67</v>
      </c>
      <c r="O1773" s="2">
        <v>0.56111111111111112</v>
      </c>
      <c r="P1773">
        <f>0.0052554729*3600</f>
        <v>18.919702439999998</v>
      </c>
      <c r="Q1773">
        <f>0.0021934379*3600</f>
        <v>7.8963764400000009</v>
      </c>
    </row>
    <row r="1774" spans="1:17" x14ac:dyDescent="0.3">
      <c r="A1774" s="4" t="s">
        <v>47</v>
      </c>
      <c r="B1774" s="6" t="s">
        <v>1556</v>
      </c>
      <c r="C1774">
        <v>298.82653800000003</v>
      </c>
      <c r="D1774">
        <v>295.11184900000001</v>
      </c>
      <c r="E1774">
        <v>1</v>
      </c>
      <c r="F1774">
        <v>1</v>
      </c>
      <c r="G1774">
        <v>0.26100000000000001</v>
      </c>
      <c r="H1774">
        <v>0</v>
      </c>
      <c r="I1774" t="s">
        <v>0</v>
      </c>
      <c r="J1774" t="s">
        <v>59</v>
      </c>
      <c r="K1774">
        <v>0</v>
      </c>
      <c r="L1774" t="s">
        <v>60</v>
      </c>
      <c r="M1774">
        <v>1</v>
      </c>
      <c r="N1774" t="s">
        <v>67</v>
      </c>
      <c r="O1774" s="2">
        <v>0.56111111111111112</v>
      </c>
      <c r="P1774">
        <f>0.0052861959*3600</f>
        <v>19.030305240000001</v>
      </c>
      <c r="Q1774">
        <f>0.0019660142*3600</f>
        <v>7.0776511199999996</v>
      </c>
    </row>
    <row r="1775" spans="1:17" x14ac:dyDescent="0.3">
      <c r="A1775" s="4" t="s">
        <v>47</v>
      </c>
      <c r="B1775" s="6" t="s">
        <v>1557</v>
      </c>
      <c r="C1775">
        <v>298.82742000000002</v>
      </c>
      <c r="D1775">
        <v>295.11220600000001</v>
      </c>
      <c r="E1775">
        <v>1</v>
      </c>
      <c r="F1775">
        <v>1</v>
      </c>
      <c r="G1775">
        <v>0.26100000000000001</v>
      </c>
      <c r="H1775">
        <v>0</v>
      </c>
      <c r="I1775" t="s">
        <v>0</v>
      </c>
      <c r="J1775" t="s">
        <v>59</v>
      </c>
      <c r="K1775">
        <v>0</v>
      </c>
      <c r="L1775" t="s">
        <v>60</v>
      </c>
      <c r="M1775">
        <v>1</v>
      </c>
      <c r="N1775" t="s">
        <v>67</v>
      </c>
      <c r="O1775" s="2">
        <v>0.56111111111111112</v>
      </c>
      <c r="P1775">
        <f>0.0051828937*3600</f>
        <v>18.658417319999998</v>
      </c>
      <c r="Q1775">
        <f>0.0022157585*3600</f>
        <v>7.9767306000000007</v>
      </c>
    </row>
    <row r="1776" spans="1:17" x14ac:dyDescent="0.3">
      <c r="A1776" s="4" t="s">
        <v>47</v>
      </c>
      <c r="B1776" s="6" t="s">
        <v>1558</v>
      </c>
      <c r="C1776">
        <v>298.82718199999999</v>
      </c>
      <c r="D1776">
        <v>295.11194799999998</v>
      </c>
      <c r="E1776">
        <v>1</v>
      </c>
      <c r="F1776">
        <v>1</v>
      </c>
      <c r="G1776">
        <v>0.26100000000000001</v>
      </c>
      <c r="H1776">
        <v>0</v>
      </c>
      <c r="I1776" t="s">
        <v>0</v>
      </c>
      <c r="J1776" t="s">
        <v>59</v>
      </c>
      <c r="K1776">
        <v>0</v>
      </c>
      <c r="L1776" t="s">
        <v>60</v>
      </c>
      <c r="M1776">
        <v>1</v>
      </c>
      <c r="N1776" t="s">
        <v>67</v>
      </c>
      <c r="O1776" s="2">
        <v>0.56111111111111112</v>
      </c>
      <c r="P1776">
        <f>0.0052379122*3600</f>
        <v>18.856483919999999</v>
      </c>
      <c r="Q1776">
        <f>0.0019888106*3600</f>
        <v>7.1597181599999997</v>
      </c>
    </row>
    <row r="1777" spans="1:17" x14ac:dyDescent="0.3">
      <c r="A1777" s="4" t="s">
        <v>47</v>
      </c>
      <c r="B1777" s="6" t="s">
        <v>1559</v>
      </c>
      <c r="C1777">
        <v>298.82670300000001</v>
      </c>
      <c r="D1777">
        <v>295.11418600000002</v>
      </c>
      <c r="E1777">
        <v>1</v>
      </c>
      <c r="F1777">
        <v>1</v>
      </c>
      <c r="G1777">
        <v>0.26100000000000001</v>
      </c>
      <c r="H1777">
        <v>0</v>
      </c>
      <c r="I1777" t="s">
        <v>0</v>
      </c>
      <c r="J1777" t="s">
        <v>59</v>
      </c>
      <c r="K1777">
        <v>0</v>
      </c>
      <c r="L1777" t="s">
        <v>60</v>
      </c>
      <c r="M1777">
        <v>1</v>
      </c>
      <c r="N1777" t="s">
        <v>67</v>
      </c>
      <c r="O1777" s="2">
        <v>0.56111111111111112</v>
      </c>
      <c r="P1777">
        <f>0.0051467772*3600</f>
        <v>18.52839792</v>
      </c>
      <c r="Q1777">
        <f>0.0030035048*3600</f>
        <v>10.81261728</v>
      </c>
    </row>
    <row r="1778" spans="1:17" x14ac:dyDescent="0.3">
      <c r="A1778" s="4" t="s">
        <v>47</v>
      </c>
      <c r="B1778" s="6" t="s">
        <v>1560</v>
      </c>
      <c r="C1778">
        <v>298.82701800000001</v>
      </c>
      <c r="D1778">
        <v>295.11419100000001</v>
      </c>
      <c r="E1778">
        <v>1</v>
      </c>
      <c r="F1778">
        <v>1</v>
      </c>
      <c r="G1778">
        <v>0.26100000000000001</v>
      </c>
      <c r="H1778">
        <v>0</v>
      </c>
      <c r="I1778" t="s">
        <v>0</v>
      </c>
      <c r="J1778" t="s">
        <v>59</v>
      </c>
      <c r="K1778">
        <v>0</v>
      </c>
      <c r="L1778" t="s">
        <v>60</v>
      </c>
      <c r="M1778">
        <v>1</v>
      </c>
      <c r="N1778" t="s">
        <v>67</v>
      </c>
      <c r="O1778" s="2">
        <v>0.56111111111111112</v>
      </c>
      <c r="P1778">
        <f>0.0052252362*3600</f>
        <v>18.81085032</v>
      </c>
      <c r="Q1778">
        <f>0.0030137443*3600</f>
        <v>10.849479480000001</v>
      </c>
    </row>
    <row r="1779" spans="1:17" x14ac:dyDescent="0.3">
      <c r="A1779" s="4" t="s">
        <v>47</v>
      </c>
      <c r="B1779" s="6" t="s">
        <v>1561</v>
      </c>
      <c r="C1779">
        <v>298.82705499999997</v>
      </c>
      <c r="D1779">
        <v>295.11404299999998</v>
      </c>
      <c r="E1779">
        <v>1</v>
      </c>
      <c r="F1779">
        <v>1</v>
      </c>
      <c r="G1779">
        <v>0.26100000000000001</v>
      </c>
      <c r="H1779">
        <v>0</v>
      </c>
      <c r="I1779" t="s">
        <v>0</v>
      </c>
      <c r="J1779" t="s">
        <v>59</v>
      </c>
      <c r="K1779">
        <v>0</v>
      </c>
      <c r="L1779" t="s">
        <v>60</v>
      </c>
      <c r="M1779">
        <v>1</v>
      </c>
      <c r="N1779" t="s">
        <v>67</v>
      </c>
      <c r="O1779" s="2">
        <v>0.56111111111111112</v>
      </c>
      <c r="P1779">
        <f>0.0052811153*3600</f>
        <v>19.012015080000001</v>
      </c>
      <c r="Q1779">
        <f>0.0028941777*3600</f>
        <v>10.419039720000001</v>
      </c>
    </row>
    <row r="1780" spans="1:17" x14ac:dyDescent="0.3">
      <c r="A1780" s="4" t="s">
        <v>47</v>
      </c>
      <c r="B1780" s="6" t="s">
        <v>1562</v>
      </c>
      <c r="C1780">
        <v>298.82694400000003</v>
      </c>
      <c r="D1780">
        <v>295.11387100000002</v>
      </c>
      <c r="E1780">
        <v>1</v>
      </c>
      <c r="F1780">
        <v>1</v>
      </c>
      <c r="G1780">
        <v>0.26100000000000001</v>
      </c>
      <c r="H1780">
        <v>0</v>
      </c>
      <c r="I1780" t="s">
        <v>0</v>
      </c>
      <c r="J1780" t="s">
        <v>59</v>
      </c>
      <c r="K1780">
        <v>0</v>
      </c>
      <c r="L1780" t="s">
        <v>60</v>
      </c>
      <c r="M1780">
        <v>1</v>
      </c>
      <c r="N1780" t="s">
        <v>67</v>
      </c>
      <c r="O1780" s="2">
        <v>0.56111111111111112</v>
      </c>
      <c r="P1780">
        <f>0.0052490449*3600</f>
        <v>18.896561640000002</v>
      </c>
      <c r="Q1780">
        <f>0.0026948755*3600</f>
        <v>9.7015518000000007</v>
      </c>
    </row>
    <row r="1781" spans="1:17" x14ac:dyDescent="0.3">
      <c r="A1781" s="4" t="s">
        <v>47</v>
      </c>
      <c r="B1781" s="6" t="s">
        <v>1563</v>
      </c>
      <c r="C1781">
        <v>298.826708</v>
      </c>
      <c r="D1781">
        <v>295.11382200000003</v>
      </c>
      <c r="E1781">
        <v>1</v>
      </c>
      <c r="F1781">
        <v>1</v>
      </c>
      <c r="G1781">
        <v>0.26100000000000001</v>
      </c>
      <c r="H1781">
        <v>0</v>
      </c>
      <c r="I1781" t="s">
        <v>0</v>
      </c>
      <c r="J1781" t="s">
        <v>59</v>
      </c>
      <c r="K1781">
        <v>0</v>
      </c>
      <c r="L1781" t="s">
        <v>60</v>
      </c>
      <c r="M1781">
        <v>1</v>
      </c>
      <c r="N1781" t="s">
        <v>67</v>
      </c>
      <c r="O1781" s="2">
        <v>0.56111111111111112</v>
      </c>
      <c r="P1781">
        <f>0.0053925906*3600</f>
        <v>19.41332616</v>
      </c>
      <c r="Q1781">
        <f>0.0026270204*3600</f>
        <v>9.4572734399999998</v>
      </c>
    </row>
    <row r="1782" spans="1:17" x14ac:dyDescent="0.3">
      <c r="A1782" s="4" t="s">
        <v>47</v>
      </c>
      <c r="B1782" s="6" t="s">
        <v>1564</v>
      </c>
      <c r="C1782">
        <v>298.82731999999999</v>
      </c>
      <c r="D1782">
        <v>295.11380400000002</v>
      </c>
      <c r="E1782">
        <v>1</v>
      </c>
      <c r="F1782">
        <v>1</v>
      </c>
      <c r="G1782">
        <v>0.26100000000000001</v>
      </c>
      <c r="H1782">
        <v>0</v>
      </c>
      <c r="I1782" t="s">
        <v>0</v>
      </c>
      <c r="J1782" t="s">
        <v>59</v>
      </c>
      <c r="K1782">
        <v>0</v>
      </c>
      <c r="L1782" t="s">
        <v>60</v>
      </c>
      <c r="M1782">
        <v>1</v>
      </c>
      <c r="N1782" t="s">
        <v>67</v>
      </c>
      <c r="O1782" s="2">
        <v>0.56111111111111112</v>
      </c>
      <c r="P1782">
        <f>0.0045335796*3600</f>
        <v>16.320886559999998</v>
      </c>
      <c r="Q1782">
        <f>0.0026530565*3600</f>
        <v>9.5510034000000008</v>
      </c>
    </row>
    <row r="1783" spans="1:17" x14ac:dyDescent="0.3">
      <c r="A1783" s="4" t="s">
        <v>47</v>
      </c>
      <c r="B1783" s="6" t="s">
        <v>1565</v>
      </c>
      <c r="C1783">
        <v>298.82784299999997</v>
      </c>
      <c r="D1783">
        <v>295.11390999999998</v>
      </c>
      <c r="E1783">
        <v>1</v>
      </c>
      <c r="F1783">
        <v>1</v>
      </c>
      <c r="G1783">
        <v>0.26100000000000001</v>
      </c>
      <c r="H1783">
        <v>0</v>
      </c>
      <c r="I1783" t="s">
        <v>0</v>
      </c>
      <c r="J1783" t="s">
        <v>59</v>
      </c>
      <c r="K1783">
        <v>0</v>
      </c>
      <c r="L1783" t="s">
        <v>60</v>
      </c>
      <c r="M1783">
        <v>1</v>
      </c>
      <c r="N1783" t="s">
        <v>67</v>
      </c>
      <c r="O1783" s="2">
        <v>0.56111111111111112</v>
      </c>
      <c r="P1783">
        <f>0.0047204259*3600</f>
        <v>16.993533240000001</v>
      </c>
      <c r="Q1783">
        <f>0.0027566989*3600</f>
        <v>9.9241160399999995</v>
      </c>
    </row>
    <row r="1784" spans="1:17" x14ac:dyDescent="0.3">
      <c r="A1784" s="4" t="s">
        <v>47</v>
      </c>
      <c r="B1784" s="6" t="s">
        <v>1566</v>
      </c>
      <c r="C1784">
        <v>298.82786099999998</v>
      </c>
      <c r="D1784">
        <v>295.11386900000002</v>
      </c>
      <c r="E1784">
        <v>1</v>
      </c>
      <c r="F1784">
        <v>1</v>
      </c>
      <c r="G1784">
        <v>0.26100000000000001</v>
      </c>
      <c r="H1784">
        <v>0</v>
      </c>
      <c r="I1784" t="s">
        <v>0</v>
      </c>
      <c r="J1784" t="s">
        <v>59</v>
      </c>
      <c r="K1784">
        <v>0</v>
      </c>
      <c r="L1784" t="s">
        <v>60</v>
      </c>
      <c r="M1784">
        <v>1</v>
      </c>
      <c r="N1784" t="s">
        <v>67</v>
      </c>
      <c r="O1784" s="2">
        <v>0.56111111111111112</v>
      </c>
      <c r="P1784">
        <f>0.0045756967*3600</f>
        <v>16.472508120000001</v>
      </c>
      <c r="Q1784">
        <f>0.0027252737*3600</f>
        <v>9.8109853200000003</v>
      </c>
    </row>
    <row r="1785" spans="1:17" x14ac:dyDescent="0.3">
      <c r="A1785" s="4" t="s">
        <v>47</v>
      </c>
      <c r="B1785" s="6" t="s">
        <v>1567</v>
      </c>
      <c r="C1785">
        <v>298.827158</v>
      </c>
      <c r="D1785">
        <v>295.11396300000001</v>
      </c>
      <c r="E1785">
        <v>1</v>
      </c>
      <c r="F1785">
        <v>1</v>
      </c>
      <c r="G1785">
        <v>0.26100000000000001</v>
      </c>
      <c r="H1785">
        <v>0</v>
      </c>
      <c r="I1785" t="s">
        <v>0</v>
      </c>
      <c r="J1785" t="s">
        <v>59</v>
      </c>
      <c r="K1785">
        <v>0</v>
      </c>
      <c r="L1785" t="s">
        <v>60</v>
      </c>
      <c r="M1785">
        <v>1</v>
      </c>
      <c r="N1785" t="s">
        <v>67</v>
      </c>
      <c r="O1785" s="2">
        <v>0.56111111111111112</v>
      </c>
      <c r="P1785">
        <f>0.0045570134*3600</f>
        <v>16.405248239999999</v>
      </c>
      <c r="Q1785">
        <f>0.0028091266*3600</f>
        <v>10.11285576</v>
      </c>
    </row>
    <row r="1786" spans="1:17" x14ac:dyDescent="0.3">
      <c r="A1786" s="4" t="s">
        <v>47</v>
      </c>
      <c r="B1786" s="6" t="s">
        <v>1568</v>
      </c>
      <c r="C1786">
        <v>298.82772399999999</v>
      </c>
      <c r="D1786">
        <v>295.11394100000001</v>
      </c>
      <c r="E1786">
        <v>1</v>
      </c>
      <c r="F1786">
        <v>1</v>
      </c>
      <c r="G1786">
        <v>0.26100000000000001</v>
      </c>
      <c r="H1786">
        <v>0</v>
      </c>
      <c r="I1786" t="s">
        <v>0</v>
      </c>
      <c r="J1786" t="s">
        <v>59</v>
      </c>
      <c r="K1786">
        <v>0</v>
      </c>
      <c r="L1786" t="s">
        <v>60</v>
      </c>
      <c r="M1786">
        <v>1</v>
      </c>
      <c r="N1786" t="s">
        <v>67</v>
      </c>
      <c r="O1786" s="2">
        <v>0.56111111111111112</v>
      </c>
      <c r="P1786">
        <f>0.0044567969*3600</f>
        <v>16.04446884</v>
      </c>
      <c r="Q1786">
        <f>0.0027451433*3600</f>
        <v>9.8825158799999997</v>
      </c>
    </row>
    <row r="1787" spans="1:17" x14ac:dyDescent="0.3">
      <c r="A1787" s="4" t="s">
        <v>47</v>
      </c>
      <c r="B1787" s="6" t="s">
        <v>1569</v>
      </c>
      <c r="C1787">
        <v>298.82723099999998</v>
      </c>
      <c r="D1787">
        <v>295.11391900000001</v>
      </c>
      <c r="E1787">
        <v>1</v>
      </c>
      <c r="F1787">
        <v>1</v>
      </c>
      <c r="G1787">
        <v>0.26100000000000001</v>
      </c>
      <c r="H1787">
        <v>0</v>
      </c>
      <c r="I1787" t="s">
        <v>0</v>
      </c>
      <c r="J1787" t="s">
        <v>59</v>
      </c>
      <c r="K1787">
        <v>0</v>
      </c>
      <c r="L1787" t="s">
        <v>60</v>
      </c>
      <c r="M1787">
        <v>1</v>
      </c>
      <c r="N1787" t="s">
        <v>67</v>
      </c>
      <c r="O1787" s="2">
        <v>0.56111111111111112</v>
      </c>
      <c r="P1787">
        <f>0.0044712251*3600</f>
        <v>16.09641036</v>
      </c>
      <c r="Q1787">
        <f>0.0027220643*3600</f>
        <v>9.7994314799999991</v>
      </c>
    </row>
    <row r="1788" spans="1:17" x14ac:dyDescent="0.3">
      <c r="A1788" s="4" t="s">
        <v>47</v>
      </c>
      <c r="B1788" s="6" t="s">
        <v>1570</v>
      </c>
      <c r="C1788">
        <v>298.82747999999998</v>
      </c>
      <c r="D1788">
        <v>295.11393099999998</v>
      </c>
      <c r="E1788">
        <v>1</v>
      </c>
      <c r="F1788">
        <v>1</v>
      </c>
      <c r="G1788">
        <v>0.26100000000000001</v>
      </c>
      <c r="H1788">
        <v>0</v>
      </c>
      <c r="I1788" t="s">
        <v>0</v>
      </c>
      <c r="J1788" t="s">
        <v>59</v>
      </c>
      <c r="K1788">
        <v>0</v>
      </c>
      <c r="L1788" t="s">
        <v>60</v>
      </c>
      <c r="M1788">
        <v>1</v>
      </c>
      <c r="N1788" t="s">
        <v>67</v>
      </c>
      <c r="O1788" s="2">
        <v>0.56111111111111112</v>
      </c>
      <c r="P1788">
        <f>0.004469723*3600</f>
        <v>16.091002800000002</v>
      </c>
      <c r="Q1788">
        <f>0.0027635769*3600</f>
        <v>9.9488768400000005</v>
      </c>
    </row>
    <row r="1789" spans="1:17" x14ac:dyDescent="0.3">
      <c r="A1789" s="4" t="s">
        <v>47</v>
      </c>
      <c r="B1789" s="6" t="s">
        <v>1571</v>
      </c>
      <c r="C1789">
        <v>298.82662399999998</v>
      </c>
      <c r="D1789">
        <v>295.113923</v>
      </c>
      <c r="E1789">
        <v>1</v>
      </c>
      <c r="F1789">
        <v>1</v>
      </c>
      <c r="G1789">
        <v>0.26100000000000001</v>
      </c>
      <c r="H1789">
        <v>0</v>
      </c>
      <c r="I1789" t="s">
        <v>0</v>
      </c>
      <c r="J1789" t="s">
        <v>59</v>
      </c>
      <c r="K1789">
        <v>0</v>
      </c>
      <c r="L1789" t="s">
        <v>60</v>
      </c>
      <c r="M1789">
        <v>1</v>
      </c>
      <c r="N1789" t="s">
        <v>67</v>
      </c>
      <c r="O1789" s="2">
        <v>0.56111111111111112</v>
      </c>
      <c r="P1789">
        <f>0.0045095466*3600</f>
        <v>16.234367760000001</v>
      </c>
      <c r="Q1789">
        <f>0.0027604525*3600</f>
        <v>9.9376290000000012</v>
      </c>
    </row>
    <row r="1790" spans="1:17" x14ac:dyDescent="0.3">
      <c r="A1790" s="4" t="s">
        <v>47</v>
      </c>
      <c r="B1790" s="6" t="s">
        <v>1572</v>
      </c>
      <c r="C1790">
        <v>298.82691899999998</v>
      </c>
      <c r="D1790">
        <v>295.11395599999997</v>
      </c>
      <c r="E1790">
        <v>1</v>
      </c>
      <c r="F1790">
        <v>1</v>
      </c>
      <c r="G1790">
        <v>0.26100000000000001</v>
      </c>
      <c r="H1790">
        <v>0</v>
      </c>
      <c r="I1790" t="s">
        <v>0</v>
      </c>
      <c r="J1790" t="s">
        <v>59</v>
      </c>
      <c r="K1790">
        <v>0</v>
      </c>
      <c r="L1790" t="s">
        <v>60</v>
      </c>
      <c r="M1790">
        <v>1</v>
      </c>
      <c r="N1790" t="s">
        <v>67</v>
      </c>
      <c r="O1790" s="2">
        <v>0.56111111111111112</v>
      </c>
      <c r="P1790">
        <f>0.0044535037*3600</f>
        <v>16.032613319999999</v>
      </c>
      <c r="Q1790">
        <f>0.0027719641*3600</f>
        <v>9.9790707600000008</v>
      </c>
    </row>
    <row r="1791" spans="1:17" x14ac:dyDescent="0.3">
      <c r="A1791" s="4" t="s">
        <v>47</v>
      </c>
      <c r="B1791" s="6" t="s">
        <v>1573</v>
      </c>
      <c r="C1791">
        <v>298.82683300000002</v>
      </c>
      <c r="D1791">
        <v>295.11396000000002</v>
      </c>
      <c r="E1791">
        <v>1</v>
      </c>
      <c r="F1791">
        <v>1</v>
      </c>
      <c r="G1791">
        <v>0.26100000000000001</v>
      </c>
      <c r="H1791">
        <v>0</v>
      </c>
      <c r="I1791" t="s">
        <v>0</v>
      </c>
      <c r="J1791" t="s">
        <v>59</v>
      </c>
      <c r="K1791">
        <v>0</v>
      </c>
      <c r="L1791" t="s">
        <v>60</v>
      </c>
      <c r="M1791">
        <v>1</v>
      </c>
      <c r="N1791" t="s">
        <v>67</v>
      </c>
      <c r="O1791" s="2">
        <v>0.56111111111111112</v>
      </c>
      <c r="P1791">
        <f>0.0046285924*3600</f>
        <v>16.662932640000001</v>
      </c>
      <c r="Q1791">
        <f>0.0027868993*3600</f>
        <v>10.03283748</v>
      </c>
    </row>
    <row r="1792" spans="1:17" x14ac:dyDescent="0.3">
      <c r="A1792" s="4" t="s">
        <v>47</v>
      </c>
      <c r="B1792" s="6" t="s">
        <v>1574</v>
      </c>
      <c r="C1792">
        <v>298.826999</v>
      </c>
      <c r="D1792">
        <v>295.11394799999999</v>
      </c>
      <c r="E1792">
        <v>1</v>
      </c>
      <c r="F1792">
        <v>1</v>
      </c>
      <c r="G1792">
        <v>0.26100000000000001</v>
      </c>
      <c r="H1792">
        <v>0</v>
      </c>
      <c r="I1792" t="s">
        <v>0</v>
      </c>
      <c r="J1792" t="s">
        <v>59</v>
      </c>
      <c r="K1792">
        <v>0</v>
      </c>
      <c r="L1792" t="s">
        <v>60</v>
      </c>
      <c r="M1792">
        <v>1</v>
      </c>
      <c r="N1792" t="s">
        <v>67</v>
      </c>
      <c r="O1792" s="2">
        <v>0.56111111111111112</v>
      </c>
      <c r="P1792">
        <f>0.004602297*3600</f>
        <v>16.5682692</v>
      </c>
      <c r="Q1792">
        <f>0.002763256*3600</f>
        <v>9.9477215999999995</v>
      </c>
    </row>
    <row r="1793" spans="1:18" x14ac:dyDescent="0.3">
      <c r="A1793" s="4" t="s">
        <v>47</v>
      </c>
      <c r="B1793" s="6" t="s">
        <v>1575</v>
      </c>
      <c r="C1793">
        <v>298.82689099999999</v>
      </c>
      <c r="D1793">
        <v>295.11379099999999</v>
      </c>
      <c r="E1793">
        <v>1</v>
      </c>
      <c r="F1793">
        <v>1</v>
      </c>
      <c r="G1793">
        <v>0.26100000000000001</v>
      </c>
      <c r="H1793">
        <v>0</v>
      </c>
      <c r="I1793" t="s">
        <v>0</v>
      </c>
      <c r="J1793" t="s">
        <v>59</v>
      </c>
      <c r="K1793">
        <v>0</v>
      </c>
      <c r="L1793" t="s">
        <v>60</v>
      </c>
      <c r="M1793">
        <v>1</v>
      </c>
      <c r="N1793" t="s">
        <v>67</v>
      </c>
      <c r="O1793" s="2">
        <v>0.56111111111111112</v>
      </c>
      <c r="P1793">
        <f>0.0045771787*3600</f>
        <v>16.477843320000002</v>
      </c>
      <c r="Q1793">
        <f>0.002619018*3600</f>
        <v>9.4284647999999986</v>
      </c>
    </row>
    <row r="1794" spans="1:18" x14ac:dyDescent="0.3">
      <c r="A1794" s="4" t="s">
        <v>47</v>
      </c>
      <c r="B1794" s="6" t="s">
        <v>1576</v>
      </c>
      <c r="C1794">
        <v>298.827245</v>
      </c>
      <c r="D1794">
        <v>295.11405600000001</v>
      </c>
      <c r="E1794">
        <v>1</v>
      </c>
      <c r="F1794">
        <v>1</v>
      </c>
      <c r="G1794">
        <v>0.26100000000000001</v>
      </c>
      <c r="H1794">
        <v>0</v>
      </c>
      <c r="I1794" t="s">
        <v>0</v>
      </c>
      <c r="J1794" t="s">
        <v>59</v>
      </c>
      <c r="K1794">
        <v>0</v>
      </c>
      <c r="L1794" t="s">
        <v>60</v>
      </c>
      <c r="M1794">
        <v>1</v>
      </c>
      <c r="N1794" t="s">
        <v>67</v>
      </c>
      <c r="O1794" s="2">
        <v>0.56111111111111112</v>
      </c>
      <c r="P1794">
        <f>0.0046530406*3600</f>
        <v>16.750946160000002</v>
      </c>
      <c r="Q1794">
        <f>0.0028608345*3600</f>
        <v>10.299004200000001</v>
      </c>
    </row>
    <row r="1795" spans="1:18" x14ac:dyDescent="0.3">
      <c r="A1795" s="4" t="s">
        <v>47</v>
      </c>
      <c r="B1795" s="6" t="s">
        <v>1577</v>
      </c>
      <c r="C1795">
        <v>298.82682499999999</v>
      </c>
      <c r="D1795">
        <v>295.11433199999999</v>
      </c>
      <c r="E1795">
        <v>1</v>
      </c>
      <c r="F1795">
        <v>1</v>
      </c>
      <c r="G1795">
        <v>0.26100000000000001</v>
      </c>
      <c r="H1795">
        <v>0</v>
      </c>
      <c r="I1795" t="s">
        <v>0</v>
      </c>
      <c r="J1795" t="s">
        <v>59</v>
      </c>
      <c r="K1795">
        <v>0</v>
      </c>
      <c r="L1795" t="s">
        <v>60</v>
      </c>
      <c r="M1795">
        <v>1</v>
      </c>
      <c r="N1795" t="s">
        <v>67</v>
      </c>
      <c r="O1795" s="2">
        <v>0.56180555555555556</v>
      </c>
      <c r="P1795">
        <f>0.0049386385*3600</f>
        <v>17.779098600000001</v>
      </c>
      <c r="Q1795">
        <f>0.0031539458*3600</f>
        <v>11.354204879999999</v>
      </c>
    </row>
    <row r="1796" spans="1:18" x14ac:dyDescent="0.3">
      <c r="A1796" s="4" t="s">
        <v>47</v>
      </c>
      <c r="B1796" s="5" t="s">
        <v>49</v>
      </c>
      <c r="C1796">
        <v>202.34740500000001</v>
      </c>
      <c r="D1796">
        <v>99.288955000000001</v>
      </c>
      <c r="E1796">
        <v>502.99829999999997</v>
      </c>
      <c r="F1796">
        <v>502.8766</v>
      </c>
      <c r="G1796">
        <v>0.26100000000000001</v>
      </c>
      <c r="H1796">
        <v>1.764</v>
      </c>
      <c r="I1796" t="s">
        <v>0</v>
      </c>
      <c r="J1796" t="s">
        <v>50</v>
      </c>
      <c r="K1796" t="s">
        <v>51</v>
      </c>
      <c r="L1796">
        <v>0</v>
      </c>
      <c r="M1796" t="s">
        <v>52</v>
      </c>
      <c r="N1796">
        <v>1</v>
      </c>
      <c r="O1796" t="s">
        <v>53</v>
      </c>
      <c r="P1796" s="2">
        <v>0.5625</v>
      </c>
      <c r="Q1796">
        <f>0.0039176835*3600</f>
        <v>14.1036606</v>
      </c>
      <c r="R1796">
        <f>-0.00545772*3600</f>
        <v>-19.647791999999999</v>
      </c>
    </row>
    <row r="1797" spans="1:18" x14ac:dyDescent="0.3">
      <c r="A1797" s="4" t="s">
        <v>47</v>
      </c>
      <c r="B1797" s="6" t="s">
        <v>49</v>
      </c>
      <c r="C1797">
        <v>2.3474249999999999</v>
      </c>
      <c r="D1797">
        <v>300.71060999999997</v>
      </c>
      <c r="E1797">
        <v>502.99880000000002</v>
      </c>
      <c r="F1797">
        <v>502.87720000000002</v>
      </c>
      <c r="G1797">
        <v>0.26100000000000001</v>
      </c>
      <c r="H1797">
        <v>1.764</v>
      </c>
      <c r="I1797" t="s">
        <v>0</v>
      </c>
      <c r="J1797" t="s">
        <v>50</v>
      </c>
      <c r="K1797" t="s">
        <v>51</v>
      </c>
      <c r="L1797">
        <v>0</v>
      </c>
      <c r="M1797" t="s">
        <v>52</v>
      </c>
      <c r="N1797">
        <v>1</v>
      </c>
      <c r="O1797" t="s">
        <v>53</v>
      </c>
      <c r="P1797" s="2">
        <v>0.56458333333333333</v>
      </c>
      <c r="Q1797">
        <f>-0.0064698802*3600</f>
        <v>-23.291568720000001</v>
      </c>
      <c r="R1797">
        <f>0.003399452*3600</f>
        <v>12.238027199999999</v>
      </c>
    </row>
    <row r="1798" spans="1:18" x14ac:dyDescent="0.3">
      <c r="A1798" s="4" t="s">
        <v>47</v>
      </c>
      <c r="B1798" s="5" t="s">
        <v>57</v>
      </c>
      <c r="C1798">
        <v>1.2847759999999999</v>
      </c>
      <c r="D1798">
        <v>99.157859000000002</v>
      </c>
      <c r="E1798">
        <v>37.385800000000003</v>
      </c>
      <c r="F1798">
        <v>37.375900000000001</v>
      </c>
      <c r="G1798">
        <v>0.26100000000000001</v>
      </c>
      <c r="H1798">
        <v>0</v>
      </c>
      <c r="I1798" t="s">
        <v>0</v>
      </c>
      <c r="J1798" t="s">
        <v>50</v>
      </c>
      <c r="K1798" t="s">
        <v>51</v>
      </c>
      <c r="L1798">
        <v>0</v>
      </c>
      <c r="M1798" t="s">
        <v>52</v>
      </c>
      <c r="N1798">
        <v>1</v>
      </c>
      <c r="O1798" t="s">
        <v>53</v>
      </c>
      <c r="P1798" s="2">
        <v>0.56527777777777777</v>
      </c>
      <c r="Q1798">
        <f>-0.0058771262*3600</f>
        <v>-21.157654319999999</v>
      </c>
      <c r="R1798">
        <f>0.0049042855*3600</f>
        <v>17.655427800000002</v>
      </c>
    </row>
    <row r="1799" spans="1:18" x14ac:dyDescent="0.3">
      <c r="A1799" s="4" t="s">
        <v>47</v>
      </c>
      <c r="B1799" s="6" t="s">
        <v>57</v>
      </c>
      <c r="C1799">
        <v>201.28464199999999</v>
      </c>
      <c r="D1799">
        <v>300.84123499999998</v>
      </c>
      <c r="E1799">
        <v>37.385800000000003</v>
      </c>
      <c r="F1799">
        <v>37.375900000000001</v>
      </c>
      <c r="G1799">
        <v>0.26100000000000001</v>
      </c>
      <c r="H1799">
        <v>0</v>
      </c>
      <c r="I1799" t="s">
        <v>0</v>
      </c>
      <c r="J1799" t="s">
        <v>50</v>
      </c>
      <c r="K1799" t="s">
        <v>51</v>
      </c>
      <c r="L1799">
        <v>0</v>
      </c>
      <c r="M1799" t="s">
        <v>52</v>
      </c>
      <c r="N1799">
        <v>1</v>
      </c>
      <c r="O1799" t="s">
        <v>53</v>
      </c>
      <c r="P1799" s="2">
        <v>0.56527777777777777</v>
      </c>
      <c r="Q1799">
        <f>0.0051660226*3600</f>
        <v>18.597681360000003</v>
      </c>
      <c r="R1799">
        <f>-0.0050135497*3600</f>
        <v>-18.04877892</v>
      </c>
    </row>
    <row r="1800" spans="1:18" x14ac:dyDescent="0.3">
      <c r="A1800" s="4" t="s">
        <v>47</v>
      </c>
      <c r="B1800" s="5" t="s">
        <v>1277</v>
      </c>
      <c r="C1800">
        <v>99.122476000000006</v>
      </c>
      <c r="D1800">
        <v>108.924136</v>
      </c>
      <c r="E1800">
        <v>8.0383999999999993</v>
      </c>
      <c r="F1800">
        <v>7.9581</v>
      </c>
      <c r="G1800">
        <v>0.26100000000000001</v>
      </c>
      <c r="H1800">
        <v>0</v>
      </c>
      <c r="I1800" t="s">
        <v>0</v>
      </c>
      <c r="J1800" t="s">
        <v>59</v>
      </c>
      <c r="K1800">
        <v>3.4000000000000002E-2</v>
      </c>
      <c r="L1800" t="s">
        <v>60</v>
      </c>
      <c r="M1800">
        <v>1</v>
      </c>
      <c r="N1800" t="s">
        <v>53</v>
      </c>
      <c r="O1800" s="2">
        <v>0.56805555555555554</v>
      </c>
      <c r="P1800">
        <f>-0.0056872278*3600</f>
        <v>-20.474020079999999</v>
      </c>
      <c r="Q1800">
        <f>-0.0047671903*3600</f>
        <v>-17.161885079999998</v>
      </c>
    </row>
    <row r="1801" spans="1:18" x14ac:dyDescent="0.3">
      <c r="A1801" s="4" t="s">
        <v>47</v>
      </c>
      <c r="B1801" s="5" t="s">
        <v>1278</v>
      </c>
      <c r="C1801">
        <v>99.123144999999994</v>
      </c>
      <c r="D1801">
        <v>108.81839600000001</v>
      </c>
      <c r="E1801">
        <v>1</v>
      </c>
      <c r="F1801">
        <v>1</v>
      </c>
      <c r="G1801">
        <v>0.26100000000000001</v>
      </c>
      <c r="H1801">
        <v>0</v>
      </c>
      <c r="I1801" t="s">
        <v>0</v>
      </c>
      <c r="J1801" t="s">
        <v>59</v>
      </c>
      <c r="K1801">
        <v>0</v>
      </c>
      <c r="L1801" t="s">
        <v>60</v>
      </c>
      <c r="M1801">
        <v>1</v>
      </c>
      <c r="N1801" t="s">
        <v>67</v>
      </c>
      <c r="O1801" s="2">
        <v>0.56805555555555554</v>
      </c>
      <c r="P1801">
        <f>-0.0057401079*3600</f>
        <v>-20.66438844</v>
      </c>
      <c r="Q1801">
        <f>-0.0046412919*3600</f>
        <v>-16.708650840000001</v>
      </c>
    </row>
    <row r="1802" spans="1:18" x14ac:dyDescent="0.3">
      <c r="A1802" s="4" t="s">
        <v>47</v>
      </c>
      <c r="B1802" s="5" t="s">
        <v>1279</v>
      </c>
      <c r="C1802">
        <v>99.123154</v>
      </c>
      <c r="D1802">
        <v>108.818293</v>
      </c>
      <c r="E1802">
        <v>1</v>
      </c>
      <c r="F1802">
        <v>1</v>
      </c>
      <c r="G1802">
        <v>0.26100000000000001</v>
      </c>
      <c r="H1802">
        <v>0</v>
      </c>
      <c r="I1802" t="s">
        <v>0</v>
      </c>
      <c r="J1802" t="s">
        <v>59</v>
      </c>
      <c r="K1802">
        <v>0</v>
      </c>
      <c r="L1802" t="s">
        <v>60</v>
      </c>
      <c r="M1802">
        <v>1</v>
      </c>
      <c r="N1802" t="s">
        <v>67</v>
      </c>
      <c r="O1802" s="2">
        <v>0.56805555555555554</v>
      </c>
      <c r="P1802">
        <f>-0.0057639696*3600</f>
        <v>-20.75029056</v>
      </c>
      <c r="Q1802">
        <f>-0.0047467352*3600</f>
        <v>-17.088246720000001</v>
      </c>
    </row>
    <row r="1803" spans="1:18" x14ac:dyDescent="0.3">
      <c r="A1803" s="4" t="s">
        <v>47</v>
      </c>
      <c r="B1803" s="5" t="s">
        <v>1280</v>
      </c>
      <c r="C1803">
        <v>99.123059999999995</v>
      </c>
      <c r="D1803">
        <v>108.818094</v>
      </c>
      <c r="E1803">
        <v>1</v>
      </c>
      <c r="F1803">
        <v>1</v>
      </c>
      <c r="G1803">
        <v>0.26100000000000001</v>
      </c>
      <c r="H1803">
        <v>0</v>
      </c>
      <c r="I1803" t="s">
        <v>0</v>
      </c>
      <c r="J1803" t="s">
        <v>59</v>
      </c>
      <c r="K1803">
        <v>0</v>
      </c>
      <c r="L1803" t="s">
        <v>60</v>
      </c>
      <c r="M1803">
        <v>1</v>
      </c>
      <c r="N1803" t="s">
        <v>67</v>
      </c>
      <c r="O1803" s="2">
        <v>0.56805555555555554</v>
      </c>
      <c r="P1803">
        <f>-0.0057231789*3600</f>
        <v>-20.603444039999999</v>
      </c>
      <c r="Q1803">
        <f>-0.0049396382*3600</f>
        <v>-17.782697519999999</v>
      </c>
    </row>
    <row r="1804" spans="1:18" x14ac:dyDescent="0.3">
      <c r="A1804" s="4" t="s">
        <v>47</v>
      </c>
      <c r="B1804" s="5" t="s">
        <v>1281</v>
      </c>
      <c r="C1804">
        <v>99.123326000000006</v>
      </c>
      <c r="D1804">
        <v>108.818342</v>
      </c>
      <c r="E1804">
        <v>1</v>
      </c>
      <c r="F1804">
        <v>1</v>
      </c>
      <c r="G1804">
        <v>0.26100000000000001</v>
      </c>
      <c r="H1804">
        <v>0</v>
      </c>
      <c r="I1804" t="s">
        <v>0</v>
      </c>
      <c r="J1804" t="s">
        <v>59</v>
      </c>
      <c r="K1804">
        <v>0</v>
      </c>
      <c r="L1804" t="s">
        <v>60</v>
      </c>
      <c r="M1804">
        <v>1</v>
      </c>
      <c r="N1804" t="s">
        <v>67</v>
      </c>
      <c r="O1804" s="2">
        <v>0.56805555555555554</v>
      </c>
      <c r="P1804">
        <f>-0.0057679849*3600</f>
        <v>-20.764745640000001</v>
      </c>
      <c r="Q1804">
        <f>-0.0046783577*3600</f>
        <v>-16.842087719999999</v>
      </c>
    </row>
    <row r="1805" spans="1:18" x14ac:dyDescent="0.3">
      <c r="A1805" s="4" t="s">
        <v>47</v>
      </c>
      <c r="B1805" s="5" t="s">
        <v>1282</v>
      </c>
      <c r="C1805">
        <v>99.122752000000006</v>
      </c>
      <c r="D1805">
        <v>108.818299</v>
      </c>
      <c r="E1805">
        <v>1</v>
      </c>
      <c r="F1805">
        <v>1</v>
      </c>
      <c r="G1805">
        <v>0.26100000000000001</v>
      </c>
      <c r="H1805">
        <v>0</v>
      </c>
      <c r="I1805" t="s">
        <v>0</v>
      </c>
      <c r="J1805" t="s">
        <v>59</v>
      </c>
      <c r="K1805">
        <v>0</v>
      </c>
      <c r="L1805" t="s">
        <v>60</v>
      </c>
      <c r="M1805">
        <v>1</v>
      </c>
      <c r="N1805" t="s">
        <v>67</v>
      </c>
      <c r="O1805" s="2">
        <v>0.56805555555555554</v>
      </c>
      <c r="P1805">
        <f>-0.0057554518*3600</f>
        <v>-20.719626480000002</v>
      </c>
      <c r="Q1805">
        <f>-0.0046878333*3600</f>
        <v>-16.876199880000001</v>
      </c>
    </row>
    <row r="1806" spans="1:18" x14ac:dyDescent="0.3">
      <c r="A1806" s="4" t="s">
        <v>47</v>
      </c>
      <c r="B1806" s="5" t="s">
        <v>1283</v>
      </c>
      <c r="C1806">
        <v>99.123849000000007</v>
      </c>
      <c r="D1806">
        <v>108.818279</v>
      </c>
      <c r="E1806">
        <v>1</v>
      </c>
      <c r="F1806">
        <v>1</v>
      </c>
      <c r="G1806">
        <v>0.26100000000000001</v>
      </c>
      <c r="H1806">
        <v>0</v>
      </c>
      <c r="I1806" t="s">
        <v>0</v>
      </c>
      <c r="J1806" t="s">
        <v>59</v>
      </c>
      <c r="K1806">
        <v>0</v>
      </c>
      <c r="L1806" t="s">
        <v>60</v>
      </c>
      <c r="M1806">
        <v>1</v>
      </c>
      <c r="N1806" t="s">
        <v>67</v>
      </c>
      <c r="O1806" s="2">
        <v>0.56805555555555554</v>
      </c>
      <c r="P1806">
        <f>-0.0057289068*3600</f>
        <v>-20.624064480000001</v>
      </c>
      <c r="Q1806">
        <f>-0.0047025655*3600</f>
        <v>-16.929235800000001</v>
      </c>
    </row>
    <row r="1807" spans="1:18" x14ac:dyDescent="0.3">
      <c r="A1807" s="4" t="s">
        <v>47</v>
      </c>
      <c r="B1807" s="5" t="s">
        <v>1284</v>
      </c>
      <c r="C1807">
        <v>99.122574</v>
      </c>
      <c r="D1807">
        <v>108.818245</v>
      </c>
      <c r="E1807">
        <v>1</v>
      </c>
      <c r="F1807">
        <v>1</v>
      </c>
      <c r="G1807">
        <v>0.26100000000000001</v>
      </c>
      <c r="H1807">
        <v>0</v>
      </c>
      <c r="I1807" t="s">
        <v>0</v>
      </c>
      <c r="J1807" t="s">
        <v>59</v>
      </c>
      <c r="K1807">
        <v>0</v>
      </c>
      <c r="L1807" t="s">
        <v>60</v>
      </c>
      <c r="M1807">
        <v>1</v>
      </c>
      <c r="N1807" t="s">
        <v>67</v>
      </c>
      <c r="O1807" s="2">
        <v>0.56805555555555554</v>
      </c>
      <c r="P1807">
        <f>-0.0057343821*3600</f>
        <v>-20.643775560000002</v>
      </c>
      <c r="Q1807">
        <f>-0.0047257772*3600</f>
        <v>-17.012797919999997</v>
      </c>
    </row>
    <row r="1808" spans="1:18" x14ac:dyDescent="0.3">
      <c r="A1808" s="4" t="s">
        <v>47</v>
      </c>
      <c r="B1808" s="5" t="s">
        <v>1285</v>
      </c>
      <c r="C1808">
        <v>99.123227999999997</v>
      </c>
      <c r="D1808">
        <v>108.818213</v>
      </c>
      <c r="E1808">
        <v>1</v>
      </c>
      <c r="F1808">
        <v>1</v>
      </c>
      <c r="G1808">
        <v>0.26100000000000001</v>
      </c>
      <c r="H1808">
        <v>0</v>
      </c>
      <c r="I1808" t="s">
        <v>0</v>
      </c>
      <c r="J1808" t="s">
        <v>59</v>
      </c>
      <c r="K1808">
        <v>0</v>
      </c>
      <c r="L1808" t="s">
        <v>60</v>
      </c>
      <c r="M1808">
        <v>1</v>
      </c>
      <c r="N1808" t="s">
        <v>67</v>
      </c>
      <c r="O1808" s="2">
        <v>0.56805555555555554</v>
      </c>
      <c r="P1808">
        <f>-0.005751848*3600</f>
        <v>-20.706652800000001</v>
      </c>
      <c r="Q1808">
        <f>-0.0047228798*3600</f>
        <v>-17.002367280000001</v>
      </c>
    </row>
    <row r="1809" spans="1:17" x14ac:dyDescent="0.3">
      <c r="A1809" s="4" t="s">
        <v>47</v>
      </c>
      <c r="B1809" s="5" t="s">
        <v>1286</v>
      </c>
      <c r="C1809">
        <v>99.123965999999996</v>
      </c>
      <c r="D1809">
        <v>108.81826700000001</v>
      </c>
      <c r="E1809">
        <v>1</v>
      </c>
      <c r="F1809">
        <v>1</v>
      </c>
      <c r="G1809">
        <v>0.26100000000000001</v>
      </c>
      <c r="H1809">
        <v>0</v>
      </c>
      <c r="I1809" t="s">
        <v>0</v>
      </c>
      <c r="J1809" t="s">
        <v>59</v>
      </c>
      <c r="K1809">
        <v>0</v>
      </c>
      <c r="L1809" t="s">
        <v>60</v>
      </c>
      <c r="M1809">
        <v>1</v>
      </c>
      <c r="N1809" t="s">
        <v>67</v>
      </c>
      <c r="O1809" s="2">
        <v>0.56805555555555554</v>
      </c>
      <c r="P1809">
        <f>-0.0057307968*3600</f>
        <v>-20.63086848</v>
      </c>
      <c r="Q1809">
        <f>-0.0046525484*3600</f>
        <v>-16.749174240000002</v>
      </c>
    </row>
    <row r="1810" spans="1:17" x14ac:dyDescent="0.3">
      <c r="A1810" s="4" t="s">
        <v>47</v>
      </c>
      <c r="B1810" s="5" t="s">
        <v>1287</v>
      </c>
      <c r="C1810">
        <v>99.122850999999997</v>
      </c>
      <c r="D1810">
        <v>108.818151</v>
      </c>
      <c r="E1810">
        <v>1</v>
      </c>
      <c r="F1810">
        <v>1</v>
      </c>
      <c r="G1810">
        <v>0.26100000000000001</v>
      </c>
      <c r="H1810">
        <v>0</v>
      </c>
      <c r="I1810" t="s">
        <v>0</v>
      </c>
      <c r="J1810" t="s">
        <v>59</v>
      </c>
      <c r="K1810">
        <v>0</v>
      </c>
      <c r="L1810" t="s">
        <v>60</v>
      </c>
      <c r="M1810">
        <v>1</v>
      </c>
      <c r="N1810" t="s">
        <v>67</v>
      </c>
      <c r="O1810" s="2">
        <v>0.56805555555555554</v>
      </c>
      <c r="P1810">
        <f>-0.0057208756*3600</f>
        <v>-20.595152159999998</v>
      </c>
      <c r="Q1810">
        <f>-0.0047457373*3600</f>
        <v>-17.084654280000002</v>
      </c>
    </row>
    <row r="1811" spans="1:17" x14ac:dyDescent="0.3">
      <c r="A1811" s="4" t="s">
        <v>47</v>
      </c>
      <c r="B1811" s="5" t="s">
        <v>1288</v>
      </c>
      <c r="C1811">
        <v>99.122754999999998</v>
      </c>
      <c r="D1811">
        <v>108.818264</v>
      </c>
      <c r="E1811">
        <v>1</v>
      </c>
      <c r="F1811">
        <v>1</v>
      </c>
      <c r="G1811">
        <v>0.26100000000000001</v>
      </c>
      <c r="H1811">
        <v>0</v>
      </c>
      <c r="I1811" t="s">
        <v>0</v>
      </c>
      <c r="J1811" t="s">
        <v>59</v>
      </c>
      <c r="K1811">
        <v>0</v>
      </c>
      <c r="L1811" t="s">
        <v>60</v>
      </c>
      <c r="M1811">
        <v>1</v>
      </c>
      <c r="N1811" t="s">
        <v>67</v>
      </c>
      <c r="O1811" s="2">
        <v>0.56805555555555554</v>
      </c>
      <c r="P1811">
        <f>-0.005650876*3600</f>
        <v>-20.343153600000001</v>
      </c>
      <c r="Q1811">
        <f>-0.0046125715*3600</f>
        <v>-16.605257399999999</v>
      </c>
    </row>
    <row r="1812" spans="1:17" x14ac:dyDescent="0.3">
      <c r="A1812" s="4" t="s">
        <v>47</v>
      </c>
      <c r="B1812" s="5" t="s">
        <v>1289</v>
      </c>
      <c r="C1812">
        <v>99.123219000000006</v>
      </c>
      <c r="D1812">
        <v>108.818197</v>
      </c>
      <c r="E1812">
        <v>1</v>
      </c>
      <c r="F1812">
        <v>1</v>
      </c>
      <c r="G1812">
        <v>0.26100000000000001</v>
      </c>
      <c r="H1812">
        <v>0</v>
      </c>
      <c r="I1812" t="s">
        <v>0</v>
      </c>
      <c r="J1812" t="s">
        <v>59</v>
      </c>
      <c r="K1812">
        <v>0</v>
      </c>
      <c r="L1812" t="s">
        <v>60</v>
      </c>
      <c r="M1812">
        <v>1</v>
      </c>
      <c r="N1812" t="s">
        <v>67</v>
      </c>
      <c r="O1812" s="2">
        <v>0.56805555555555554</v>
      </c>
      <c r="P1812">
        <f>-0.0056452503*3600</f>
        <v>-20.322901079999998</v>
      </c>
      <c r="Q1812">
        <f>-0.0046816953*3600</f>
        <v>-16.854103080000002</v>
      </c>
    </row>
    <row r="1813" spans="1:17" x14ac:dyDescent="0.3">
      <c r="A1813" s="4" t="s">
        <v>47</v>
      </c>
      <c r="B1813" s="5" t="s">
        <v>1290</v>
      </c>
      <c r="C1813">
        <v>99.122794999999996</v>
      </c>
      <c r="D1813">
        <v>108.81799100000001</v>
      </c>
      <c r="E1813">
        <v>1</v>
      </c>
      <c r="F1813">
        <v>1</v>
      </c>
      <c r="G1813">
        <v>0.26100000000000001</v>
      </c>
      <c r="H1813">
        <v>0</v>
      </c>
      <c r="I1813" t="s">
        <v>0</v>
      </c>
      <c r="J1813" t="s">
        <v>59</v>
      </c>
      <c r="K1813">
        <v>0</v>
      </c>
      <c r="L1813" t="s">
        <v>60</v>
      </c>
      <c r="M1813">
        <v>1</v>
      </c>
      <c r="N1813" t="s">
        <v>67</v>
      </c>
      <c r="O1813" s="2">
        <v>0.56805555555555554</v>
      </c>
      <c r="P1813">
        <f>-0.0057553282*3600</f>
        <v>-20.719181519999999</v>
      </c>
      <c r="Q1813">
        <f>-0.0048720045*3600</f>
        <v>-17.539216199999998</v>
      </c>
    </row>
    <row r="1814" spans="1:17" x14ac:dyDescent="0.3">
      <c r="A1814" s="4" t="s">
        <v>47</v>
      </c>
      <c r="B1814" s="5" t="s">
        <v>1291</v>
      </c>
      <c r="C1814">
        <v>99.122885999999994</v>
      </c>
      <c r="D1814">
        <v>108.81795099999999</v>
      </c>
      <c r="E1814">
        <v>1</v>
      </c>
      <c r="F1814">
        <v>1</v>
      </c>
      <c r="G1814">
        <v>0.26100000000000001</v>
      </c>
      <c r="H1814">
        <v>0</v>
      </c>
      <c r="I1814" t="s">
        <v>0</v>
      </c>
      <c r="J1814" t="s">
        <v>59</v>
      </c>
      <c r="K1814">
        <v>0</v>
      </c>
      <c r="L1814" t="s">
        <v>60</v>
      </c>
      <c r="M1814">
        <v>1</v>
      </c>
      <c r="N1814" t="s">
        <v>67</v>
      </c>
      <c r="O1814" s="2">
        <v>0.56805555555555554</v>
      </c>
      <c r="P1814">
        <f>-0.0057936249*3600</f>
        <v>-20.85704964</v>
      </c>
      <c r="Q1814">
        <f>-0.0049109521*3600</f>
        <v>-17.679427560000001</v>
      </c>
    </row>
    <row r="1815" spans="1:17" x14ac:dyDescent="0.3">
      <c r="A1815" s="4" t="s">
        <v>47</v>
      </c>
      <c r="B1815" s="5" t="s">
        <v>1292</v>
      </c>
      <c r="C1815">
        <v>99.122712000000007</v>
      </c>
      <c r="D1815">
        <v>108.817954</v>
      </c>
      <c r="E1815">
        <v>1</v>
      </c>
      <c r="F1815">
        <v>1</v>
      </c>
      <c r="G1815">
        <v>0.26100000000000001</v>
      </c>
      <c r="H1815">
        <v>0</v>
      </c>
      <c r="I1815" t="s">
        <v>0</v>
      </c>
      <c r="J1815" t="s">
        <v>59</v>
      </c>
      <c r="K1815">
        <v>0</v>
      </c>
      <c r="L1815" t="s">
        <v>60</v>
      </c>
      <c r="M1815">
        <v>1</v>
      </c>
      <c r="N1815" t="s">
        <v>67</v>
      </c>
      <c r="O1815" s="2">
        <v>0.56805555555555554</v>
      </c>
      <c r="P1815">
        <f>-0.0057563533*3600</f>
        <v>-20.72287188</v>
      </c>
      <c r="Q1815">
        <f>-0.0048643479*3600</f>
        <v>-17.511652439999999</v>
      </c>
    </row>
    <row r="1816" spans="1:17" x14ac:dyDescent="0.3">
      <c r="A1816" s="4" t="s">
        <v>47</v>
      </c>
      <c r="B1816" s="5" t="s">
        <v>1293</v>
      </c>
      <c r="C1816">
        <v>99.124397999999999</v>
      </c>
      <c r="D1816">
        <v>108.818161</v>
      </c>
      <c r="E1816">
        <v>1</v>
      </c>
      <c r="F1816">
        <v>1</v>
      </c>
      <c r="G1816">
        <v>0.26100000000000001</v>
      </c>
      <c r="H1816">
        <v>0</v>
      </c>
      <c r="I1816" t="s">
        <v>0</v>
      </c>
      <c r="J1816" t="s">
        <v>59</v>
      </c>
      <c r="K1816">
        <v>0</v>
      </c>
      <c r="L1816" t="s">
        <v>60</v>
      </c>
      <c r="M1816">
        <v>1</v>
      </c>
      <c r="N1816" t="s">
        <v>67</v>
      </c>
      <c r="O1816" s="2">
        <v>0.56805555555555554</v>
      </c>
      <c r="P1816">
        <f>-0.0057205988*3600</f>
        <v>-20.59415568</v>
      </c>
      <c r="Q1816">
        <f>-0.0046772987*3600</f>
        <v>-16.838275319999997</v>
      </c>
    </row>
    <row r="1817" spans="1:17" x14ac:dyDescent="0.3">
      <c r="A1817" s="4" t="s">
        <v>47</v>
      </c>
      <c r="B1817" s="5" t="s">
        <v>1294</v>
      </c>
      <c r="C1817">
        <v>99.123086999999998</v>
      </c>
      <c r="D1817">
        <v>108.81805199999999</v>
      </c>
      <c r="E1817">
        <v>1</v>
      </c>
      <c r="F1817">
        <v>1</v>
      </c>
      <c r="G1817">
        <v>0.26100000000000001</v>
      </c>
      <c r="H1817">
        <v>0</v>
      </c>
      <c r="I1817" t="s">
        <v>0</v>
      </c>
      <c r="J1817" t="s">
        <v>59</v>
      </c>
      <c r="K1817">
        <v>0</v>
      </c>
      <c r="L1817" t="s">
        <v>60</v>
      </c>
      <c r="M1817">
        <v>1</v>
      </c>
      <c r="N1817" t="s">
        <v>67</v>
      </c>
      <c r="O1817" s="2">
        <v>0.56805555555555554</v>
      </c>
      <c r="P1817">
        <f>-0.0057718909*3600</f>
        <v>-20.778807239999999</v>
      </c>
      <c r="Q1817">
        <f>-0.0047507261*3600</f>
        <v>-17.102613959999999</v>
      </c>
    </row>
    <row r="1818" spans="1:17" x14ac:dyDescent="0.3">
      <c r="A1818" s="4" t="s">
        <v>47</v>
      </c>
      <c r="B1818" s="5" t="s">
        <v>1295</v>
      </c>
      <c r="C1818">
        <v>99.123183999999995</v>
      </c>
      <c r="D1818">
        <v>108.817989</v>
      </c>
      <c r="E1818">
        <v>1</v>
      </c>
      <c r="F1818">
        <v>1</v>
      </c>
      <c r="G1818">
        <v>0.26100000000000001</v>
      </c>
      <c r="H1818">
        <v>0</v>
      </c>
      <c r="I1818" t="s">
        <v>0</v>
      </c>
      <c r="J1818" t="s">
        <v>59</v>
      </c>
      <c r="K1818">
        <v>0</v>
      </c>
      <c r="L1818" t="s">
        <v>60</v>
      </c>
      <c r="M1818">
        <v>1</v>
      </c>
      <c r="N1818" t="s">
        <v>67</v>
      </c>
      <c r="O1818" s="2">
        <v>0.56805555555555554</v>
      </c>
      <c r="P1818">
        <f>-0.0057583185*3600</f>
        <v>-20.729946599999998</v>
      </c>
      <c r="Q1818">
        <f>-0.0048357435*3600</f>
        <v>-17.4086766</v>
      </c>
    </row>
    <row r="1819" spans="1:17" x14ac:dyDescent="0.3">
      <c r="A1819" s="4" t="s">
        <v>47</v>
      </c>
      <c r="B1819" s="5" t="s">
        <v>1296</v>
      </c>
      <c r="C1819">
        <v>99.123748000000006</v>
      </c>
      <c r="D1819">
        <v>108.818022</v>
      </c>
      <c r="E1819">
        <v>1</v>
      </c>
      <c r="F1819">
        <v>1</v>
      </c>
      <c r="G1819">
        <v>0.26100000000000001</v>
      </c>
      <c r="H1819">
        <v>0</v>
      </c>
      <c r="I1819" t="s">
        <v>0</v>
      </c>
      <c r="J1819" t="s">
        <v>59</v>
      </c>
      <c r="K1819">
        <v>0</v>
      </c>
      <c r="L1819" t="s">
        <v>60</v>
      </c>
      <c r="M1819">
        <v>1</v>
      </c>
      <c r="N1819" t="s">
        <v>67</v>
      </c>
      <c r="O1819" s="2">
        <v>0.56805555555555554</v>
      </c>
      <c r="P1819">
        <f>-0.0057511567*3600</f>
        <v>-20.704164120000002</v>
      </c>
      <c r="Q1819">
        <f>-0.0048005473*3600</f>
        <v>-17.281970279999999</v>
      </c>
    </row>
    <row r="1820" spans="1:17" x14ac:dyDescent="0.3">
      <c r="A1820" s="4" t="s">
        <v>47</v>
      </c>
      <c r="B1820" s="5" t="s">
        <v>1297</v>
      </c>
      <c r="C1820">
        <v>99.123191000000006</v>
      </c>
      <c r="D1820">
        <v>108.817992</v>
      </c>
      <c r="E1820">
        <v>1</v>
      </c>
      <c r="F1820">
        <v>1</v>
      </c>
      <c r="G1820">
        <v>0.26100000000000001</v>
      </c>
      <c r="H1820">
        <v>0</v>
      </c>
      <c r="I1820" t="s">
        <v>0</v>
      </c>
      <c r="J1820" t="s">
        <v>59</v>
      </c>
      <c r="K1820">
        <v>0</v>
      </c>
      <c r="L1820" t="s">
        <v>60</v>
      </c>
      <c r="M1820">
        <v>1</v>
      </c>
      <c r="N1820" t="s">
        <v>67</v>
      </c>
      <c r="O1820" s="2">
        <v>0.56805555555555554</v>
      </c>
      <c r="P1820">
        <f>-0.0057823739*3600</f>
        <v>-20.816546040000002</v>
      </c>
      <c r="Q1820">
        <f>-0.0048063151*3600</f>
        <v>-17.302734359999999</v>
      </c>
    </row>
    <row r="1821" spans="1:17" x14ac:dyDescent="0.3">
      <c r="A1821" s="4" t="s">
        <v>47</v>
      </c>
      <c r="B1821" s="5" t="s">
        <v>1298</v>
      </c>
      <c r="C1821">
        <v>99.123776000000007</v>
      </c>
      <c r="D1821">
        <v>108.817954</v>
      </c>
      <c r="E1821">
        <v>1</v>
      </c>
      <c r="F1821">
        <v>1</v>
      </c>
      <c r="G1821">
        <v>0.26100000000000001</v>
      </c>
      <c r="H1821">
        <v>0</v>
      </c>
      <c r="I1821" t="s">
        <v>0</v>
      </c>
      <c r="J1821" t="s">
        <v>59</v>
      </c>
      <c r="K1821">
        <v>0</v>
      </c>
      <c r="L1821" t="s">
        <v>60</v>
      </c>
      <c r="M1821">
        <v>1</v>
      </c>
      <c r="N1821" t="s">
        <v>67</v>
      </c>
      <c r="O1821" s="2">
        <v>0.56805555555555554</v>
      </c>
      <c r="P1821">
        <f>-0.0057838223*3600</f>
        <v>-20.821760279999999</v>
      </c>
      <c r="Q1821">
        <f>-0.004858686*3600</f>
        <v>-17.491269599999999</v>
      </c>
    </row>
    <row r="1822" spans="1:17" x14ac:dyDescent="0.3">
      <c r="A1822" s="4" t="s">
        <v>47</v>
      </c>
      <c r="B1822" s="5" t="s">
        <v>1299</v>
      </c>
      <c r="C1822">
        <v>99.122726</v>
      </c>
      <c r="D1822">
        <v>108.81788299999999</v>
      </c>
      <c r="E1822">
        <v>1</v>
      </c>
      <c r="F1822">
        <v>1</v>
      </c>
      <c r="G1822">
        <v>0.26100000000000001</v>
      </c>
      <c r="H1822">
        <v>0</v>
      </c>
      <c r="I1822" t="s">
        <v>0</v>
      </c>
      <c r="J1822" t="s">
        <v>59</v>
      </c>
      <c r="K1822">
        <v>0</v>
      </c>
      <c r="L1822" t="s">
        <v>60</v>
      </c>
      <c r="M1822">
        <v>1</v>
      </c>
      <c r="N1822" t="s">
        <v>67</v>
      </c>
      <c r="O1822" s="2">
        <v>0.56805555555555554</v>
      </c>
      <c r="P1822">
        <f>-0.0057974837*3600</f>
        <v>-20.87094132</v>
      </c>
      <c r="Q1822">
        <f>-0.0048963707*3600</f>
        <v>-17.626934520000002</v>
      </c>
    </row>
    <row r="1823" spans="1:17" x14ac:dyDescent="0.3">
      <c r="A1823" s="4" t="s">
        <v>47</v>
      </c>
      <c r="B1823" s="5" t="s">
        <v>1300</v>
      </c>
      <c r="C1823">
        <v>99.123017000000004</v>
      </c>
      <c r="D1823">
        <v>108.817897</v>
      </c>
      <c r="E1823">
        <v>1</v>
      </c>
      <c r="F1823">
        <v>1</v>
      </c>
      <c r="G1823">
        <v>0.26100000000000001</v>
      </c>
      <c r="H1823">
        <v>0</v>
      </c>
      <c r="I1823" t="s">
        <v>0</v>
      </c>
      <c r="J1823" t="s">
        <v>59</v>
      </c>
      <c r="K1823">
        <v>0</v>
      </c>
      <c r="L1823" t="s">
        <v>60</v>
      </c>
      <c r="M1823">
        <v>1</v>
      </c>
      <c r="N1823" t="s">
        <v>67</v>
      </c>
      <c r="O1823" s="2">
        <v>0.56805555555555554</v>
      </c>
      <c r="P1823">
        <f>-0.0057755891*3600</f>
        <v>-20.79212076</v>
      </c>
      <c r="Q1823">
        <f>-0.0049019072*3600</f>
        <v>-17.64686592</v>
      </c>
    </row>
    <row r="1824" spans="1:17" x14ac:dyDescent="0.3">
      <c r="A1824" s="4" t="s">
        <v>47</v>
      </c>
      <c r="B1824" s="5" t="s">
        <v>1301</v>
      </c>
      <c r="C1824">
        <v>99.122859000000005</v>
      </c>
      <c r="D1824">
        <v>108.818078</v>
      </c>
      <c r="E1824">
        <v>1</v>
      </c>
      <c r="F1824">
        <v>1</v>
      </c>
      <c r="G1824">
        <v>0.26100000000000001</v>
      </c>
      <c r="H1824">
        <v>0</v>
      </c>
      <c r="I1824" t="s">
        <v>0</v>
      </c>
      <c r="J1824" t="s">
        <v>59</v>
      </c>
      <c r="K1824">
        <v>0</v>
      </c>
      <c r="L1824" t="s">
        <v>60</v>
      </c>
      <c r="M1824">
        <v>1</v>
      </c>
      <c r="N1824" t="s">
        <v>67</v>
      </c>
      <c r="O1824" s="2">
        <v>0.56805555555555554</v>
      </c>
      <c r="P1824">
        <f>-0.005707946*3600</f>
        <v>-20.548605600000002</v>
      </c>
      <c r="Q1824">
        <f>-0.0047095464*3600</f>
        <v>-16.954367040000001</v>
      </c>
    </row>
    <row r="1825" spans="1:17" x14ac:dyDescent="0.3">
      <c r="A1825" s="4" t="s">
        <v>47</v>
      </c>
      <c r="B1825" s="5" t="s">
        <v>1302</v>
      </c>
      <c r="C1825">
        <v>99.122861</v>
      </c>
      <c r="D1825">
        <v>108.81787799999999</v>
      </c>
      <c r="E1825">
        <v>1</v>
      </c>
      <c r="F1825">
        <v>1</v>
      </c>
      <c r="G1825">
        <v>0.26100000000000001</v>
      </c>
      <c r="H1825">
        <v>0</v>
      </c>
      <c r="I1825" t="s">
        <v>0</v>
      </c>
      <c r="J1825" t="s">
        <v>59</v>
      </c>
      <c r="K1825">
        <v>0</v>
      </c>
      <c r="L1825" t="s">
        <v>60</v>
      </c>
      <c r="M1825">
        <v>1</v>
      </c>
      <c r="N1825" t="s">
        <v>67</v>
      </c>
      <c r="O1825" s="2">
        <v>0.56805555555555554</v>
      </c>
      <c r="P1825">
        <f>-0.0057379128*3600</f>
        <v>-20.656486080000001</v>
      </c>
      <c r="Q1825">
        <f>-0.004905135*3600</f>
        <v>-17.658486</v>
      </c>
    </row>
    <row r="1826" spans="1:17" x14ac:dyDescent="0.3">
      <c r="A1826" s="4" t="s">
        <v>47</v>
      </c>
      <c r="B1826" s="5" t="s">
        <v>1303</v>
      </c>
      <c r="C1826">
        <v>99.123064999999997</v>
      </c>
      <c r="D1826">
        <v>108.817936</v>
      </c>
      <c r="E1826">
        <v>1</v>
      </c>
      <c r="F1826">
        <v>1</v>
      </c>
      <c r="G1826">
        <v>0.26100000000000001</v>
      </c>
      <c r="H1826">
        <v>0</v>
      </c>
      <c r="I1826" t="s">
        <v>0</v>
      </c>
      <c r="J1826" t="s">
        <v>59</v>
      </c>
      <c r="K1826">
        <v>0</v>
      </c>
      <c r="L1826" t="s">
        <v>60</v>
      </c>
      <c r="M1826">
        <v>1</v>
      </c>
      <c r="N1826" t="s">
        <v>67</v>
      </c>
      <c r="O1826" s="2">
        <v>0.56805555555555554</v>
      </c>
      <c r="P1826">
        <f>-0.0057153977*3600</f>
        <v>-20.575431720000001</v>
      </c>
      <c r="Q1826">
        <f>-0.0048233462*3600</f>
        <v>-17.36404632</v>
      </c>
    </row>
    <row r="1827" spans="1:17" x14ac:dyDescent="0.3">
      <c r="A1827" s="4" t="s">
        <v>47</v>
      </c>
      <c r="B1827" s="5" t="s">
        <v>1304</v>
      </c>
      <c r="C1827">
        <v>99.122596000000001</v>
      </c>
      <c r="D1827">
        <v>108.817938</v>
      </c>
      <c r="E1827">
        <v>1</v>
      </c>
      <c r="F1827">
        <v>1</v>
      </c>
      <c r="G1827">
        <v>0.26100000000000001</v>
      </c>
      <c r="H1827">
        <v>0</v>
      </c>
      <c r="I1827" t="s">
        <v>0</v>
      </c>
      <c r="J1827" t="s">
        <v>59</v>
      </c>
      <c r="K1827">
        <v>0</v>
      </c>
      <c r="L1827" t="s">
        <v>60</v>
      </c>
      <c r="M1827">
        <v>1</v>
      </c>
      <c r="N1827" t="s">
        <v>67</v>
      </c>
      <c r="O1827" s="2">
        <v>0.56805555555555554</v>
      </c>
      <c r="P1827">
        <f>-0.0056524681*3600</f>
        <v>-20.348885160000002</v>
      </c>
      <c r="Q1827">
        <f>-0.0047992583*3600</f>
        <v>-17.27732988</v>
      </c>
    </row>
    <row r="1828" spans="1:17" x14ac:dyDescent="0.3">
      <c r="A1828" s="4" t="s">
        <v>47</v>
      </c>
      <c r="B1828" s="5" t="s">
        <v>1305</v>
      </c>
      <c r="C1828">
        <v>99.122449000000003</v>
      </c>
      <c r="D1828">
        <v>108.81783799999999</v>
      </c>
      <c r="E1828">
        <v>1</v>
      </c>
      <c r="F1828">
        <v>1</v>
      </c>
      <c r="G1828">
        <v>0.26100000000000001</v>
      </c>
      <c r="H1828">
        <v>0</v>
      </c>
      <c r="I1828" t="s">
        <v>0</v>
      </c>
      <c r="J1828" t="s">
        <v>59</v>
      </c>
      <c r="K1828">
        <v>0</v>
      </c>
      <c r="L1828" t="s">
        <v>60</v>
      </c>
      <c r="M1828">
        <v>1</v>
      </c>
      <c r="N1828" t="s">
        <v>67</v>
      </c>
      <c r="O1828" s="2">
        <v>0.56805555555555554</v>
      </c>
      <c r="P1828">
        <f>-0.0057526082*3600</f>
        <v>-20.709389520000002</v>
      </c>
      <c r="Q1828">
        <f>-0.0049035901*3600</f>
        <v>-17.65292436</v>
      </c>
    </row>
    <row r="1829" spans="1:17" x14ac:dyDescent="0.3">
      <c r="A1829" s="4" t="s">
        <v>47</v>
      </c>
      <c r="B1829" s="5" t="s">
        <v>1306</v>
      </c>
      <c r="C1829">
        <v>99.122573000000003</v>
      </c>
      <c r="D1829">
        <v>108.817854</v>
      </c>
      <c r="E1829">
        <v>1</v>
      </c>
      <c r="F1829">
        <v>1</v>
      </c>
      <c r="G1829">
        <v>0.26100000000000001</v>
      </c>
      <c r="H1829">
        <v>0</v>
      </c>
      <c r="I1829" t="s">
        <v>0</v>
      </c>
      <c r="J1829" t="s">
        <v>59</v>
      </c>
      <c r="K1829">
        <v>0</v>
      </c>
      <c r="L1829" t="s">
        <v>60</v>
      </c>
      <c r="M1829">
        <v>1</v>
      </c>
      <c r="N1829" t="s">
        <v>67</v>
      </c>
      <c r="O1829" s="2">
        <v>0.56805555555555554</v>
      </c>
      <c r="P1829">
        <f>-0.0057302361*3600</f>
        <v>-20.62884996</v>
      </c>
      <c r="Q1829">
        <f>-0.0048723269*3600</f>
        <v>-17.540376839999997</v>
      </c>
    </row>
    <row r="1830" spans="1:17" x14ac:dyDescent="0.3">
      <c r="A1830" s="4" t="s">
        <v>47</v>
      </c>
      <c r="B1830" s="5" t="s">
        <v>1307</v>
      </c>
      <c r="C1830">
        <v>99.123915999999994</v>
      </c>
      <c r="D1830">
        <v>108.81786200000001</v>
      </c>
      <c r="E1830">
        <v>1</v>
      </c>
      <c r="F1830">
        <v>1</v>
      </c>
      <c r="G1830">
        <v>0.26100000000000001</v>
      </c>
      <c r="H1830">
        <v>0</v>
      </c>
      <c r="I1830" t="s">
        <v>0</v>
      </c>
      <c r="J1830" t="s">
        <v>59</v>
      </c>
      <c r="K1830">
        <v>0</v>
      </c>
      <c r="L1830" t="s">
        <v>60</v>
      </c>
      <c r="M1830">
        <v>1</v>
      </c>
      <c r="N1830" t="s">
        <v>67</v>
      </c>
      <c r="O1830" s="2">
        <v>0.56805555555555554</v>
      </c>
      <c r="P1830">
        <f>-0.0056480634*3600</f>
        <v>-20.333028240000001</v>
      </c>
      <c r="Q1830">
        <f>-0.0047639566*3600</f>
        <v>-17.150243759999999</v>
      </c>
    </row>
    <row r="1831" spans="1:17" x14ac:dyDescent="0.3">
      <c r="A1831" s="4" t="s">
        <v>47</v>
      </c>
      <c r="B1831" s="5" t="s">
        <v>1308</v>
      </c>
      <c r="C1831">
        <v>99.123796999999996</v>
      </c>
      <c r="D1831">
        <v>108.817813</v>
      </c>
      <c r="E1831">
        <v>1</v>
      </c>
      <c r="F1831">
        <v>1</v>
      </c>
      <c r="G1831">
        <v>0.26100000000000001</v>
      </c>
      <c r="H1831">
        <v>0</v>
      </c>
      <c r="I1831" t="s">
        <v>0</v>
      </c>
      <c r="J1831" t="s">
        <v>59</v>
      </c>
      <c r="K1831">
        <v>0</v>
      </c>
      <c r="L1831" t="s">
        <v>60</v>
      </c>
      <c r="M1831">
        <v>1</v>
      </c>
      <c r="N1831" t="s">
        <v>67</v>
      </c>
      <c r="O1831" s="2">
        <v>0.56805555555555554</v>
      </c>
      <c r="P1831">
        <f>-0.0057465301*3600</f>
        <v>-20.687508359999999</v>
      </c>
      <c r="Q1831">
        <f>-0.0047901912*3600</f>
        <v>-17.244688320000002</v>
      </c>
    </row>
    <row r="1832" spans="1:17" x14ac:dyDescent="0.3">
      <c r="A1832" s="4" t="s">
        <v>47</v>
      </c>
      <c r="B1832" s="5" t="s">
        <v>1309</v>
      </c>
      <c r="C1832">
        <v>99.123741999999993</v>
      </c>
      <c r="D1832">
        <v>108.8177</v>
      </c>
      <c r="E1832">
        <v>1</v>
      </c>
      <c r="F1832">
        <v>1</v>
      </c>
      <c r="G1832">
        <v>0.26100000000000001</v>
      </c>
      <c r="H1832">
        <v>0</v>
      </c>
      <c r="I1832" t="s">
        <v>0</v>
      </c>
      <c r="J1832" t="s">
        <v>59</v>
      </c>
      <c r="K1832">
        <v>0</v>
      </c>
      <c r="L1832" t="s">
        <v>60</v>
      </c>
      <c r="M1832">
        <v>1</v>
      </c>
      <c r="N1832" t="s">
        <v>67</v>
      </c>
      <c r="O1832" s="2">
        <v>0.56805555555555554</v>
      </c>
      <c r="P1832">
        <f>-0.0057553065*3600</f>
        <v>-20.719103399999998</v>
      </c>
      <c r="Q1832">
        <f>-0.0048764534*3600</f>
        <v>-17.555232240000002</v>
      </c>
    </row>
    <row r="1833" spans="1:17" x14ac:dyDescent="0.3">
      <c r="A1833" s="4" t="s">
        <v>47</v>
      </c>
      <c r="B1833" s="5" t="s">
        <v>1310</v>
      </c>
      <c r="C1833">
        <v>99.123711</v>
      </c>
      <c r="D1833">
        <v>108.81771999999999</v>
      </c>
      <c r="E1833">
        <v>1</v>
      </c>
      <c r="F1833">
        <v>1</v>
      </c>
      <c r="G1833">
        <v>0.26100000000000001</v>
      </c>
      <c r="H1833">
        <v>0</v>
      </c>
      <c r="I1833" t="s">
        <v>0</v>
      </c>
      <c r="J1833" t="s">
        <v>59</v>
      </c>
      <c r="K1833">
        <v>0</v>
      </c>
      <c r="L1833" t="s">
        <v>60</v>
      </c>
      <c r="M1833">
        <v>1</v>
      </c>
      <c r="N1833" t="s">
        <v>67</v>
      </c>
      <c r="O1833" s="2">
        <v>0.56805555555555554</v>
      </c>
      <c r="P1833">
        <f>-0.0058467149*3600</f>
        <v>-21.048173640000002</v>
      </c>
      <c r="Q1833">
        <f>-0.0048472819*3600</f>
        <v>-17.450214840000001</v>
      </c>
    </row>
    <row r="1834" spans="1:17" x14ac:dyDescent="0.3">
      <c r="A1834" s="4" t="s">
        <v>47</v>
      </c>
      <c r="B1834" s="5" t="s">
        <v>1311</v>
      </c>
      <c r="C1834">
        <v>99.123609000000002</v>
      </c>
      <c r="D1834">
        <v>108.817741</v>
      </c>
      <c r="E1834">
        <v>1</v>
      </c>
      <c r="F1834">
        <v>1</v>
      </c>
      <c r="G1834">
        <v>0.26100000000000001</v>
      </c>
      <c r="H1834">
        <v>0</v>
      </c>
      <c r="I1834" t="s">
        <v>0</v>
      </c>
      <c r="J1834" t="s">
        <v>59</v>
      </c>
      <c r="K1834">
        <v>0</v>
      </c>
      <c r="L1834" t="s">
        <v>60</v>
      </c>
      <c r="M1834">
        <v>1</v>
      </c>
      <c r="N1834" t="s">
        <v>67</v>
      </c>
      <c r="O1834" s="2">
        <v>0.56805555555555554</v>
      </c>
      <c r="P1834">
        <f>-0.0057862724*3600</f>
        <v>-20.830580640000001</v>
      </c>
      <c r="Q1834">
        <f>-0.0048394251*3600</f>
        <v>-17.421930360000001</v>
      </c>
    </row>
    <row r="1835" spans="1:17" x14ac:dyDescent="0.3">
      <c r="A1835" s="4" t="s">
        <v>47</v>
      </c>
      <c r="B1835" s="5" t="s">
        <v>1312</v>
      </c>
      <c r="C1835">
        <v>99.123693000000003</v>
      </c>
      <c r="D1835">
        <v>108.817729</v>
      </c>
      <c r="E1835">
        <v>1</v>
      </c>
      <c r="F1835">
        <v>1</v>
      </c>
      <c r="G1835">
        <v>0.26100000000000001</v>
      </c>
      <c r="H1835">
        <v>0</v>
      </c>
      <c r="I1835" t="s">
        <v>0</v>
      </c>
      <c r="J1835" t="s">
        <v>59</v>
      </c>
      <c r="K1835">
        <v>0</v>
      </c>
      <c r="L1835" t="s">
        <v>60</v>
      </c>
      <c r="M1835">
        <v>1</v>
      </c>
      <c r="N1835" t="s">
        <v>67</v>
      </c>
      <c r="O1835" s="2">
        <v>0.56805555555555554</v>
      </c>
      <c r="P1835">
        <f>-0.0057387812*3600</f>
        <v>-20.659612320000001</v>
      </c>
      <c r="Q1835">
        <f>-0.004838532*3600</f>
        <v>-17.418715200000001</v>
      </c>
    </row>
    <row r="1836" spans="1:17" x14ac:dyDescent="0.3">
      <c r="A1836" s="4" t="s">
        <v>47</v>
      </c>
      <c r="B1836" s="5" t="s">
        <v>1313</v>
      </c>
      <c r="C1836">
        <v>99.124199000000004</v>
      </c>
      <c r="D1836">
        <v>108.817733</v>
      </c>
      <c r="E1836">
        <v>1</v>
      </c>
      <c r="F1836">
        <v>1</v>
      </c>
      <c r="G1836">
        <v>0.26100000000000001</v>
      </c>
      <c r="H1836">
        <v>0</v>
      </c>
      <c r="I1836" t="s">
        <v>0</v>
      </c>
      <c r="J1836" t="s">
        <v>59</v>
      </c>
      <c r="K1836">
        <v>0</v>
      </c>
      <c r="L1836" t="s">
        <v>60</v>
      </c>
      <c r="M1836">
        <v>1</v>
      </c>
      <c r="N1836" t="s">
        <v>67</v>
      </c>
      <c r="O1836" s="2">
        <v>0.56805555555555554</v>
      </c>
      <c r="P1836">
        <f>-0.005810415*3600</f>
        <v>-20.917494000000001</v>
      </c>
      <c r="Q1836">
        <f>-0.004836605*3600</f>
        <v>-17.411777999999998</v>
      </c>
    </row>
    <row r="1837" spans="1:17" x14ac:dyDescent="0.3">
      <c r="A1837" s="4" t="s">
        <v>47</v>
      </c>
      <c r="B1837" s="5" t="s">
        <v>1314</v>
      </c>
      <c r="C1837">
        <v>99.124032999999997</v>
      </c>
      <c r="D1837">
        <v>108.817669</v>
      </c>
      <c r="E1837">
        <v>1</v>
      </c>
      <c r="F1837">
        <v>1</v>
      </c>
      <c r="G1837">
        <v>0.26100000000000001</v>
      </c>
      <c r="H1837">
        <v>0</v>
      </c>
      <c r="I1837" t="s">
        <v>0</v>
      </c>
      <c r="J1837" t="s">
        <v>59</v>
      </c>
      <c r="K1837">
        <v>0</v>
      </c>
      <c r="L1837" t="s">
        <v>60</v>
      </c>
      <c r="M1837">
        <v>1</v>
      </c>
      <c r="N1837" t="s">
        <v>67</v>
      </c>
      <c r="O1837" s="2">
        <v>0.56805555555555554</v>
      </c>
      <c r="P1837">
        <f>-0.0058276542*3600</f>
        <v>-20.979555120000001</v>
      </c>
      <c r="Q1837">
        <f>-0.0048637755*3600</f>
        <v>-17.509591799999999</v>
      </c>
    </row>
    <row r="1838" spans="1:17" x14ac:dyDescent="0.3">
      <c r="A1838" s="4" t="s">
        <v>47</v>
      </c>
      <c r="B1838" s="5" t="s">
        <v>1315</v>
      </c>
      <c r="C1838">
        <v>99.123796999999996</v>
      </c>
      <c r="D1838">
        <v>108.81759599999999</v>
      </c>
      <c r="E1838">
        <v>1</v>
      </c>
      <c r="F1838">
        <v>1</v>
      </c>
      <c r="G1838">
        <v>0.26100000000000001</v>
      </c>
      <c r="H1838">
        <v>0</v>
      </c>
      <c r="I1838" t="s">
        <v>0</v>
      </c>
      <c r="J1838" t="s">
        <v>59</v>
      </c>
      <c r="K1838">
        <v>0</v>
      </c>
      <c r="L1838" t="s">
        <v>60</v>
      </c>
      <c r="M1838">
        <v>1</v>
      </c>
      <c r="N1838" t="s">
        <v>67</v>
      </c>
      <c r="O1838" s="2">
        <v>0.56805555555555554</v>
      </c>
      <c r="P1838">
        <f>-0.0057268894*3600</f>
        <v>-20.616801840000001</v>
      </c>
      <c r="Q1838">
        <f>-0.0049323975*3600</f>
        <v>-17.756631000000002</v>
      </c>
    </row>
    <row r="1839" spans="1:17" x14ac:dyDescent="0.3">
      <c r="A1839" s="4" t="s">
        <v>47</v>
      </c>
      <c r="B1839" s="5" t="s">
        <v>1316</v>
      </c>
      <c r="C1839">
        <v>99.124039999999994</v>
      </c>
      <c r="D1839">
        <v>108.81771500000001</v>
      </c>
      <c r="E1839">
        <v>1</v>
      </c>
      <c r="F1839">
        <v>1</v>
      </c>
      <c r="G1839">
        <v>0.26100000000000001</v>
      </c>
      <c r="H1839">
        <v>0</v>
      </c>
      <c r="I1839" t="s">
        <v>0</v>
      </c>
      <c r="J1839" t="s">
        <v>59</v>
      </c>
      <c r="K1839">
        <v>0</v>
      </c>
      <c r="L1839" t="s">
        <v>60</v>
      </c>
      <c r="M1839">
        <v>1</v>
      </c>
      <c r="N1839" t="s">
        <v>67</v>
      </c>
      <c r="O1839" s="2">
        <v>0.56805555555555554</v>
      </c>
      <c r="P1839">
        <f>-0.005780646*3600</f>
        <v>-20.810325600000002</v>
      </c>
      <c r="Q1839">
        <f>-0.0048328708*3600</f>
        <v>-17.39833488</v>
      </c>
    </row>
    <row r="1840" spans="1:17" x14ac:dyDescent="0.3">
      <c r="A1840" s="4" t="s">
        <v>47</v>
      </c>
      <c r="B1840" s="5" t="s">
        <v>1317</v>
      </c>
      <c r="C1840">
        <v>99.123548999999997</v>
      </c>
      <c r="D1840">
        <v>108.81788899999999</v>
      </c>
      <c r="E1840">
        <v>1</v>
      </c>
      <c r="F1840">
        <v>1</v>
      </c>
      <c r="G1840">
        <v>0.26100000000000001</v>
      </c>
      <c r="H1840">
        <v>0</v>
      </c>
      <c r="I1840" t="s">
        <v>0</v>
      </c>
      <c r="J1840" t="s">
        <v>59</v>
      </c>
      <c r="K1840">
        <v>0</v>
      </c>
      <c r="L1840" t="s">
        <v>60</v>
      </c>
      <c r="M1840">
        <v>1</v>
      </c>
      <c r="N1840" t="s">
        <v>67</v>
      </c>
      <c r="O1840" s="2">
        <v>0.56805555555555554</v>
      </c>
      <c r="P1840">
        <f>-0.0056873093*3600</f>
        <v>-20.474313480000003</v>
      </c>
      <c r="Q1840">
        <f>-0.0046439525*3600</f>
        <v>-16.718229000000001</v>
      </c>
    </row>
    <row r="1841" spans="1:17" x14ac:dyDescent="0.3">
      <c r="A1841" s="4" t="s">
        <v>47</v>
      </c>
      <c r="B1841" s="5" t="s">
        <v>1318</v>
      </c>
      <c r="C1841">
        <v>99.124032999999997</v>
      </c>
      <c r="D1841">
        <v>108.81767600000001</v>
      </c>
      <c r="E1841">
        <v>1</v>
      </c>
      <c r="F1841">
        <v>1</v>
      </c>
      <c r="G1841">
        <v>0.26100000000000001</v>
      </c>
      <c r="H1841">
        <v>0</v>
      </c>
      <c r="I1841" t="s">
        <v>0</v>
      </c>
      <c r="J1841" t="s">
        <v>59</v>
      </c>
      <c r="K1841">
        <v>0</v>
      </c>
      <c r="L1841" t="s">
        <v>60</v>
      </c>
      <c r="M1841">
        <v>1</v>
      </c>
      <c r="N1841" t="s">
        <v>67</v>
      </c>
      <c r="O1841" s="2">
        <v>0.56874999999999998</v>
      </c>
      <c r="P1841">
        <f>-0.0057810499*3600</f>
        <v>-20.811779639999997</v>
      </c>
      <c r="Q1841">
        <f>-0.0048033751*3600</f>
        <v>-17.292150360000001</v>
      </c>
    </row>
    <row r="1842" spans="1:17" x14ac:dyDescent="0.3">
      <c r="A1842" s="4" t="s">
        <v>47</v>
      </c>
      <c r="B1842" s="5" t="s">
        <v>1319</v>
      </c>
      <c r="C1842">
        <v>99.123450000000005</v>
      </c>
      <c r="D1842">
        <v>108.817594</v>
      </c>
      <c r="E1842">
        <v>1</v>
      </c>
      <c r="F1842">
        <v>1</v>
      </c>
      <c r="G1842">
        <v>0.26100000000000001</v>
      </c>
      <c r="H1842">
        <v>0</v>
      </c>
      <c r="I1842" t="s">
        <v>0</v>
      </c>
      <c r="J1842" t="s">
        <v>59</v>
      </c>
      <c r="K1842">
        <v>0</v>
      </c>
      <c r="L1842" t="s">
        <v>60</v>
      </c>
      <c r="M1842">
        <v>1</v>
      </c>
      <c r="N1842" t="s">
        <v>67</v>
      </c>
      <c r="O1842" s="2">
        <v>0.56874999999999998</v>
      </c>
      <c r="P1842">
        <f>-0.0057552841*3600</f>
        <v>-20.719022759999998</v>
      </c>
      <c r="Q1842">
        <f>-0.0048849322*3600</f>
        <v>-17.58575592</v>
      </c>
    </row>
    <row r="1843" spans="1:17" x14ac:dyDescent="0.3">
      <c r="A1843" s="4" t="s">
        <v>47</v>
      </c>
      <c r="B1843" s="5" t="s">
        <v>1320</v>
      </c>
      <c r="C1843">
        <v>99.124170000000007</v>
      </c>
      <c r="D1843">
        <v>108.81776000000001</v>
      </c>
      <c r="E1843">
        <v>1</v>
      </c>
      <c r="F1843">
        <v>1</v>
      </c>
      <c r="G1843">
        <v>0.26100000000000001</v>
      </c>
      <c r="H1843">
        <v>0</v>
      </c>
      <c r="I1843" t="s">
        <v>0</v>
      </c>
      <c r="J1843" t="s">
        <v>59</v>
      </c>
      <c r="K1843">
        <v>0</v>
      </c>
      <c r="L1843" t="s">
        <v>60</v>
      </c>
      <c r="M1843">
        <v>1</v>
      </c>
      <c r="N1843" t="s">
        <v>67</v>
      </c>
      <c r="O1843" s="2">
        <v>0.56874999999999998</v>
      </c>
      <c r="P1843">
        <f>-0.0057642709*3600</f>
        <v>-20.751375240000002</v>
      </c>
      <c r="Q1843">
        <f>-0.0047360981*3600</f>
        <v>-17.049953159999998</v>
      </c>
    </row>
    <row r="1844" spans="1:17" x14ac:dyDescent="0.3">
      <c r="A1844" s="4" t="s">
        <v>47</v>
      </c>
      <c r="B1844" s="5" t="s">
        <v>1321</v>
      </c>
      <c r="C1844">
        <v>99.123986000000002</v>
      </c>
      <c r="D1844">
        <v>108.81758600000001</v>
      </c>
      <c r="E1844">
        <v>1</v>
      </c>
      <c r="F1844">
        <v>1</v>
      </c>
      <c r="G1844">
        <v>0.26100000000000001</v>
      </c>
      <c r="H1844">
        <v>0</v>
      </c>
      <c r="I1844" t="s">
        <v>0</v>
      </c>
      <c r="J1844" t="s">
        <v>59</v>
      </c>
      <c r="K1844">
        <v>0</v>
      </c>
      <c r="L1844" t="s">
        <v>60</v>
      </c>
      <c r="M1844">
        <v>1</v>
      </c>
      <c r="N1844" t="s">
        <v>67</v>
      </c>
      <c r="O1844" s="2">
        <v>0.56874999999999998</v>
      </c>
      <c r="P1844">
        <f>-0.0057618751*3600</f>
        <v>-20.742750359999999</v>
      </c>
      <c r="Q1844">
        <f>-0.0048720073*3600</f>
        <v>-17.539226280000001</v>
      </c>
    </row>
    <row r="1845" spans="1:17" x14ac:dyDescent="0.3">
      <c r="A1845" s="4" t="s">
        <v>47</v>
      </c>
      <c r="B1845" s="5" t="s">
        <v>1322</v>
      </c>
      <c r="C1845">
        <v>99.123823999999999</v>
      </c>
      <c r="D1845">
        <v>108.81767000000001</v>
      </c>
      <c r="E1845">
        <v>1</v>
      </c>
      <c r="F1845">
        <v>1</v>
      </c>
      <c r="G1845">
        <v>0.26100000000000001</v>
      </c>
      <c r="H1845">
        <v>0</v>
      </c>
      <c r="I1845" t="s">
        <v>0</v>
      </c>
      <c r="J1845" t="s">
        <v>59</v>
      </c>
      <c r="K1845">
        <v>0</v>
      </c>
      <c r="L1845" t="s">
        <v>60</v>
      </c>
      <c r="M1845">
        <v>1</v>
      </c>
      <c r="N1845" t="s">
        <v>67</v>
      </c>
      <c r="O1845" s="2">
        <v>0.56874999999999998</v>
      </c>
      <c r="P1845">
        <f>-0.0054886119*3600</f>
        <v>-19.759002840000001</v>
      </c>
      <c r="Q1845">
        <f>-0.0047521353*3600</f>
        <v>-17.107687079999998</v>
      </c>
    </row>
    <row r="1846" spans="1:17" x14ac:dyDescent="0.3">
      <c r="A1846" s="4" t="s">
        <v>47</v>
      </c>
      <c r="B1846" s="5" t="s">
        <v>1323</v>
      </c>
      <c r="C1846">
        <v>99.123233999999997</v>
      </c>
      <c r="D1846">
        <v>108.817701</v>
      </c>
      <c r="E1846">
        <v>1</v>
      </c>
      <c r="F1846">
        <v>1</v>
      </c>
      <c r="G1846">
        <v>0.26100000000000001</v>
      </c>
      <c r="H1846">
        <v>0</v>
      </c>
      <c r="I1846" t="s">
        <v>0</v>
      </c>
      <c r="J1846" t="s">
        <v>59</v>
      </c>
      <c r="K1846">
        <v>0</v>
      </c>
      <c r="L1846" t="s">
        <v>60</v>
      </c>
      <c r="M1846">
        <v>1</v>
      </c>
      <c r="N1846" t="s">
        <v>67</v>
      </c>
      <c r="O1846" s="2">
        <v>0.56874999999999998</v>
      </c>
      <c r="P1846">
        <f>-0.0057213758*3600</f>
        <v>-20.59695288</v>
      </c>
      <c r="Q1846">
        <f>-0.0047492337*3600</f>
        <v>-17.097241320000002</v>
      </c>
    </row>
    <row r="1847" spans="1:17" x14ac:dyDescent="0.3">
      <c r="A1847" s="4" t="s">
        <v>47</v>
      </c>
      <c r="B1847" s="5" t="s">
        <v>1324</v>
      </c>
      <c r="C1847">
        <v>99.124139</v>
      </c>
      <c r="D1847">
        <v>108.817656</v>
      </c>
      <c r="E1847">
        <v>1</v>
      </c>
      <c r="F1847">
        <v>1</v>
      </c>
      <c r="G1847">
        <v>0.26100000000000001</v>
      </c>
      <c r="H1847">
        <v>0</v>
      </c>
      <c r="I1847" t="s">
        <v>0</v>
      </c>
      <c r="J1847" t="s">
        <v>59</v>
      </c>
      <c r="K1847">
        <v>0</v>
      </c>
      <c r="L1847" t="s">
        <v>60</v>
      </c>
      <c r="M1847">
        <v>1</v>
      </c>
      <c r="N1847" t="s">
        <v>67</v>
      </c>
      <c r="O1847" s="2">
        <v>0.56874999999999998</v>
      </c>
      <c r="P1847">
        <f>-0.0057785849*3600</f>
        <v>-20.802905639999999</v>
      </c>
      <c r="Q1847">
        <f>-0.0048064633*3600</f>
        <v>-17.30326788</v>
      </c>
    </row>
    <row r="1848" spans="1:17" x14ac:dyDescent="0.3">
      <c r="A1848" s="4" t="s">
        <v>47</v>
      </c>
      <c r="B1848" s="5" t="s">
        <v>1325</v>
      </c>
      <c r="C1848">
        <v>99.123818</v>
      </c>
      <c r="D1848">
        <v>108.81774</v>
      </c>
      <c r="E1848">
        <v>1</v>
      </c>
      <c r="F1848">
        <v>1</v>
      </c>
      <c r="G1848">
        <v>0.26100000000000001</v>
      </c>
      <c r="H1848">
        <v>0</v>
      </c>
      <c r="I1848" t="s">
        <v>0</v>
      </c>
      <c r="J1848" t="s">
        <v>59</v>
      </c>
      <c r="K1848">
        <v>0</v>
      </c>
      <c r="L1848" t="s">
        <v>60</v>
      </c>
      <c r="M1848">
        <v>1</v>
      </c>
      <c r="N1848" t="s">
        <v>67</v>
      </c>
      <c r="O1848" s="2">
        <v>0.56874999999999998</v>
      </c>
      <c r="P1848">
        <f>-0.0057263434*3600</f>
        <v>-20.614836240000002</v>
      </c>
      <c r="Q1848">
        <f>-0.0047168181*3600</f>
        <v>-16.980545159999998</v>
      </c>
    </row>
    <row r="1849" spans="1:17" x14ac:dyDescent="0.3">
      <c r="A1849" s="4" t="s">
        <v>47</v>
      </c>
      <c r="B1849" s="5" t="s">
        <v>1326</v>
      </c>
      <c r="C1849">
        <v>99.123859999999993</v>
      </c>
      <c r="D1849">
        <v>108.817645</v>
      </c>
      <c r="E1849">
        <v>1</v>
      </c>
      <c r="F1849">
        <v>1</v>
      </c>
      <c r="G1849">
        <v>0.26100000000000001</v>
      </c>
      <c r="H1849">
        <v>0</v>
      </c>
      <c r="I1849" t="s">
        <v>0</v>
      </c>
      <c r="J1849" t="s">
        <v>59</v>
      </c>
      <c r="K1849">
        <v>0</v>
      </c>
      <c r="L1849" t="s">
        <v>60</v>
      </c>
      <c r="M1849">
        <v>1</v>
      </c>
      <c r="N1849" t="s">
        <v>67</v>
      </c>
      <c r="O1849" s="2">
        <v>0.56874999999999998</v>
      </c>
      <c r="P1849">
        <f>-0.0056914545*3600</f>
        <v>-20.489236200000001</v>
      </c>
      <c r="Q1849">
        <f>-0.004823437*3600</f>
        <v>-17.364373199999999</v>
      </c>
    </row>
    <row r="1850" spans="1:17" x14ac:dyDescent="0.3">
      <c r="A1850" s="4" t="s">
        <v>47</v>
      </c>
      <c r="B1850" s="5" t="s">
        <v>1327</v>
      </c>
      <c r="C1850">
        <v>99.123372000000003</v>
      </c>
      <c r="D1850">
        <v>108.817913</v>
      </c>
      <c r="E1850">
        <v>1</v>
      </c>
      <c r="F1850">
        <v>1</v>
      </c>
      <c r="G1850">
        <v>0.26100000000000001</v>
      </c>
      <c r="H1850">
        <v>0</v>
      </c>
      <c r="I1850" t="s">
        <v>0</v>
      </c>
      <c r="J1850" t="s">
        <v>59</v>
      </c>
      <c r="K1850">
        <v>0</v>
      </c>
      <c r="L1850" t="s">
        <v>60</v>
      </c>
      <c r="M1850">
        <v>1</v>
      </c>
      <c r="N1850" t="s">
        <v>67</v>
      </c>
      <c r="O1850" s="2">
        <v>0.56874999999999998</v>
      </c>
      <c r="P1850">
        <f>-0.0053573019*3600</f>
        <v>-19.286286839999999</v>
      </c>
      <c r="Q1850">
        <f>-0.0044997997*3600</f>
        <v>-16.199278920000001</v>
      </c>
    </row>
    <row r="1851" spans="1:17" x14ac:dyDescent="0.3">
      <c r="A1851" s="4" t="s">
        <v>47</v>
      </c>
      <c r="B1851" s="6" t="s">
        <v>1328</v>
      </c>
      <c r="C1851">
        <v>299.12253399999997</v>
      </c>
      <c r="D1851">
        <v>291.07794000000001</v>
      </c>
      <c r="E1851">
        <v>8.0374999999999996</v>
      </c>
      <c r="F1851">
        <v>7.9572000000000003</v>
      </c>
      <c r="G1851">
        <v>0.26100000000000001</v>
      </c>
      <c r="H1851">
        <v>0</v>
      </c>
      <c r="I1851" t="s">
        <v>0</v>
      </c>
      <c r="J1851" t="s">
        <v>59</v>
      </c>
      <c r="K1851">
        <v>3.4000000000000002E-2</v>
      </c>
      <c r="L1851" t="s">
        <v>60</v>
      </c>
      <c r="M1851">
        <v>1</v>
      </c>
      <c r="N1851" t="s">
        <v>53</v>
      </c>
      <c r="O1851" s="2">
        <v>0.56874999999999998</v>
      </c>
      <c r="P1851">
        <f>0.0035529216*3600</f>
        <v>12.79051776</v>
      </c>
      <c r="Q1851">
        <f>0.0037099378*3600</f>
        <v>13.35577608</v>
      </c>
    </row>
    <row r="1852" spans="1:17" x14ac:dyDescent="0.3">
      <c r="A1852" s="4" t="s">
        <v>47</v>
      </c>
      <c r="B1852" s="6" t="s">
        <v>1329</v>
      </c>
      <c r="C1852">
        <v>299.12228599999997</v>
      </c>
      <c r="D1852">
        <v>291.18266</v>
      </c>
      <c r="E1852">
        <v>1</v>
      </c>
      <c r="F1852">
        <v>1</v>
      </c>
      <c r="G1852">
        <v>0.26100000000000001</v>
      </c>
      <c r="H1852">
        <v>0</v>
      </c>
      <c r="I1852" t="s">
        <v>0</v>
      </c>
      <c r="J1852" t="s">
        <v>59</v>
      </c>
      <c r="K1852">
        <v>0</v>
      </c>
      <c r="L1852" t="s">
        <v>60</v>
      </c>
      <c r="M1852">
        <v>1</v>
      </c>
      <c r="N1852" t="s">
        <v>67</v>
      </c>
      <c r="O1852" s="2">
        <v>0.56874999999999998</v>
      </c>
      <c r="P1852">
        <f>0.0033972845*3600</f>
        <v>12.2302242</v>
      </c>
      <c r="Q1852">
        <f>0.0035513638*3600</f>
        <v>12.78490968</v>
      </c>
    </row>
    <row r="1853" spans="1:17" x14ac:dyDescent="0.3">
      <c r="A1853" s="4" t="s">
        <v>47</v>
      </c>
      <c r="B1853" s="6" t="s">
        <v>1330</v>
      </c>
      <c r="C1853">
        <v>299.12273099999999</v>
      </c>
      <c r="D1853">
        <v>291.18251099999998</v>
      </c>
      <c r="E1853">
        <v>1</v>
      </c>
      <c r="F1853">
        <v>1</v>
      </c>
      <c r="G1853">
        <v>0.26100000000000001</v>
      </c>
      <c r="H1853">
        <v>0</v>
      </c>
      <c r="I1853" t="s">
        <v>0</v>
      </c>
      <c r="J1853" t="s">
        <v>59</v>
      </c>
      <c r="K1853">
        <v>0</v>
      </c>
      <c r="L1853" t="s">
        <v>60</v>
      </c>
      <c r="M1853">
        <v>1</v>
      </c>
      <c r="N1853" t="s">
        <v>67</v>
      </c>
      <c r="O1853" s="2">
        <v>0.56874999999999998</v>
      </c>
      <c r="P1853">
        <f>0.0034188334*3600</f>
        <v>12.307800240000001</v>
      </c>
      <c r="Q1853">
        <f>0.0033908773*3600</f>
        <v>12.20715828</v>
      </c>
    </row>
    <row r="1854" spans="1:17" x14ac:dyDescent="0.3">
      <c r="A1854" s="4" t="s">
        <v>47</v>
      </c>
      <c r="B1854" s="6" t="s">
        <v>1331</v>
      </c>
      <c r="C1854">
        <v>299.12240100000002</v>
      </c>
      <c r="D1854">
        <v>291.18268599999999</v>
      </c>
      <c r="E1854">
        <v>1</v>
      </c>
      <c r="F1854">
        <v>1</v>
      </c>
      <c r="G1854">
        <v>0.26100000000000001</v>
      </c>
      <c r="H1854">
        <v>0</v>
      </c>
      <c r="I1854" t="s">
        <v>0</v>
      </c>
      <c r="J1854" t="s">
        <v>59</v>
      </c>
      <c r="K1854">
        <v>0</v>
      </c>
      <c r="L1854" t="s">
        <v>60</v>
      </c>
      <c r="M1854">
        <v>1</v>
      </c>
      <c r="N1854" t="s">
        <v>67</v>
      </c>
      <c r="O1854" s="2">
        <v>0.56874999999999998</v>
      </c>
      <c r="P1854">
        <f>0.0035422546*3600</f>
        <v>12.752116560000001</v>
      </c>
      <c r="Q1854">
        <f>0.0035424594*3600</f>
        <v>12.75285384</v>
      </c>
    </row>
    <row r="1855" spans="1:17" x14ac:dyDescent="0.3">
      <c r="A1855" s="4" t="s">
        <v>47</v>
      </c>
      <c r="B1855" s="6" t="s">
        <v>1332</v>
      </c>
      <c r="C1855">
        <v>299.122837</v>
      </c>
      <c r="D1855">
        <v>291.18265100000002</v>
      </c>
      <c r="E1855">
        <v>1</v>
      </c>
      <c r="F1855">
        <v>1</v>
      </c>
      <c r="G1855">
        <v>0.26100000000000001</v>
      </c>
      <c r="H1855">
        <v>0</v>
      </c>
      <c r="I1855" t="s">
        <v>0</v>
      </c>
      <c r="J1855" t="s">
        <v>59</v>
      </c>
      <c r="K1855">
        <v>0</v>
      </c>
      <c r="L1855" t="s">
        <v>60</v>
      </c>
      <c r="M1855">
        <v>1</v>
      </c>
      <c r="N1855" t="s">
        <v>67</v>
      </c>
      <c r="O1855" s="2">
        <v>0.56944444444444442</v>
      </c>
      <c r="P1855">
        <f>0.0034105933*3600</f>
        <v>12.278135880000001</v>
      </c>
      <c r="Q1855">
        <f>0.0034998483*3600</f>
        <v>12.59945388</v>
      </c>
    </row>
    <row r="1856" spans="1:17" x14ac:dyDescent="0.3">
      <c r="A1856" s="4" t="s">
        <v>47</v>
      </c>
      <c r="B1856" s="6" t="s">
        <v>1333</v>
      </c>
      <c r="C1856">
        <v>299.12248599999998</v>
      </c>
      <c r="D1856">
        <v>291.182456</v>
      </c>
      <c r="E1856">
        <v>1</v>
      </c>
      <c r="F1856">
        <v>1</v>
      </c>
      <c r="G1856">
        <v>0.26100000000000001</v>
      </c>
      <c r="H1856">
        <v>0</v>
      </c>
      <c r="I1856" t="s">
        <v>0</v>
      </c>
      <c r="J1856" t="s">
        <v>59</v>
      </c>
      <c r="K1856">
        <v>0</v>
      </c>
      <c r="L1856" t="s">
        <v>60</v>
      </c>
      <c r="M1856">
        <v>1</v>
      </c>
      <c r="N1856" t="s">
        <v>67</v>
      </c>
      <c r="O1856" s="2">
        <v>0.56944444444444442</v>
      </c>
      <c r="P1856">
        <f>0.0034339791*3600</f>
        <v>12.36232476</v>
      </c>
      <c r="Q1856">
        <f>0.0033159369*3600</f>
        <v>11.93737284</v>
      </c>
    </row>
    <row r="1857" spans="1:17" x14ac:dyDescent="0.3">
      <c r="A1857" s="4" t="s">
        <v>47</v>
      </c>
      <c r="B1857" s="6" t="s">
        <v>1334</v>
      </c>
      <c r="C1857">
        <v>299.12291499999998</v>
      </c>
      <c r="D1857">
        <v>291.182683</v>
      </c>
      <c r="E1857">
        <v>1</v>
      </c>
      <c r="F1857">
        <v>1</v>
      </c>
      <c r="G1857">
        <v>0.26100000000000001</v>
      </c>
      <c r="H1857">
        <v>0</v>
      </c>
      <c r="I1857" t="s">
        <v>0</v>
      </c>
      <c r="J1857" t="s">
        <v>59</v>
      </c>
      <c r="K1857">
        <v>0</v>
      </c>
      <c r="L1857" t="s">
        <v>60</v>
      </c>
      <c r="M1857">
        <v>1</v>
      </c>
      <c r="N1857" t="s">
        <v>67</v>
      </c>
      <c r="O1857" s="2">
        <v>0.56944444444444442</v>
      </c>
      <c r="P1857">
        <f>0.0034310749*3600</f>
        <v>12.35186964</v>
      </c>
      <c r="Q1857">
        <f>0.0035423809*3600</f>
        <v>12.75257124</v>
      </c>
    </row>
    <row r="1858" spans="1:17" x14ac:dyDescent="0.3">
      <c r="A1858" s="4" t="s">
        <v>47</v>
      </c>
      <c r="B1858" s="6" t="s">
        <v>1335</v>
      </c>
      <c r="C1858">
        <v>299.12284599999998</v>
      </c>
      <c r="D1858">
        <v>291.18266499999999</v>
      </c>
      <c r="E1858">
        <v>1</v>
      </c>
      <c r="F1858">
        <v>1</v>
      </c>
      <c r="G1858">
        <v>0.26100000000000001</v>
      </c>
      <c r="H1858">
        <v>0</v>
      </c>
      <c r="I1858" t="s">
        <v>0</v>
      </c>
      <c r="J1858" t="s">
        <v>59</v>
      </c>
      <c r="K1858">
        <v>0</v>
      </c>
      <c r="L1858" t="s">
        <v>60</v>
      </c>
      <c r="M1858">
        <v>1</v>
      </c>
      <c r="N1858" t="s">
        <v>67</v>
      </c>
      <c r="O1858" s="2">
        <v>0.56944444444444442</v>
      </c>
      <c r="P1858">
        <f>0.003411978*3600</f>
        <v>12.283120800000001</v>
      </c>
      <c r="Q1858">
        <f>0.0035046608*3600</f>
        <v>12.61677888</v>
      </c>
    </row>
    <row r="1859" spans="1:17" x14ac:dyDescent="0.3">
      <c r="A1859" s="4" t="s">
        <v>47</v>
      </c>
      <c r="B1859" s="6" t="s">
        <v>1336</v>
      </c>
      <c r="C1859">
        <v>299.12284799999998</v>
      </c>
      <c r="D1859">
        <v>291.18266499999999</v>
      </c>
      <c r="E1859">
        <v>1</v>
      </c>
      <c r="F1859">
        <v>1</v>
      </c>
      <c r="G1859">
        <v>0.26100000000000001</v>
      </c>
      <c r="H1859">
        <v>0</v>
      </c>
      <c r="I1859" t="s">
        <v>0</v>
      </c>
      <c r="J1859" t="s">
        <v>59</v>
      </c>
      <c r="K1859">
        <v>0</v>
      </c>
      <c r="L1859" t="s">
        <v>60</v>
      </c>
      <c r="M1859">
        <v>1</v>
      </c>
      <c r="N1859" t="s">
        <v>67</v>
      </c>
      <c r="O1859" s="2">
        <v>0.56944444444444442</v>
      </c>
      <c r="P1859">
        <f>0.0033940176*3600</f>
        <v>12.218463359999999</v>
      </c>
      <c r="Q1859">
        <f>0.0035226737*3600</f>
        <v>12.68162532</v>
      </c>
    </row>
    <row r="1860" spans="1:17" x14ac:dyDescent="0.3">
      <c r="A1860" s="4" t="s">
        <v>47</v>
      </c>
      <c r="B1860" s="6" t="s">
        <v>1337</v>
      </c>
      <c r="C1860">
        <v>299.12271700000002</v>
      </c>
      <c r="D1860">
        <v>291.182661</v>
      </c>
      <c r="E1860">
        <v>1</v>
      </c>
      <c r="F1860">
        <v>1</v>
      </c>
      <c r="G1860">
        <v>0.26100000000000001</v>
      </c>
      <c r="H1860">
        <v>0</v>
      </c>
      <c r="I1860" t="s">
        <v>0</v>
      </c>
      <c r="J1860" t="s">
        <v>59</v>
      </c>
      <c r="K1860">
        <v>0</v>
      </c>
      <c r="L1860" t="s">
        <v>60</v>
      </c>
      <c r="M1860">
        <v>1</v>
      </c>
      <c r="N1860" t="s">
        <v>67</v>
      </c>
      <c r="O1860" s="2">
        <v>0.56944444444444442</v>
      </c>
      <c r="P1860">
        <f>0.0034475847*3600</f>
        <v>12.411304919999999</v>
      </c>
      <c r="Q1860">
        <f>0.0034989824*3600</f>
        <v>12.596336640000001</v>
      </c>
    </row>
    <row r="1861" spans="1:17" x14ac:dyDescent="0.3">
      <c r="A1861" s="4" t="s">
        <v>47</v>
      </c>
      <c r="B1861" s="6" t="s">
        <v>1338</v>
      </c>
      <c r="C1861">
        <v>299.12317200000001</v>
      </c>
      <c r="D1861">
        <v>291.18267500000002</v>
      </c>
      <c r="E1861">
        <v>1</v>
      </c>
      <c r="F1861">
        <v>1</v>
      </c>
      <c r="G1861">
        <v>0.26100000000000001</v>
      </c>
      <c r="H1861">
        <v>0</v>
      </c>
      <c r="I1861" t="s">
        <v>0</v>
      </c>
      <c r="J1861" t="s">
        <v>59</v>
      </c>
      <c r="K1861">
        <v>0</v>
      </c>
      <c r="L1861" t="s">
        <v>60</v>
      </c>
      <c r="M1861">
        <v>1</v>
      </c>
      <c r="N1861" t="s">
        <v>67</v>
      </c>
      <c r="O1861" s="2">
        <v>0.56944444444444442</v>
      </c>
      <c r="P1861">
        <f>0.0034229596*3600</f>
        <v>12.32265456</v>
      </c>
      <c r="Q1861">
        <f>0.0035217979*3600</f>
        <v>12.67847244</v>
      </c>
    </row>
    <row r="1862" spans="1:17" x14ac:dyDescent="0.3">
      <c r="A1862" s="4" t="s">
        <v>47</v>
      </c>
      <c r="B1862" s="6" t="s">
        <v>1339</v>
      </c>
      <c r="C1862">
        <v>299.12266799999998</v>
      </c>
      <c r="D1862">
        <v>291.18262199999998</v>
      </c>
      <c r="E1862">
        <v>1</v>
      </c>
      <c r="F1862">
        <v>1</v>
      </c>
      <c r="G1862">
        <v>0.26100000000000001</v>
      </c>
      <c r="H1862">
        <v>0</v>
      </c>
      <c r="I1862" t="s">
        <v>0</v>
      </c>
      <c r="J1862" t="s">
        <v>59</v>
      </c>
      <c r="K1862">
        <v>0</v>
      </c>
      <c r="L1862" t="s">
        <v>60</v>
      </c>
      <c r="M1862">
        <v>1</v>
      </c>
      <c r="N1862" t="s">
        <v>67</v>
      </c>
      <c r="O1862" s="2">
        <v>0.56944444444444442</v>
      </c>
      <c r="P1862">
        <f>0.0033626824*3600</f>
        <v>12.105656639999999</v>
      </c>
      <c r="Q1862">
        <f>0.0034646501*3600</f>
        <v>12.472740360000001</v>
      </c>
    </row>
    <row r="1863" spans="1:17" x14ac:dyDescent="0.3">
      <c r="A1863" s="4" t="s">
        <v>47</v>
      </c>
      <c r="B1863" s="6" t="s">
        <v>1340</v>
      </c>
      <c r="C1863">
        <v>299.122522</v>
      </c>
      <c r="D1863">
        <v>291.18253600000003</v>
      </c>
      <c r="E1863">
        <v>1</v>
      </c>
      <c r="F1863">
        <v>1</v>
      </c>
      <c r="G1863">
        <v>0.26100000000000001</v>
      </c>
      <c r="H1863">
        <v>0</v>
      </c>
      <c r="I1863" t="s">
        <v>0</v>
      </c>
      <c r="J1863" t="s">
        <v>59</v>
      </c>
      <c r="K1863">
        <v>0</v>
      </c>
      <c r="L1863" t="s">
        <v>60</v>
      </c>
      <c r="M1863">
        <v>1</v>
      </c>
      <c r="N1863" t="s">
        <v>67</v>
      </c>
      <c r="O1863" s="2">
        <v>0.56944444444444442</v>
      </c>
      <c r="P1863">
        <f>0.0033702067*3600</f>
        <v>12.13274412</v>
      </c>
      <c r="Q1863">
        <f>0.003383246*3600</f>
        <v>12.179685599999999</v>
      </c>
    </row>
    <row r="1864" spans="1:17" x14ac:dyDescent="0.3">
      <c r="A1864" s="4" t="s">
        <v>47</v>
      </c>
      <c r="B1864" s="6" t="s">
        <v>1341</v>
      </c>
      <c r="C1864">
        <v>299.12277499999999</v>
      </c>
      <c r="D1864">
        <v>291.182545</v>
      </c>
      <c r="E1864">
        <v>1</v>
      </c>
      <c r="F1864">
        <v>1</v>
      </c>
      <c r="G1864">
        <v>0.26100000000000001</v>
      </c>
      <c r="H1864">
        <v>0</v>
      </c>
      <c r="I1864" t="s">
        <v>0</v>
      </c>
      <c r="J1864" t="s">
        <v>59</v>
      </c>
      <c r="K1864">
        <v>0</v>
      </c>
      <c r="L1864" t="s">
        <v>60</v>
      </c>
      <c r="M1864">
        <v>1</v>
      </c>
      <c r="N1864" t="s">
        <v>67</v>
      </c>
      <c r="O1864" s="2">
        <v>0.56944444444444442</v>
      </c>
      <c r="P1864">
        <f>0.0033695386*3600</f>
        <v>12.13033896</v>
      </c>
      <c r="Q1864">
        <f>0.0033850783*3600</f>
        <v>12.186281879999999</v>
      </c>
    </row>
    <row r="1865" spans="1:17" x14ac:dyDescent="0.3">
      <c r="A1865" s="4" t="s">
        <v>47</v>
      </c>
      <c r="B1865" s="6" t="s">
        <v>1342</v>
      </c>
      <c r="C1865">
        <v>299.12287800000001</v>
      </c>
      <c r="D1865">
        <v>291.18269600000002</v>
      </c>
      <c r="E1865">
        <v>1</v>
      </c>
      <c r="F1865">
        <v>1</v>
      </c>
      <c r="G1865">
        <v>0.26100000000000001</v>
      </c>
      <c r="H1865">
        <v>0</v>
      </c>
      <c r="I1865" t="s">
        <v>0</v>
      </c>
      <c r="J1865" t="s">
        <v>59</v>
      </c>
      <c r="K1865">
        <v>0</v>
      </c>
      <c r="L1865" t="s">
        <v>60</v>
      </c>
      <c r="M1865">
        <v>1</v>
      </c>
      <c r="N1865" t="s">
        <v>67</v>
      </c>
      <c r="O1865" s="2">
        <v>0.56944444444444442</v>
      </c>
      <c r="P1865">
        <f>0.003388862*3600</f>
        <v>12.1999032</v>
      </c>
      <c r="Q1865">
        <f>0.0035398166*3600</f>
        <v>12.74333976</v>
      </c>
    </row>
    <row r="1866" spans="1:17" x14ac:dyDescent="0.3">
      <c r="A1866" s="4" t="s">
        <v>47</v>
      </c>
      <c r="B1866" s="6" t="s">
        <v>1343</v>
      </c>
      <c r="C1866">
        <v>299.12254000000001</v>
      </c>
      <c r="D1866">
        <v>291.18268799999998</v>
      </c>
      <c r="E1866">
        <v>1</v>
      </c>
      <c r="F1866">
        <v>1</v>
      </c>
      <c r="G1866">
        <v>0.26100000000000001</v>
      </c>
      <c r="H1866">
        <v>0</v>
      </c>
      <c r="I1866" t="s">
        <v>0</v>
      </c>
      <c r="J1866" t="s">
        <v>59</v>
      </c>
      <c r="K1866">
        <v>0</v>
      </c>
      <c r="L1866" t="s">
        <v>60</v>
      </c>
      <c r="M1866">
        <v>1</v>
      </c>
      <c r="N1866" t="s">
        <v>67</v>
      </c>
      <c r="O1866" s="2">
        <v>0.56944444444444442</v>
      </c>
      <c r="P1866">
        <f>0.0033904684*3600</f>
        <v>12.20568624</v>
      </c>
      <c r="Q1866">
        <f>0.0035229056*3600</f>
        <v>12.68246016</v>
      </c>
    </row>
    <row r="1867" spans="1:17" x14ac:dyDescent="0.3">
      <c r="A1867" s="4" t="s">
        <v>47</v>
      </c>
      <c r="B1867" s="6" t="s">
        <v>1344</v>
      </c>
      <c r="C1867">
        <v>299.122747</v>
      </c>
      <c r="D1867">
        <v>291.182635</v>
      </c>
      <c r="E1867">
        <v>1</v>
      </c>
      <c r="F1867">
        <v>1</v>
      </c>
      <c r="G1867">
        <v>0.26100000000000001</v>
      </c>
      <c r="H1867">
        <v>0</v>
      </c>
      <c r="I1867" t="s">
        <v>0</v>
      </c>
      <c r="J1867" t="s">
        <v>59</v>
      </c>
      <c r="K1867">
        <v>0</v>
      </c>
      <c r="L1867" t="s">
        <v>60</v>
      </c>
      <c r="M1867">
        <v>1</v>
      </c>
      <c r="N1867" t="s">
        <v>67</v>
      </c>
      <c r="O1867" s="2">
        <v>0.56944444444444442</v>
      </c>
      <c r="P1867">
        <f>0.0034178926*3600</f>
        <v>12.30441336</v>
      </c>
      <c r="Q1867">
        <f>0.003472276*3600</f>
        <v>12.500193599999999</v>
      </c>
    </row>
    <row r="1868" spans="1:17" x14ac:dyDescent="0.3">
      <c r="A1868" s="4" t="s">
        <v>47</v>
      </c>
      <c r="B1868" s="6" t="s">
        <v>1345</v>
      </c>
      <c r="C1868">
        <v>299.12281300000001</v>
      </c>
      <c r="D1868">
        <v>291.18264699999997</v>
      </c>
      <c r="E1868">
        <v>1</v>
      </c>
      <c r="F1868">
        <v>1</v>
      </c>
      <c r="G1868">
        <v>0.26100000000000001</v>
      </c>
      <c r="H1868">
        <v>0</v>
      </c>
      <c r="I1868" t="s">
        <v>0</v>
      </c>
      <c r="J1868" t="s">
        <v>59</v>
      </c>
      <c r="K1868">
        <v>0</v>
      </c>
      <c r="L1868" t="s">
        <v>60</v>
      </c>
      <c r="M1868">
        <v>1</v>
      </c>
      <c r="N1868" t="s">
        <v>67</v>
      </c>
      <c r="O1868" s="2">
        <v>0.56944444444444442</v>
      </c>
      <c r="P1868">
        <f>0.0033969785*3600</f>
        <v>12.2291226</v>
      </c>
      <c r="Q1868">
        <f>0.0034989271*3600</f>
        <v>12.596137559999999</v>
      </c>
    </row>
    <row r="1869" spans="1:17" x14ac:dyDescent="0.3">
      <c r="A1869" s="4" t="s">
        <v>47</v>
      </c>
      <c r="B1869" s="6" t="s">
        <v>1346</v>
      </c>
      <c r="C1869">
        <v>299.12399199999999</v>
      </c>
      <c r="D1869">
        <v>291.18272200000001</v>
      </c>
      <c r="E1869">
        <v>1</v>
      </c>
      <c r="F1869">
        <v>1</v>
      </c>
      <c r="G1869">
        <v>0.26100000000000001</v>
      </c>
      <c r="H1869">
        <v>0</v>
      </c>
      <c r="I1869" t="s">
        <v>0</v>
      </c>
      <c r="J1869" t="s">
        <v>59</v>
      </c>
      <c r="K1869">
        <v>0</v>
      </c>
      <c r="L1869" t="s">
        <v>60</v>
      </c>
      <c r="M1869">
        <v>1</v>
      </c>
      <c r="N1869" t="s">
        <v>67</v>
      </c>
      <c r="O1869" s="2">
        <v>0.56944444444444442</v>
      </c>
      <c r="P1869">
        <f>0.0034068685*3600</f>
        <v>12.264726600000001</v>
      </c>
      <c r="Q1869">
        <f>0.0035262673*3600</f>
        <v>12.694562280000001</v>
      </c>
    </row>
    <row r="1870" spans="1:17" x14ac:dyDescent="0.3">
      <c r="A1870" s="4" t="s">
        <v>47</v>
      </c>
      <c r="B1870" s="6" t="s">
        <v>1347</v>
      </c>
      <c r="C1870">
        <v>299.122997</v>
      </c>
      <c r="D1870">
        <v>291.18275999999997</v>
      </c>
      <c r="E1870">
        <v>1</v>
      </c>
      <c r="F1870">
        <v>1</v>
      </c>
      <c r="G1870">
        <v>0.26100000000000001</v>
      </c>
      <c r="H1870">
        <v>0</v>
      </c>
      <c r="I1870" t="s">
        <v>0</v>
      </c>
      <c r="J1870" t="s">
        <v>59</v>
      </c>
      <c r="K1870">
        <v>0</v>
      </c>
      <c r="L1870" t="s">
        <v>60</v>
      </c>
      <c r="M1870">
        <v>1</v>
      </c>
      <c r="N1870" t="s">
        <v>67</v>
      </c>
      <c r="O1870" s="2">
        <v>0.56944444444444442</v>
      </c>
      <c r="P1870">
        <f>0.0034663549*3600</f>
        <v>12.47887764</v>
      </c>
      <c r="Q1870">
        <f>0.0036166662*3600</f>
        <v>13.019998319999999</v>
      </c>
    </row>
    <row r="1871" spans="1:17" x14ac:dyDescent="0.3">
      <c r="A1871" s="4" t="s">
        <v>47</v>
      </c>
      <c r="B1871" s="6" t="s">
        <v>1348</v>
      </c>
      <c r="C1871">
        <v>299.12322899999998</v>
      </c>
      <c r="D1871">
        <v>291.18261000000001</v>
      </c>
      <c r="E1871">
        <v>1</v>
      </c>
      <c r="F1871">
        <v>1</v>
      </c>
      <c r="G1871">
        <v>0.26100000000000001</v>
      </c>
      <c r="H1871">
        <v>0</v>
      </c>
      <c r="I1871" t="s">
        <v>0</v>
      </c>
      <c r="J1871" t="s">
        <v>59</v>
      </c>
      <c r="K1871">
        <v>0</v>
      </c>
      <c r="L1871" t="s">
        <v>60</v>
      </c>
      <c r="M1871">
        <v>1</v>
      </c>
      <c r="N1871" t="s">
        <v>67</v>
      </c>
      <c r="O1871" s="2">
        <v>0.56944444444444442</v>
      </c>
      <c r="P1871">
        <f>0.0034393263*3600</f>
        <v>12.38157468</v>
      </c>
      <c r="Q1871">
        <f>0.0034209913*3600</f>
        <v>12.31556868</v>
      </c>
    </row>
    <row r="1872" spans="1:17" x14ac:dyDescent="0.3">
      <c r="A1872" s="4" t="s">
        <v>47</v>
      </c>
      <c r="B1872" s="6" t="s">
        <v>1349</v>
      </c>
      <c r="C1872">
        <v>299.12315000000001</v>
      </c>
      <c r="D1872">
        <v>291.18266699999998</v>
      </c>
      <c r="E1872">
        <v>1</v>
      </c>
      <c r="F1872">
        <v>1</v>
      </c>
      <c r="G1872">
        <v>0.26100000000000001</v>
      </c>
      <c r="H1872">
        <v>0</v>
      </c>
      <c r="I1872" t="s">
        <v>0</v>
      </c>
      <c r="J1872" t="s">
        <v>59</v>
      </c>
      <c r="K1872">
        <v>0</v>
      </c>
      <c r="L1872" t="s">
        <v>60</v>
      </c>
      <c r="M1872">
        <v>1</v>
      </c>
      <c r="N1872" t="s">
        <v>67</v>
      </c>
      <c r="O1872" s="2">
        <v>0.56944444444444442</v>
      </c>
      <c r="P1872">
        <f>0.0035016761*3600</f>
        <v>12.60603396</v>
      </c>
      <c r="Q1872">
        <f>0.0034754236*3600</f>
        <v>12.511524959999999</v>
      </c>
    </row>
    <row r="1873" spans="1:17" x14ac:dyDescent="0.3">
      <c r="A1873" s="4" t="s">
        <v>47</v>
      </c>
      <c r="B1873" s="6" t="s">
        <v>1350</v>
      </c>
      <c r="C1873">
        <v>299.12334199999998</v>
      </c>
      <c r="D1873">
        <v>291.18267900000001</v>
      </c>
      <c r="E1873">
        <v>1</v>
      </c>
      <c r="F1873">
        <v>1</v>
      </c>
      <c r="G1873">
        <v>0.26100000000000001</v>
      </c>
      <c r="H1873">
        <v>0</v>
      </c>
      <c r="I1873" t="s">
        <v>0</v>
      </c>
      <c r="J1873" t="s">
        <v>59</v>
      </c>
      <c r="K1873">
        <v>0</v>
      </c>
      <c r="L1873" t="s">
        <v>60</v>
      </c>
      <c r="M1873">
        <v>1</v>
      </c>
      <c r="N1873" t="s">
        <v>67</v>
      </c>
      <c r="O1873" s="2">
        <v>0.56944444444444442</v>
      </c>
      <c r="P1873">
        <f>0.0035239023*3600</f>
        <v>12.68604828</v>
      </c>
      <c r="Q1873">
        <f>0.003517731*3600</f>
        <v>12.6638316</v>
      </c>
    </row>
    <row r="1874" spans="1:17" x14ac:dyDescent="0.3">
      <c r="A1874" s="4" t="s">
        <v>47</v>
      </c>
      <c r="B1874" s="6" t="s">
        <v>1351</v>
      </c>
      <c r="C1874">
        <v>299.123244</v>
      </c>
      <c r="D1874">
        <v>291.18261699999999</v>
      </c>
      <c r="E1874">
        <v>1</v>
      </c>
      <c r="F1874">
        <v>1</v>
      </c>
      <c r="G1874">
        <v>0.26100000000000001</v>
      </c>
      <c r="H1874">
        <v>0</v>
      </c>
      <c r="I1874" t="s">
        <v>0</v>
      </c>
      <c r="J1874" t="s">
        <v>59</v>
      </c>
      <c r="K1874">
        <v>0</v>
      </c>
      <c r="L1874" t="s">
        <v>60</v>
      </c>
      <c r="M1874">
        <v>1</v>
      </c>
      <c r="N1874" t="s">
        <v>67</v>
      </c>
      <c r="O1874" s="2">
        <v>0.56944444444444442</v>
      </c>
      <c r="P1874">
        <f>0.0034978107*3600</f>
        <v>12.59211852</v>
      </c>
      <c r="Q1874">
        <f>0.0034281337*3600</f>
        <v>12.34128132</v>
      </c>
    </row>
    <row r="1875" spans="1:17" x14ac:dyDescent="0.3">
      <c r="A1875" s="4" t="s">
        <v>47</v>
      </c>
      <c r="B1875" s="6" t="s">
        <v>1352</v>
      </c>
      <c r="C1875">
        <v>299.12298199999998</v>
      </c>
      <c r="D1875">
        <v>291.18260700000002</v>
      </c>
      <c r="E1875">
        <v>1</v>
      </c>
      <c r="F1875">
        <v>1</v>
      </c>
      <c r="G1875">
        <v>0.26100000000000001</v>
      </c>
      <c r="H1875">
        <v>0</v>
      </c>
      <c r="I1875" t="s">
        <v>0</v>
      </c>
      <c r="J1875" t="s">
        <v>59</v>
      </c>
      <c r="K1875">
        <v>0</v>
      </c>
      <c r="L1875" t="s">
        <v>60</v>
      </c>
      <c r="M1875">
        <v>1</v>
      </c>
      <c r="N1875" t="s">
        <v>67</v>
      </c>
      <c r="O1875" s="2">
        <v>0.56944444444444442</v>
      </c>
      <c r="P1875">
        <f>0.0034888788*3600</f>
        <v>12.559963679999999</v>
      </c>
      <c r="Q1875">
        <f>0.0034273155*3600</f>
        <v>12.338335799999999</v>
      </c>
    </row>
    <row r="1876" spans="1:17" x14ac:dyDescent="0.3">
      <c r="A1876" s="4" t="s">
        <v>47</v>
      </c>
      <c r="B1876" s="6" t="s">
        <v>1353</v>
      </c>
      <c r="C1876">
        <v>299.122927</v>
      </c>
      <c r="D1876">
        <v>291.18260199999997</v>
      </c>
      <c r="E1876">
        <v>1</v>
      </c>
      <c r="F1876">
        <v>1</v>
      </c>
      <c r="G1876">
        <v>0.26100000000000001</v>
      </c>
      <c r="H1876">
        <v>0</v>
      </c>
      <c r="I1876" t="s">
        <v>0</v>
      </c>
      <c r="J1876" t="s">
        <v>59</v>
      </c>
      <c r="K1876">
        <v>0</v>
      </c>
      <c r="L1876" t="s">
        <v>60</v>
      </c>
      <c r="M1876">
        <v>1</v>
      </c>
      <c r="N1876" t="s">
        <v>67</v>
      </c>
      <c r="O1876" s="2">
        <v>0.56944444444444442</v>
      </c>
      <c r="P1876">
        <f>0.0034649408*3600</f>
        <v>12.47378688</v>
      </c>
      <c r="Q1876">
        <f>0.003421324*3600</f>
        <v>12.316766399999999</v>
      </c>
    </row>
    <row r="1877" spans="1:17" x14ac:dyDescent="0.3">
      <c r="A1877" s="4" t="s">
        <v>47</v>
      </c>
      <c r="B1877" s="6" t="s">
        <v>1354</v>
      </c>
      <c r="C1877">
        <v>299.12314300000003</v>
      </c>
      <c r="D1877">
        <v>291.182568</v>
      </c>
      <c r="E1877">
        <v>1</v>
      </c>
      <c r="F1877">
        <v>1</v>
      </c>
      <c r="G1877">
        <v>0.26100000000000001</v>
      </c>
      <c r="H1877">
        <v>0</v>
      </c>
      <c r="I1877" t="s">
        <v>0</v>
      </c>
      <c r="J1877" t="s">
        <v>59</v>
      </c>
      <c r="K1877">
        <v>0</v>
      </c>
      <c r="L1877" t="s">
        <v>60</v>
      </c>
      <c r="M1877">
        <v>1</v>
      </c>
      <c r="N1877" t="s">
        <v>67</v>
      </c>
      <c r="O1877" s="2">
        <v>0.56944444444444442</v>
      </c>
      <c r="P1877">
        <f>0.0035044874*3600</f>
        <v>12.61615464</v>
      </c>
      <c r="Q1877">
        <f>0.0033914046*3600</f>
        <v>12.209056560000001</v>
      </c>
    </row>
    <row r="1878" spans="1:17" x14ac:dyDescent="0.3">
      <c r="A1878" s="4" t="s">
        <v>47</v>
      </c>
      <c r="B1878" s="6" t="s">
        <v>1355</v>
      </c>
      <c r="C1878">
        <v>299.12286599999999</v>
      </c>
      <c r="D1878">
        <v>291.182636</v>
      </c>
      <c r="E1878">
        <v>1</v>
      </c>
      <c r="F1878">
        <v>1</v>
      </c>
      <c r="G1878">
        <v>0.26100000000000001</v>
      </c>
      <c r="H1878">
        <v>0</v>
      </c>
      <c r="I1878" t="s">
        <v>0</v>
      </c>
      <c r="J1878" t="s">
        <v>59</v>
      </c>
      <c r="K1878">
        <v>0</v>
      </c>
      <c r="L1878" t="s">
        <v>60</v>
      </c>
      <c r="M1878">
        <v>1</v>
      </c>
      <c r="N1878" t="s">
        <v>67</v>
      </c>
      <c r="O1878" s="2">
        <v>0.56944444444444442</v>
      </c>
      <c r="P1878">
        <f>0.003472868*3600</f>
        <v>12.5023248</v>
      </c>
      <c r="Q1878">
        <f>0.0034629752*3600</f>
        <v>12.46671072</v>
      </c>
    </row>
    <row r="1879" spans="1:17" x14ac:dyDescent="0.3">
      <c r="A1879" s="4" t="s">
        <v>47</v>
      </c>
      <c r="B1879" s="6" t="s">
        <v>1356</v>
      </c>
      <c r="C1879">
        <v>299.12316299999998</v>
      </c>
      <c r="D1879">
        <v>291.18265600000001</v>
      </c>
      <c r="E1879">
        <v>1</v>
      </c>
      <c r="F1879">
        <v>1</v>
      </c>
      <c r="G1879">
        <v>0.26100000000000001</v>
      </c>
      <c r="H1879">
        <v>0</v>
      </c>
      <c r="I1879" t="s">
        <v>0</v>
      </c>
      <c r="J1879" t="s">
        <v>59</v>
      </c>
      <c r="K1879">
        <v>0</v>
      </c>
      <c r="L1879" t="s">
        <v>60</v>
      </c>
      <c r="M1879">
        <v>1</v>
      </c>
      <c r="N1879" t="s">
        <v>67</v>
      </c>
      <c r="O1879" s="2">
        <v>0.56944444444444442</v>
      </c>
      <c r="P1879">
        <f>0.0034459919*3600</f>
        <v>12.405570840000001</v>
      </c>
      <c r="Q1879">
        <f>0.0034702406*3600</f>
        <v>12.49286616</v>
      </c>
    </row>
    <row r="1880" spans="1:17" x14ac:dyDescent="0.3">
      <c r="A1880" s="4" t="s">
        <v>47</v>
      </c>
      <c r="B1880" s="6" t="s">
        <v>1357</v>
      </c>
      <c r="C1880">
        <v>299.12261699999999</v>
      </c>
      <c r="D1880">
        <v>291.18260400000003</v>
      </c>
      <c r="E1880">
        <v>1</v>
      </c>
      <c r="F1880">
        <v>1</v>
      </c>
      <c r="G1880">
        <v>0.26100000000000001</v>
      </c>
      <c r="H1880">
        <v>0</v>
      </c>
      <c r="I1880" t="s">
        <v>0</v>
      </c>
      <c r="J1880" t="s">
        <v>59</v>
      </c>
      <c r="K1880">
        <v>0</v>
      </c>
      <c r="L1880" t="s">
        <v>60</v>
      </c>
      <c r="M1880">
        <v>1</v>
      </c>
      <c r="N1880" t="s">
        <v>67</v>
      </c>
      <c r="O1880" s="2">
        <v>0.56944444444444442</v>
      </c>
      <c r="P1880">
        <f>0.0034622766*3600</f>
        <v>12.464195760000001</v>
      </c>
      <c r="Q1880">
        <f>0.0034235924*3600</f>
        <v>12.32493264</v>
      </c>
    </row>
    <row r="1881" spans="1:17" x14ac:dyDescent="0.3">
      <c r="A1881" s="4" t="s">
        <v>47</v>
      </c>
      <c r="B1881" s="6" t="s">
        <v>1358</v>
      </c>
      <c r="C1881">
        <v>299.12270999999998</v>
      </c>
      <c r="D1881">
        <v>291.18265200000002</v>
      </c>
      <c r="E1881">
        <v>1</v>
      </c>
      <c r="F1881">
        <v>1</v>
      </c>
      <c r="G1881">
        <v>0.26100000000000001</v>
      </c>
      <c r="H1881">
        <v>0</v>
      </c>
      <c r="I1881" t="s">
        <v>0</v>
      </c>
      <c r="J1881" t="s">
        <v>59</v>
      </c>
      <c r="K1881">
        <v>0</v>
      </c>
      <c r="L1881" t="s">
        <v>60</v>
      </c>
      <c r="M1881">
        <v>1</v>
      </c>
      <c r="N1881" t="s">
        <v>67</v>
      </c>
      <c r="O1881" s="2">
        <v>0.56944444444444442</v>
      </c>
      <c r="P1881">
        <f>0.0035080182*3600</f>
        <v>12.62886552</v>
      </c>
      <c r="Q1881">
        <f>0.0034664912*3600</f>
        <v>12.479368320000001</v>
      </c>
    </row>
    <row r="1882" spans="1:17" x14ac:dyDescent="0.3">
      <c r="A1882" s="4" t="s">
        <v>47</v>
      </c>
      <c r="B1882" s="6" t="s">
        <v>1359</v>
      </c>
      <c r="C1882">
        <v>299.12356499999999</v>
      </c>
      <c r="D1882">
        <v>291.18265600000001</v>
      </c>
      <c r="E1882">
        <v>1</v>
      </c>
      <c r="F1882">
        <v>1</v>
      </c>
      <c r="G1882">
        <v>0.26100000000000001</v>
      </c>
      <c r="H1882">
        <v>0</v>
      </c>
      <c r="I1882" t="s">
        <v>0</v>
      </c>
      <c r="J1882" t="s">
        <v>59</v>
      </c>
      <c r="K1882">
        <v>0</v>
      </c>
      <c r="L1882" t="s">
        <v>60</v>
      </c>
      <c r="M1882">
        <v>1</v>
      </c>
      <c r="N1882" t="s">
        <v>67</v>
      </c>
      <c r="O1882" s="2">
        <v>0.56944444444444442</v>
      </c>
      <c r="P1882">
        <f>0.0035186862*3600</f>
        <v>12.66727032</v>
      </c>
      <c r="Q1882">
        <f>0.0034733505*3600</f>
        <v>12.504061799999999</v>
      </c>
    </row>
    <row r="1883" spans="1:17" x14ac:dyDescent="0.3">
      <c r="A1883" s="4" t="s">
        <v>47</v>
      </c>
      <c r="B1883" s="6" t="s">
        <v>1360</v>
      </c>
      <c r="C1883">
        <v>299.12280299999998</v>
      </c>
      <c r="D1883">
        <v>291.18253499999997</v>
      </c>
      <c r="E1883">
        <v>1</v>
      </c>
      <c r="F1883">
        <v>1</v>
      </c>
      <c r="G1883">
        <v>0.26100000000000001</v>
      </c>
      <c r="H1883">
        <v>0</v>
      </c>
      <c r="I1883" t="s">
        <v>0</v>
      </c>
      <c r="J1883" t="s">
        <v>59</v>
      </c>
      <c r="K1883">
        <v>0</v>
      </c>
      <c r="L1883" t="s">
        <v>60</v>
      </c>
      <c r="M1883">
        <v>1</v>
      </c>
      <c r="N1883" t="s">
        <v>67</v>
      </c>
      <c r="O1883" s="2">
        <v>0.56944444444444442</v>
      </c>
      <c r="P1883">
        <f>0.0034903427*3600</f>
        <v>12.56523372</v>
      </c>
      <c r="Q1883">
        <f>0.0033531645*3600</f>
        <v>12.0713922</v>
      </c>
    </row>
    <row r="1884" spans="1:17" x14ac:dyDescent="0.3">
      <c r="A1884" s="4" t="s">
        <v>47</v>
      </c>
      <c r="B1884" s="6" t="s">
        <v>1361</v>
      </c>
      <c r="C1884">
        <v>299.12272400000001</v>
      </c>
      <c r="D1884">
        <v>291.18276900000001</v>
      </c>
      <c r="E1884">
        <v>1</v>
      </c>
      <c r="F1884">
        <v>1</v>
      </c>
      <c r="G1884">
        <v>0.26100000000000001</v>
      </c>
      <c r="H1884">
        <v>0</v>
      </c>
      <c r="I1884" t="s">
        <v>0</v>
      </c>
      <c r="J1884" t="s">
        <v>59</v>
      </c>
      <c r="K1884">
        <v>0</v>
      </c>
      <c r="L1884" t="s">
        <v>60</v>
      </c>
      <c r="M1884">
        <v>1</v>
      </c>
      <c r="N1884" t="s">
        <v>67</v>
      </c>
      <c r="O1884" s="2">
        <v>0.56944444444444442</v>
      </c>
      <c r="P1884">
        <f>0.0034875382*3600</f>
        <v>12.555137520000001</v>
      </c>
      <c r="Q1884">
        <f>0.0035504589*3600</f>
        <v>12.781652040000001</v>
      </c>
    </row>
    <row r="1885" spans="1:17" x14ac:dyDescent="0.3">
      <c r="A1885" s="4" t="s">
        <v>47</v>
      </c>
      <c r="B1885" s="6" t="s">
        <v>1362</v>
      </c>
      <c r="C1885">
        <v>299.122908</v>
      </c>
      <c r="D1885">
        <v>291.18267700000001</v>
      </c>
      <c r="E1885">
        <v>1</v>
      </c>
      <c r="F1885">
        <v>1</v>
      </c>
      <c r="G1885">
        <v>0.26100000000000001</v>
      </c>
      <c r="H1885">
        <v>0</v>
      </c>
      <c r="I1885" t="s">
        <v>0</v>
      </c>
      <c r="J1885" t="s">
        <v>59</v>
      </c>
      <c r="K1885">
        <v>0</v>
      </c>
      <c r="L1885" t="s">
        <v>60</v>
      </c>
      <c r="M1885">
        <v>1</v>
      </c>
      <c r="N1885" t="s">
        <v>67</v>
      </c>
      <c r="O1885" s="2">
        <v>0.56944444444444442</v>
      </c>
      <c r="P1885">
        <f>0.0034882605*3600</f>
        <v>12.5577378</v>
      </c>
      <c r="Q1885">
        <f>0.0034594721*3600</f>
        <v>12.45409956</v>
      </c>
    </row>
    <row r="1886" spans="1:17" x14ac:dyDescent="0.3">
      <c r="A1886" s="4" t="s">
        <v>47</v>
      </c>
      <c r="B1886" s="6" t="s">
        <v>1363</v>
      </c>
      <c r="C1886">
        <v>299.12279599999999</v>
      </c>
      <c r="D1886">
        <v>291.18255699999997</v>
      </c>
      <c r="E1886">
        <v>1</v>
      </c>
      <c r="F1886">
        <v>1</v>
      </c>
      <c r="G1886">
        <v>0.26100000000000001</v>
      </c>
      <c r="H1886">
        <v>0</v>
      </c>
      <c r="I1886" t="s">
        <v>0</v>
      </c>
      <c r="J1886" t="s">
        <v>59</v>
      </c>
      <c r="K1886">
        <v>0</v>
      </c>
      <c r="L1886" t="s">
        <v>60</v>
      </c>
      <c r="M1886">
        <v>1</v>
      </c>
      <c r="N1886" t="s">
        <v>67</v>
      </c>
      <c r="O1886" s="2">
        <v>0.56944444444444442</v>
      </c>
      <c r="P1886">
        <f>0.003506069*3600</f>
        <v>12.621848400000001</v>
      </c>
      <c r="Q1886">
        <f>0.0033670474*3600</f>
        <v>12.12137064</v>
      </c>
    </row>
    <row r="1887" spans="1:17" x14ac:dyDescent="0.3">
      <c r="A1887" s="4" t="s">
        <v>47</v>
      </c>
      <c r="B1887" s="6" t="s">
        <v>1364</v>
      </c>
      <c r="C1887">
        <v>299.12262399999997</v>
      </c>
      <c r="D1887">
        <v>291.182704</v>
      </c>
      <c r="E1887">
        <v>1</v>
      </c>
      <c r="F1887">
        <v>1</v>
      </c>
      <c r="G1887">
        <v>0.26100000000000001</v>
      </c>
      <c r="H1887">
        <v>0</v>
      </c>
      <c r="I1887" t="s">
        <v>0</v>
      </c>
      <c r="J1887" t="s">
        <v>59</v>
      </c>
      <c r="K1887">
        <v>0</v>
      </c>
      <c r="L1887" t="s">
        <v>60</v>
      </c>
      <c r="M1887">
        <v>1</v>
      </c>
      <c r="N1887" t="s">
        <v>67</v>
      </c>
      <c r="O1887" s="2">
        <v>0.56944444444444442</v>
      </c>
      <c r="P1887">
        <f>0.0034571294*3600</f>
        <v>12.44566584</v>
      </c>
      <c r="Q1887">
        <f>0.0035184979*3600</f>
        <v>12.666592440000001</v>
      </c>
    </row>
    <row r="1888" spans="1:17" x14ac:dyDescent="0.3">
      <c r="A1888" s="4" t="s">
        <v>47</v>
      </c>
      <c r="B1888" s="6" t="s">
        <v>1365</v>
      </c>
      <c r="C1888">
        <v>299.12316299999998</v>
      </c>
      <c r="D1888">
        <v>291.182635</v>
      </c>
      <c r="E1888">
        <v>1</v>
      </c>
      <c r="F1888">
        <v>1</v>
      </c>
      <c r="G1888">
        <v>0.26100000000000001</v>
      </c>
      <c r="H1888">
        <v>0</v>
      </c>
      <c r="I1888" t="s">
        <v>0</v>
      </c>
      <c r="J1888" t="s">
        <v>59</v>
      </c>
      <c r="K1888">
        <v>0</v>
      </c>
      <c r="L1888" t="s">
        <v>60</v>
      </c>
      <c r="M1888">
        <v>1</v>
      </c>
      <c r="N1888" t="s">
        <v>67</v>
      </c>
      <c r="O1888" s="2">
        <v>0.56944444444444442</v>
      </c>
      <c r="P1888">
        <f>0.0035248892*3600</f>
        <v>12.689601119999999</v>
      </c>
      <c r="Q1888">
        <f>0.0034187828*3600</f>
        <v>12.307618079999999</v>
      </c>
    </row>
    <row r="1889" spans="1:17" x14ac:dyDescent="0.3">
      <c r="A1889" s="4" t="s">
        <v>47</v>
      </c>
      <c r="B1889" s="6" t="s">
        <v>1366</v>
      </c>
      <c r="C1889">
        <v>299.12290400000001</v>
      </c>
      <c r="D1889">
        <v>291.18255499999998</v>
      </c>
      <c r="E1889">
        <v>1</v>
      </c>
      <c r="F1889">
        <v>1</v>
      </c>
      <c r="G1889">
        <v>0.26100000000000001</v>
      </c>
      <c r="H1889">
        <v>0</v>
      </c>
      <c r="I1889" t="s">
        <v>0</v>
      </c>
      <c r="J1889" t="s">
        <v>59</v>
      </c>
      <c r="K1889">
        <v>0</v>
      </c>
      <c r="L1889" t="s">
        <v>60</v>
      </c>
      <c r="M1889">
        <v>1</v>
      </c>
      <c r="N1889" t="s">
        <v>67</v>
      </c>
      <c r="O1889" s="2">
        <v>0.56944444444444442</v>
      </c>
      <c r="P1889">
        <f>0.0034935564*3600</f>
        <v>12.57680304</v>
      </c>
      <c r="Q1889">
        <f>0.0033476896*3600</f>
        <v>12.05168256</v>
      </c>
    </row>
    <row r="1890" spans="1:17" x14ac:dyDescent="0.3">
      <c r="A1890" s="4" t="s">
        <v>47</v>
      </c>
      <c r="B1890" s="6" t="s">
        <v>1367</v>
      </c>
      <c r="C1890">
        <v>299.12232299999999</v>
      </c>
      <c r="D1890">
        <v>291.18260900000001</v>
      </c>
      <c r="E1890">
        <v>1</v>
      </c>
      <c r="F1890">
        <v>1</v>
      </c>
      <c r="G1890">
        <v>0.26100000000000001</v>
      </c>
      <c r="H1890">
        <v>0</v>
      </c>
      <c r="I1890" t="s">
        <v>0</v>
      </c>
      <c r="J1890" t="s">
        <v>59</v>
      </c>
      <c r="K1890">
        <v>0</v>
      </c>
      <c r="L1890" t="s">
        <v>60</v>
      </c>
      <c r="M1890">
        <v>1</v>
      </c>
      <c r="N1890" t="s">
        <v>67</v>
      </c>
      <c r="O1890" s="2">
        <v>0.56944444444444442</v>
      </c>
      <c r="P1890">
        <f>0.0035911257*3600</f>
        <v>12.92805252</v>
      </c>
      <c r="Q1890">
        <f>0.0033691423*3600</f>
        <v>12.12891228</v>
      </c>
    </row>
    <row r="1891" spans="1:17" x14ac:dyDescent="0.3">
      <c r="A1891" s="4" t="s">
        <v>47</v>
      </c>
      <c r="B1891" s="6" t="s">
        <v>1368</v>
      </c>
      <c r="C1891">
        <v>299.12201700000003</v>
      </c>
      <c r="D1891">
        <v>291.18253900000002</v>
      </c>
      <c r="E1891">
        <v>1</v>
      </c>
      <c r="F1891">
        <v>1</v>
      </c>
      <c r="G1891">
        <v>0.26100000000000001</v>
      </c>
      <c r="H1891">
        <v>0</v>
      </c>
      <c r="I1891" t="s">
        <v>0</v>
      </c>
      <c r="J1891" t="s">
        <v>59</v>
      </c>
      <c r="K1891">
        <v>0</v>
      </c>
      <c r="L1891" t="s">
        <v>60</v>
      </c>
      <c r="M1891">
        <v>1</v>
      </c>
      <c r="N1891" t="s">
        <v>67</v>
      </c>
      <c r="O1891" s="2">
        <v>0.56944444444444442</v>
      </c>
      <c r="P1891">
        <f>0.0034690554*3600</f>
        <v>12.48859944</v>
      </c>
      <c r="Q1891">
        <f>0.0033027784*3600</f>
        <v>11.890002239999999</v>
      </c>
    </row>
    <row r="1892" spans="1:17" x14ac:dyDescent="0.3">
      <c r="A1892" s="4" t="s">
        <v>47</v>
      </c>
      <c r="B1892" s="6" t="s">
        <v>1369</v>
      </c>
      <c r="C1892">
        <v>299.12324699999999</v>
      </c>
      <c r="D1892">
        <v>291.182525</v>
      </c>
      <c r="E1892">
        <v>1</v>
      </c>
      <c r="F1892">
        <v>1</v>
      </c>
      <c r="G1892">
        <v>0.26100000000000001</v>
      </c>
      <c r="H1892">
        <v>0</v>
      </c>
      <c r="I1892" t="s">
        <v>0</v>
      </c>
      <c r="J1892" t="s">
        <v>59</v>
      </c>
      <c r="K1892">
        <v>0</v>
      </c>
      <c r="L1892" t="s">
        <v>60</v>
      </c>
      <c r="M1892">
        <v>1</v>
      </c>
      <c r="N1892" t="s">
        <v>67</v>
      </c>
      <c r="O1892" s="2">
        <v>0.56944444444444442</v>
      </c>
      <c r="P1892">
        <f>0.0037288165*3600</f>
        <v>13.423739400000001</v>
      </c>
      <c r="Q1892">
        <f>0.0032907708*3600</f>
        <v>11.84677488</v>
      </c>
    </row>
    <row r="1893" spans="1:17" x14ac:dyDescent="0.3">
      <c r="A1893" s="4" t="s">
        <v>47</v>
      </c>
      <c r="B1893" s="6" t="s">
        <v>1370</v>
      </c>
      <c r="C1893">
        <v>299.123355</v>
      </c>
      <c r="D1893">
        <v>291.18256000000002</v>
      </c>
      <c r="E1893">
        <v>1</v>
      </c>
      <c r="F1893">
        <v>1</v>
      </c>
      <c r="G1893">
        <v>0.26100000000000001</v>
      </c>
      <c r="H1893">
        <v>0</v>
      </c>
      <c r="I1893" t="s">
        <v>0</v>
      </c>
      <c r="J1893" t="s">
        <v>59</v>
      </c>
      <c r="K1893">
        <v>0</v>
      </c>
      <c r="L1893" t="s">
        <v>60</v>
      </c>
      <c r="M1893">
        <v>1</v>
      </c>
      <c r="N1893" t="s">
        <v>67</v>
      </c>
      <c r="O1893" s="2">
        <v>0.56944444444444442</v>
      </c>
      <c r="P1893">
        <f>0.0035437857*3600</f>
        <v>12.757628520000001</v>
      </c>
      <c r="Q1893">
        <f>0.0033283789*3600</f>
        <v>11.982164040000001</v>
      </c>
    </row>
    <row r="1894" spans="1:17" x14ac:dyDescent="0.3">
      <c r="A1894" s="4" t="s">
        <v>47</v>
      </c>
      <c r="B1894" s="6" t="s">
        <v>1371</v>
      </c>
      <c r="C1894">
        <v>299.1232</v>
      </c>
      <c r="D1894">
        <v>291.18264499999998</v>
      </c>
      <c r="E1894">
        <v>1</v>
      </c>
      <c r="F1894">
        <v>1</v>
      </c>
      <c r="G1894">
        <v>0.26100000000000001</v>
      </c>
      <c r="H1894">
        <v>0</v>
      </c>
      <c r="I1894" t="s">
        <v>0</v>
      </c>
      <c r="J1894" t="s">
        <v>59</v>
      </c>
      <c r="K1894">
        <v>0</v>
      </c>
      <c r="L1894" t="s">
        <v>60</v>
      </c>
      <c r="M1894">
        <v>1</v>
      </c>
      <c r="N1894" t="s">
        <v>67</v>
      </c>
      <c r="O1894" s="2">
        <v>0.57013888888888886</v>
      </c>
      <c r="P1894">
        <f>0.0035692408*3600</f>
        <v>12.84926688</v>
      </c>
      <c r="Q1894">
        <f>0.0034090874*3600</f>
        <v>12.27271464</v>
      </c>
    </row>
    <row r="1895" spans="1:17" x14ac:dyDescent="0.3">
      <c r="A1895" s="4" t="s">
        <v>47</v>
      </c>
      <c r="B1895" s="6" t="s">
        <v>1372</v>
      </c>
      <c r="C1895">
        <v>299.12322</v>
      </c>
      <c r="D1895">
        <v>291.18267100000003</v>
      </c>
      <c r="E1895">
        <v>1</v>
      </c>
      <c r="F1895">
        <v>1</v>
      </c>
      <c r="G1895">
        <v>0.26100000000000001</v>
      </c>
      <c r="H1895">
        <v>0</v>
      </c>
      <c r="I1895" t="s">
        <v>0</v>
      </c>
      <c r="J1895" t="s">
        <v>59</v>
      </c>
      <c r="K1895">
        <v>0</v>
      </c>
      <c r="L1895" t="s">
        <v>60</v>
      </c>
      <c r="M1895">
        <v>1</v>
      </c>
      <c r="N1895" t="s">
        <v>67</v>
      </c>
      <c r="O1895" s="2">
        <v>0.57013888888888886</v>
      </c>
      <c r="P1895">
        <f>0.0035488009*3600</f>
        <v>12.775683239999999</v>
      </c>
      <c r="Q1895">
        <f>0.003422754*3600</f>
        <v>12.321914400000001</v>
      </c>
    </row>
    <row r="1896" spans="1:17" x14ac:dyDescent="0.3">
      <c r="A1896" s="4" t="s">
        <v>47</v>
      </c>
      <c r="B1896" s="6" t="s">
        <v>1373</v>
      </c>
      <c r="C1896">
        <v>299.123898</v>
      </c>
      <c r="D1896">
        <v>291.18289399999998</v>
      </c>
      <c r="E1896">
        <v>1</v>
      </c>
      <c r="F1896">
        <v>1</v>
      </c>
      <c r="G1896">
        <v>0.26100000000000001</v>
      </c>
      <c r="H1896">
        <v>0</v>
      </c>
      <c r="I1896" t="s">
        <v>0</v>
      </c>
      <c r="J1896" t="s">
        <v>59</v>
      </c>
      <c r="K1896">
        <v>0</v>
      </c>
      <c r="L1896" t="s">
        <v>60</v>
      </c>
      <c r="M1896">
        <v>1</v>
      </c>
      <c r="N1896" t="s">
        <v>67</v>
      </c>
      <c r="O1896" s="2">
        <v>0.57013888888888886</v>
      </c>
      <c r="P1896">
        <f>0.0037599496*3600</f>
        <v>13.535818560000001</v>
      </c>
      <c r="Q1896">
        <f>0.0036241079*3600</f>
        <v>13.04678844</v>
      </c>
    </row>
    <row r="1897" spans="1:17" x14ac:dyDescent="0.3">
      <c r="A1897" s="4" t="s">
        <v>47</v>
      </c>
      <c r="B1897" s="6" t="s">
        <v>1374</v>
      </c>
      <c r="C1897">
        <v>299.12358799999998</v>
      </c>
      <c r="D1897">
        <v>291.182705</v>
      </c>
      <c r="E1897">
        <v>1</v>
      </c>
      <c r="F1897">
        <v>1</v>
      </c>
      <c r="G1897">
        <v>0.26100000000000001</v>
      </c>
      <c r="H1897">
        <v>0</v>
      </c>
      <c r="I1897" t="s">
        <v>0</v>
      </c>
      <c r="J1897" t="s">
        <v>59</v>
      </c>
      <c r="K1897">
        <v>0</v>
      </c>
      <c r="L1897" t="s">
        <v>60</v>
      </c>
      <c r="M1897">
        <v>1</v>
      </c>
      <c r="N1897" t="s">
        <v>67</v>
      </c>
      <c r="O1897" s="2">
        <v>0.57013888888888886</v>
      </c>
      <c r="P1897">
        <f>0.0037146251*3600</f>
        <v>13.37265036</v>
      </c>
      <c r="Q1897">
        <f>0.0034415451*3600</f>
        <v>12.389562359999999</v>
      </c>
    </row>
    <row r="1898" spans="1:17" x14ac:dyDescent="0.3">
      <c r="A1898" s="4" t="s">
        <v>47</v>
      </c>
      <c r="B1898" s="6" t="s">
        <v>1375</v>
      </c>
      <c r="C1898">
        <v>299.123403</v>
      </c>
      <c r="D1898">
        <v>291.18268699999999</v>
      </c>
      <c r="E1898">
        <v>1</v>
      </c>
      <c r="F1898">
        <v>1</v>
      </c>
      <c r="G1898">
        <v>0.26100000000000001</v>
      </c>
      <c r="H1898">
        <v>0</v>
      </c>
      <c r="I1898" t="s">
        <v>0</v>
      </c>
      <c r="J1898" t="s">
        <v>59</v>
      </c>
      <c r="K1898">
        <v>0</v>
      </c>
      <c r="L1898" t="s">
        <v>60</v>
      </c>
      <c r="M1898">
        <v>1</v>
      </c>
      <c r="N1898" t="s">
        <v>67</v>
      </c>
      <c r="O1898" s="2">
        <v>0.57013888888888886</v>
      </c>
      <c r="P1898">
        <f>0.003732325*3600</f>
        <v>13.43637</v>
      </c>
      <c r="Q1898">
        <f>0.0034325493*3600</f>
        <v>12.357177480000001</v>
      </c>
    </row>
    <row r="1899" spans="1:17" x14ac:dyDescent="0.3">
      <c r="A1899" s="4" t="s">
        <v>47</v>
      </c>
      <c r="B1899" s="6" t="s">
        <v>1376</v>
      </c>
      <c r="C1899">
        <v>299.12353200000001</v>
      </c>
      <c r="D1899">
        <v>291.182929</v>
      </c>
      <c r="E1899">
        <v>1</v>
      </c>
      <c r="F1899">
        <v>1</v>
      </c>
      <c r="G1899">
        <v>0.26100000000000001</v>
      </c>
      <c r="H1899">
        <v>0</v>
      </c>
      <c r="I1899" t="s">
        <v>0</v>
      </c>
      <c r="J1899" t="s">
        <v>59</v>
      </c>
      <c r="K1899">
        <v>0</v>
      </c>
      <c r="L1899" t="s">
        <v>60</v>
      </c>
      <c r="M1899">
        <v>1</v>
      </c>
      <c r="N1899" t="s">
        <v>67</v>
      </c>
      <c r="O1899" s="2">
        <v>0.57013888888888886</v>
      </c>
      <c r="P1899">
        <f>0.0036905494*3600</f>
        <v>13.285977840000001</v>
      </c>
      <c r="Q1899">
        <f>0.0036830891*3600</f>
        <v>13.25912076</v>
      </c>
    </row>
    <row r="1900" spans="1:17" x14ac:dyDescent="0.3">
      <c r="A1900" s="4" t="s">
        <v>47</v>
      </c>
      <c r="B1900" s="5" t="s">
        <v>1578</v>
      </c>
      <c r="C1900">
        <v>98.826537000000002</v>
      </c>
      <c r="D1900">
        <v>104.93475100000001</v>
      </c>
      <c r="E1900">
        <v>19.6632</v>
      </c>
      <c r="F1900">
        <v>19.6007</v>
      </c>
      <c r="G1900">
        <v>0.26100000000000001</v>
      </c>
      <c r="H1900">
        <v>0</v>
      </c>
      <c r="I1900" t="s">
        <v>0</v>
      </c>
      <c r="J1900" t="s">
        <v>59</v>
      </c>
      <c r="K1900">
        <v>3.4000000000000002E-2</v>
      </c>
      <c r="L1900" t="s">
        <v>60</v>
      </c>
      <c r="M1900">
        <v>1</v>
      </c>
      <c r="N1900" t="s">
        <v>53</v>
      </c>
      <c r="O1900" s="2">
        <v>0.5708333333333333</v>
      </c>
      <c r="P1900">
        <f>-0.0054989317*3600</f>
        <v>-19.796154120000001</v>
      </c>
      <c r="Q1900">
        <f>-0.0043091772*3600</f>
        <v>-15.51303792</v>
      </c>
    </row>
    <row r="1901" spans="1:17" x14ac:dyDescent="0.3">
      <c r="A1901" s="4" t="s">
        <v>47</v>
      </c>
      <c r="B1901" s="5" t="s">
        <v>1579</v>
      </c>
      <c r="C1901">
        <v>98.826312999999999</v>
      </c>
      <c r="D1901">
        <v>104.889807</v>
      </c>
      <c r="E1901">
        <v>1</v>
      </c>
      <c r="F1901">
        <v>1</v>
      </c>
      <c r="G1901">
        <v>0.26100000000000001</v>
      </c>
      <c r="H1901">
        <v>0</v>
      </c>
      <c r="I1901" t="s">
        <v>0</v>
      </c>
      <c r="J1901" t="s">
        <v>59</v>
      </c>
      <c r="K1901">
        <v>0</v>
      </c>
      <c r="L1901" t="s">
        <v>60</v>
      </c>
      <c r="M1901">
        <v>1</v>
      </c>
      <c r="N1901" t="s">
        <v>67</v>
      </c>
      <c r="O1901" s="2">
        <v>0.5708333333333333</v>
      </c>
      <c r="P1901">
        <f>-0.0055605326*3600</f>
        <v>-20.017917360000002</v>
      </c>
      <c r="Q1901">
        <f>-0.0044585574*3600</f>
        <v>-16.050806640000001</v>
      </c>
    </row>
    <row r="1902" spans="1:17" x14ac:dyDescent="0.3">
      <c r="A1902" s="4" t="s">
        <v>47</v>
      </c>
      <c r="B1902" s="5" t="s">
        <v>1580</v>
      </c>
      <c r="C1902">
        <v>98.826927999999995</v>
      </c>
      <c r="D1902">
        <v>104.88920400000001</v>
      </c>
      <c r="E1902">
        <v>1</v>
      </c>
      <c r="F1902">
        <v>1</v>
      </c>
      <c r="G1902">
        <v>0.26100000000000001</v>
      </c>
      <c r="H1902">
        <v>0</v>
      </c>
      <c r="I1902" t="s">
        <v>0</v>
      </c>
      <c r="J1902" t="s">
        <v>59</v>
      </c>
      <c r="K1902">
        <v>0</v>
      </c>
      <c r="L1902" t="s">
        <v>60</v>
      </c>
      <c r="M1902">
        <v>1</v>
      </c>
      <c r="N1902" t="s">
        <v>67</v>
      </c>
      <c r="O1902" s="2">
        <v>0.5708333333333333</v>
      </c>
      <c r="P1902">
        <f>-0.0057994779*3600</f>
        <v>-20.87812044</v>
      </c>
      <c r="Q1902">
        <f>-0.0048550582*3600</f>
        <v>-17.47820952</v>
      </c>
    </row>
    <row r="1903" spans="1:17" x14ac:dyDescent="0.3">
      <c r="A1903" s="4" t="s">
        <v>47</v>
      </c>
      <c r="B1903" s="5" t="s">
        <v>1581</v>
      </c>
      <c r="C1903">
        <v>98.827123</v>
      </c>
      <c r="D1903">
        <v>104.889253</v>
      </c>
      <c r="E1903">
        <v>1</v>
      </c>
      <c r="F1903">
        <v>1</v>
      </c>
      <c r="G1903">
        <v>0.26100000000000001</v>
      </c>
      <c r="H1903">
        <v>0</v>
      </c>
      <c r="I1903" t="s">
        <v>0</v>
      </c>
      <c r="J1903" t="s">
        <v>59</v>
      </c>
      <c r="K1903">
        <v>0</v>
      </c>
      <c r="L1903" t="s">
        <v>60</v>
      </c>
      <c r="M1903">
        <v>1</v>
      </c>
      <c r="N1903" t="s">
        <v>67</v>
      </c>
      <c r="O1903" s="2">
        <v>0.5708333333333333</v>
      </c>
      <c r="P1903">
        <f>-0.0057549403*3600</f>
        <v>-20.717785079999999</v>
      </c>
      <c r="Q1903">
        <f>-0.0048109172*3600</f>
        <v>-17.319301919999997</v>
      </c>
    </row>
    <row r="1904" spans="1:17" x14ac:dyDescent="0.3">
      <c r="A1904" s="4" t="s">
        <v>47</v>
      </c>
      <c r="B1904" s="5" t="s">
        <v>1582</v>
      </c>
      <c r="C1904">
        <v>98.826766000000006</v>
      </c>
      <c r="D1904">
        <v>104.889199</v>
      </c>
      <c r="E1904">
        <v>1</v>
      </c>
      <c r="F1904">
        <v>1</v>
      </c>
      <c r="G1904">
        <v>0.26100000000000001</v>
      </c>
      <c r="H1904">
        <v>0</v>
      </c>
      <c r="I1904" t="s">
        <v>0</v>
      </c>
      <c r="J1904" t="s">
        <v>59</v>
      </c>
      <c r="K1904">
        <v>0</v>
      </c>
      <c r="L1904" t="s">
        <v>60</v>
      </c>
      <c r="M1904">
        <v>1</v>
      </c>
      <c r="N1904" t="s">
        <v>67</v>
      </c>
      <c r="O1904" s="2">
        <v>0.5708333333333333</v>
      </c>
      <c r="P1904">
        <f>-0.0057235733*3600</f>
        <v>-20.60486388</v>
      </c>
      <c r="Q1904">
        <f>-0.0048424833*3600</f>
        <v>-17.432939880000003</v>
      </c>
    </row>
    <row r="1905" spans="1:17" x14ac:dyDescent="0.3">
      <c r="A1905" s="4" t="s">
        <v>47</v>
      </c>
      <c r="B1905" s="5" t="s">
        <v>1583</v>
      </c>
      <c r="C1905">
        <v>98.827195000000003</v>
      </c>
      <c r="D1905">
        <v>104.88942</v>
      </c>
      <c r="E1905">
        <v>1</v>
      </c>
      <c r="F1905">
        <v>1</v>
      </c>
      <c r="G1905">
        <v>0.26100000000000001</v>
      </c>
      <c r="H1905">
        <v>0</v>
      </c>
      <c r="I1905" t="s">
        <v>0</v>
      </c>
      <c r="J1905" t="s">
        <v>59</v>
      </c>
      <c r="K1905">
        <v>0</v>
      </c>
      <c r="L1905" t="s">
        <v>60</v>
      </c>
      <c r="M1905">
        <v>1</v>
      </c>
      <c r="N1905" t="s">
        <v>67</v>
      </c>
      <c r="O1905" s="2">
        <v>0.5708333333333333</v>
      </c>
      <c r="P1905">
        <f>-0.0055421669*3600</f>
        <v>-19.951800840000001</v>
      </c>
      <c r="Q1905">
        <f>-0.0046402327*3600</f>
        <v>-16.70483772</v>
      </c>
    </row>
    <row r="1906" spans="1:17" x14ac:dyDescent="0.3">
      <c r="A1906" s="4" t="s">
        <v>47</v>
      </c>
      <c r="B1906" s="5" t="s">
        <v>1584</v>
      </c>
      <c r="C1906">
        <v>98.826983999999996</v>
      </c>
      <c r="D1906">
        <v>104.88952399999999</v>
      </c>
      <c r="E1906">
        <v>1</v>
      </c>
      <c r="F1906">
        <v>1</v>
      </c>
      <c r="G1906">
        <v>0.26100000000000001</v>
      </c>
      <c r="H1906">
        <v>0</v>
      </c>
      <c r="I1906" t="s">
        <v>0</v>
      </c>
      <c r="J1906" t="s">
        <v>59</v>
      </c>
      <c r="K1906">
        <v>0</v>
      </c>
      <c r="L1906" t="s">
        <v>60</v>
      </c>
      <c r="M1906">
        <v>1</v>
      </c>
      <c r="N1906" t="s">
        <v>67</v>
      </c>
      <c r="O1906" s="2">
        <v>0.5708333333333333</v>
      </c>
      <c r="P1906">
        <f>-0.005445031*3600</f>
        <v>-19.602111600000001</v>
      </c>
      <c r="Q1906">
        <f>-0.0044966141*3600</f>
        <v>-16.187810760000001</v>
      </c>
    </row>
    <row r="1907" spans="1:17" x14ac:dyDescent="0.3">
      <c r="A1907" s="4" t="s">
        <v>47</v>
      </c>
      <c r="B1907" s="5" t="s">
        <v>1585</v>
      </c>
      <c r="C1907">
        <v>98.826667999999998</v>
      </c>
      <c r="D1907">
        <v>104.889444</v>
      </c>
      <c r="E1907">
        <v>1</v>
      </c>
      <c r="F1907">
        <v>1</v>
      </c>
      <c r="G1907">
        <v>0.26100000000000001</v>
      </c>
      <c r="H1907">
        <v>0</v>
      </c>
      <c r="I1907" t="s">
        <v>0</v>
      </c>
      <c r="J1907" t="s">
        <v>59</v>
      </c>
      <c r="K1907">
        <v>0</v>
      </c>
      <c r="L1907" t="s">
        <v>60</v>
      </c>
      <c r="M1907">
        <v>1</v>
      </c>
      <c r="N1907" t="s">
        <v>67</v>
      </c>
      <c r="O1907" s="2">
        <v>0.5708333333333333</v>
      </c>
      <c r="P1907">
        <f>-0.0053957997*3600</f>
        <v>-19.424878920000001</v>
      </c>
      <c r="Q1907">
        <f>-0.0045751089*3600</f>
        <v>-16.47039204</v>
      </c>
    </row>
    <row r="1908" spans="1:17" x14ac:dyDescent="0.3">
      <c r="A1908" s="4" t="s">
        <v>47</v>
      </c>
      <c r="B1908" s="5" t="s">
        <v>1586</v>
      </c>
      <c r="C1908">
        <v>98.826654000000005</v>
      </c>
      <c r="D1908">
        <v>104.889359</v>
      </c>
      <c r="E1908">
        <v>1</v>
      </c>
      <c r="F1908">
        <v>1</v>
      </c>
      <c r="G1908">
        <v>0.26100000000000001</v>
      </c>
      <c r="H1908">
        <v>0</v>
      </c>
      <c r="I1908" t="s">
        <v>0</v>
      </c>
      <c r="J1908" t="s">
        <v>59</v>
      </c>
      <c r="K1908">
        <v>0</v>
      </c>
      <c r="L1908" t="s">
        <v>60</v>
      </c>
      <c r="M1908">
        <v>1</v>
      </c>
      <c r="N1908" t="s">
        <v>67</v>
      </c>
      <c r="O1908" s="2">
        <v>0.5708333333333333</v>
      </c>
      <c r="P1908">
        <f>-0.0054174458*3600</f>
        <v>-19.502804879999999</v>
      </c>
      <c r="Q1908">
        <f>-0.0046512611*3600</f>
        <v>-16.744539960000001</v>
      </c>
    </row>
    <row r="1909" spans="1:17" x14ac:dyDescent="0.3">
      <c r="A1909" s="4" t="s">
        <v>47</v>
      </c>
      <c r="B1909" s="5" t="s">
        <v>1587</v>
      </c>
      <c r="C1909">
        <v>98.826846000000003</v>
      </c>
      <c r="D1909">
        <v>104.889453</v>
      </c>
      <c r="E1909">
        <v>1</v>
      </c>
      <c r="F1909">
        <v>1</v>
      </c>
      <c r="G1909">
        <v>0.26100000000000001</v>
      </c>
      <c r="H1909">
        <v>0</v>
      </c>
      <c r="I1909" t="s">
        <v>0</v>
      </c>
      <c r="J1909" t="s">
        <v>59</v>
      </c>
      <c r="K1909">
        <v>0</v>
      </c>
      <c r="L1909" t="s">
        <v>60</v>
      </c>
      <c r="M1909">
        <v>1</v>
      </c>
      <c r="N1909" t="s">
        <v>67</v>
      </c>
      <c r="O1909" s="2">
        <v>0.5708333333333333</v>
      </c>
      <c r="P1909">
        <f>-0.0054128932*3600</f>
        <v>-19.486415520000001</v>
      </c>
      <c r="Q1909">
        <f>-0.004593347*3600</f>
        <v>-16.536049200000001</v>
      </c>
    </row>
    <row r="1910" spans="1:17" x14ac:dyDescent="0.3">
      <c r="A1910" s="4" t="s">
        <v>47</v>
      </c>
      <c r="B1910" s="5" t="s">
        <v>1588</v>
      </c>
      <c r="C1910">
        <v>98.826778000000004</v>
      </c>
      <c r="D1910">
        <v>104.88944100000001</v>
      </c>
      <c r="E1910">
        <v>1</v>
      </c>
      <c r="F1910">
        <v>1</v>
      </c>
      <c r="G1910">
        <v>0.26100000000000001</v>
      </c>
      <c r="H1910">
        <v>0</v>
      </c>
      <c r="I1910" t="s">
        <v>0</v>
      </c>
      <c r="J1910" t="s">
        <v>59</v>
      </c>
      <c r="K1910">
        <v>0</v>
      </c>
      <c r="L1910" t="s">
        <v>60</v>
      </c>
      <c r="M1910">
        <v>1</v>
      </c>
      <c r="N1910" t="s">
        <v>67</v>
      </c>
      <c r="O1910" s="2">
        <v>0.5708333333333333</v>
      </c>
      <c r="P1910">
        <f>-0.0053585592*3600</f>
        <v>-19.290813119999999</v>
      </c>
      <c r="Q1910">
        <f>-0.0045761627*3600</f>
        <v>-16.474185719999998</v>
      </c>
    </row>
    <row r="1911" spans="1:17" x14ac:dyDescent="0.3">
      <c r="A1911" s="4" t="s">
        <v>47</v>
      </c>
      <c r="B1911" s="5" t="s">
        <v>1589</v>
      </c>
      <c r="C1911">
        <v>98.827072000000001</v>
      </c>
      <c r="D1911">
        <v>104.88943</v>
      </c>
      <c r="E1911">
        <v>1</v>
      </c>
      <c r="F1911">
        <v>1</v>
      </c>
      <c r="G1911">
        <v>0.26100000000000001</v>
      </c>
      <c r="H1911">
        <v>0</v>
      </c>
      <c r="I1911" t="s">
        <v>0</v>
      </c>
      <c r="J1911" t="s">
        <v>59</v>
      </c>
      <c r="K1911">
        <v>0</v>
      </c>
      <c r="L1911" t="s">
        <v>60</v>
      </c>
      <c r="M1911">
        <v>1</v>
      </c>
      <c r="N1911" t="s">
        <v>67</v>
      </c>
      <c r="O1911" s="2">
        <v>0.5708333333333333</v>
      </c>
      <c r="P1911">
        <f>-0.0053736372*3600</f>
        <v>-19.34509392</v>
      </c>
      <c r="Q1911">
        <f>-0.0046322263*3600</f>
        <v>-16.676014680000002</v>
      </c>
    </row>
    <row r="1912" spans="1:17" x14ac:dyDescent="0.3">
      <c r="A1912" s="4" t="s">
        <v>47</v>
      </c>
      <c r="B1912" s="5" t="s">
        <v>1590</v>
      </c>
      <c r="C1912">
        <v>98.826848999999996</v>
      </c>
      <c r="D1912">
        <v>104.88946</v>
      </c>
      <c r="E1912">
        <v>1</v>
      </c>
      <c r="F1912">
        <v>1</v>
      </c>
      <c r="G1912">
        <v>0.26100000000000001</v>
      </c>
      <c r="H1912">
        <v>0</v>
      </c>
      <c r="I1912" t="s">
        <v>0</v>
      </c>
      <c r="J1912" t="s">
        <v>59</v>
      </c>
      <c r="K1912">
        <v>0</v>
      </c>
      <c r="L1912" t="s">
        <v>60</v>
      </c>
      <c r="M1912">
        <v>1</v>
      </c>
      <c r="N1912" t="s">
        <v>67</v>
      </c>
      <c r="O1912" s="2">
        <v>0.5708333333333333</v>
      </c>
      <c r="P1912">
        <f>-0.0053312829*3600</f>
        <v>-19.19261844</v>
      </c>
      <c r="Q1912">
        <f>-0.0045680398*3600</f>
        <v>-16.44494328</v>
      </c>
    </row>
    <row r="1913" spans="1:17" x14ac:dyDescent="0.3">
      <c r="A1913" s="4" t="s">
        <v>47</v>
      </c>
      <c r="B1913" s="5" t="s">
        <v>1591</v>
      </c>
      <c r="C1913">
        <v>98.826806000000005</v>
      </c>
      <c r="D1913">
        <v>104.889392</v>
      </c>
      <c r="E1913">
        <v>1</v>
      </c>
      <c r="F1913">
        <v>1</v>
      </c>
      <c r="G1913">
        <v>0.26100000000000001</v>
      </c>
      <c r="H1913">
        <v>0</v>
      </c>
      <c r="I1913" t="s">
        <v>0</v>
      </c>
      <c r="J1913" t="s">
        <v>59</v>
      </c>
      <c r="K1913">
        <v>0</v>
      </c>
      <c r="L1913" t="s">
        <v>60</v>
      </c>
      <c r="M1913">
        <v>1</v>
      </c>
      <c r="N1913" t="s">
        <v>67</v>
      </c>
      <c r="O1913" s="2">
        <v>0.5708333333333333</v>
      </c>
      <c r="P1913">
        <f>-0.0053735287*3600</f>
        <v>-19.344703319999997</v>
      </c>
      <c r="Q1913">
        <f>-0.0046457168*3600</f>
        <v>-16.72458048</v>
      </c>
    </row>
    <row r="1914" spans="1:17" x14ac:dyDescent="0.3">
      <c r="A1914" s="4" t="s">
        <v>47</v>
      </c>
      <c r="B1914" s="5" t="s">
        <v>1592</v>
      </c>
      <c r="C1914">
        <v>98.826604000000003</v>
      </c>
      <c r="D1914">
        <v>104.88934500000001</v>
      </c>
      <c r="E1914">
        <v>1</v>
      </c>
      <c r="F1914">
        <v>1</v>
      </c>
      <c r="G1914">
        <v>0.26100000000000001</v>
      </c>
      <c r="H1914">
        <v>0</v>
      </c>
      <c r="I1914" t="s">
        <v>0</v>
      </c>
      <c r="J1914" t="s">
        <v>59</v>
      </c>
      <c r="K1914">
        <v>0</v>
      </c>
      <c r="L1914" t="s">
        <v>60</v>
      </c>
      <c r="M1914">
        <v>1</v>
      </c>
      <c r="N1914" t="s">
        <v>67</v>
      </c>
      <c r="O1914" s="2">
        <v>0.5708333333333333</v>
      </c>
      <c r="P1914">
        <f>-0.0053854066*3600</f>
        <v>-19.387463759999999</v>
      </c>
      <c r="Q1914">
        <f>-0.0046714975*3600</f>
        <v>-16.817391000000001</v>
      </c>
    </row>
    <row r="1915" spans="1:17" x14ac:dyDescent="0.3">
      <c r="A1915" s="4" t="s">
        <v>47</v>
      </c>
      <c r="B1915" s="5" t="s">
        <v>1593</v>
      </c>
      <c r="C1915">
        <v>98.826837999999995</v>
      </c>
      <c r="D1915">
        <v>104.889476</v>
      </c>
      <c r="E1915">
        <v>1</v>
      </c>
      <c r="F1915">
        <v>1</v>
      </c>
      <c r="G1915">
        <v>0.26100000000000001</v>
      </c>
      <c r="H1915">
        <v>0</v>
      </c>
      <c r="I1915" t="s">
        <v>0</v>
      </c>
      <c r="J1915" t="s">
        <v>59</v>
      </c>
      <c r="K1915">
        <v>0</v>
      </c>
      <c r="L1915" t="s">
        <v>60</v>
      </c>
      <c r="M1915">
        <v>1</v>
      </c>
      <c r="N1915" t="s">
        <v>67</v>
      </c>
      <c r="O1915" s="2">
        <v>0.5708333333333333</v>
      </c>
      <c r="P1915">
        <f>-0.0053432757*3600</f>
        <v>-19.23579252</v>
      </c>
      <c r="Q1915">
        <f>-0.0045575578*3600</f>
        <v>-16.40720808</v>
      </c>
    </row>
    <row r="1916" spans="1:17" x14ac:dyDescent="0.3">
      <c r="A1916" s="4" t="s">
        <v>47</v>
      </c>
      <c r="B1916" s="5" t="s">
        <v>1594</v>
      </c>
      <c r="C1916">
        <v>98.827877000000001</v>
      </c>
      <c r="D1916">
        <v>104.889509</v>
      </c>
      <c r="E1916">
        <v>1</v>
      </c>
      <c r="F1916">
        <v>1</v>
      </c>
      <c r="G1916">
        <v>0.26100000000000001</v>
      </c>
      <c r="H1916">
        <v>0</v>
      </c>
      <c r="I1916" t="s">
        <v>0</v>
      </c>
      <c r="J1916" t="s">
        <v>59</v>
      </c>
      <c r="K1916">
        <v>0</v>
      </c>
      <c r="L1916" t="s">
        <v>60</v>
      </c>
      <c r="M1916">
        <v>1</v>
      </c>
      <c r="N1916" t="s">
        <v>67</v>
      </c>
      <c r="O1916" s="2">
        <v>0.5708333333333333</v>
      </c>
      <c r="P1916">
        <f>-0.0053100308*3600</f>
        <v>-19.116110879999997</v>
      </c>
      <c r="Q1916">
        <f>-0.0045475693*3600</f>
        <v>-16.371249479999999</v>
      </c>
    </row>
    <row r="1917" spans="1:17" x14ac:dyDescent="0.3">
      <c r="A1917" s="4" t="s">
        <v>47</v>
      </c>
      <c r="B1917" s="5" t="s">
        <v>1595</v>
      </c>
      <c r="C1917">
        <v>98.827100999999999</v>
      </c>
      <c r="D1917">
        <v>104.889503</v>
      </c>
      <c r="E1917">
        <v>1</v>
      </c>
      <c r="F1917">
        <v>1</v>
      </c>
      <c r="G1917">
        <v>0.26100000000000001</v>
      </c>
      <c r="H1917">
        <v>0</v>
      </c>
      <c r="I1917" t="s">
        <v>0</v>
      </c>
      <c r="J1917" t="s">
        <v>59</v>
      </c>
      <c r="K1917">
        <v>0</v>
      </c>
      <c r="L1917" t="s">
        <v>60</v>
      </c>
      <c r="M1917">
        <v>1</v>
      </c>
      <c r="N1917" t="s">
        <v>67</v>
      </c>
      <c r="O1917" s="2">
        <v>0.5708333333333333</v>
      </c>
      <c r="P1917">
        <f>-0.0053301203*3600</f>
        <v>-19.188433080000003</v>
      </c>
      <c r="Q1917">
        <f>-0.0045148377*3600</f>
        <v>-16.25341572</v>
      </c>
    </row>
    <row r="1918" spans="1:17" x14ac:dyDescent="0.3">
      <c r="A1918" s="4" t="s">
        <v>47</v>
      </c>
      <c r="B1918" s="5" t="s">
        <v>1596</v>
      </c>
      <c r="C1918">
        <v>98.827966000000004</v>
      </c>
      <c r="D1918">
        <v>104.88928300000001</v>
      </c>
      <c r="E1918">
        <v>1</v>
      </c>
      <c r="F1918">
        <v>1</v>
      </c>
      <c r="G1918">
        <v>0.26100000000000001</v>
      </c>
      <c r="H1918">
        <v>0</v>
      </c>
      <c r="I1918" t="s">
        <v>0</v>
      </c>
      <c r="J1918" t="s">
        <v>59</v>
      </c>
      <c r="K1918">
        <v>0</v>
      </c>
      <c r="L1918" t="s">
        <v>60</v>
      </c>
      <c r="M1918">
        <v>1</v>
      </c>
      <c r="N1918" t="s">
        <v>67</v>
      </c>
      <c r="O1918" s="2">
        <v>0.5708333333333333</v>
      </c>
      <c r="P1918">
        <f>-0.0053062859*3600</f>
        <v>-19.102629239999999</v>
      </c>
      <c r="Q1918">
        <f>-0.0047887398*3600</f>
        <v>-17.239463279999999</v>
      </c>
    </row>
    <row r="1919" spans="1:17" x14ac:dyDescent="0.3">
      <c r="A1919" s="4" t="s">
        <v>47</v>
      </c>
      <c r="B1919" s="5" t="s">
        <v>1597</v>
      </c>
      <c r="C1919">
        <v>98.826781999999994</v>
      </c>
      <c r="D1919">
        <v>104.889392</v>
      </c>
      <c r="E1919">
        <v>1</v>
      </c>
      <c r="F1919">
        <v>1</v>
      </c>
      <c r="G1919">
        <v>0.26100000000000001</v>
      </c>
      <c r="H1919">
        <v>0</v>
      </c>
      <c r="I1919" t="s">
        <v>0</v>
      </c>
      <c r="J1919" t="s">
        <v>59</v>
      </c>
      <c r="K1919">
        <v>0</v>
      </c>
      <c r="L1919" t="s">
        <v>60</v>
      </c>
      <c r="M1919">
        <v>1</v>
      </c>
      <c r="N1919" t="s">
        <v>67</v>
      </c>
      <c r="O1919" s="2">
        <v>0.5708333333333333</v>
      </c>
      <c r="P1919">
        <f>-0.0053531232*3600</f>
        <v>-19.271243519999999</v>
      </c>
      <c r="Q1919">
        <f>-0.0046081082*3600</f>
        <v>-16.589189519999998</v>
      </c>
    </row>
    <row r="1920" spans="1:17" x14ac:dyDescent="0.3">
      <c r="A1920" s="4" t="s">
        <v>47</v>
      </c>
      <c r="B1920" s="5" t="s">
        <v>1598</v>
      </c>
      <c r="C1920">
        <v>98.826634999999996</v>
      </c>
      <c r="D1920">
        <v>104.889313</v>
      </c>
      <c r="E1920">
        <v>1</v>
      </c>
      <c r="F1920">
        <v>1</v>
      </c>
      <c r="G1920">
        <v>0.26100000000000001</v>
      </c>
      <c r="H1920">
        <v>0</v>
      </c>
      <c r="I1920" t="s">
        <v>0</v>
      </c>
      <c r="J1920" t="s">
        <v>59</v>
      </c>
      <c r="K1920">
        <v>0</v>
      </c>
      <c r="L1920" t="s">
        <v>60</v>
      </c>
      <c r="M1920">
        <v>1</v>
      </c>
      <c r="N1920" t="s">
        <v>67</v>
      </c>
      <c r="O1920" s="2">
        <v>0.57152777777777775</v>
      </c>
      <c r="P1920">
        <f>-0.0053852644*3600</f>
        <v>-19.386951839999998</v>
      </c>
      <c r="Q1920">
        <f>-0.0047161692*3600</f>
        <v>-16.978209119999999</v>
      </c>
    </row>
    <row r="1921" spans="1:17" x14ac:dyDescent="0.3">
      <c r="A1921" s="4" t="s">
        <v>47</v>
      </c>
      <c r="B1921" s="5" t="s">
        <v>1599</v>
      </c>
      <c r="C1921">
        <v>98.827370999999999</v>
      </c>
      <c r="D1921">
        <v>104.88935600000001</v>
      </c>
      <c r="E1921">
        <v>1</v>
      </c>
      <c r="F1921">
        <v>1</v>
      </c>
      <c r="G1921">
        <v>0.26100000000000001</v>
      </c>
      <c r="H1921">
        <v>0</v>
      </c>
      <c r="I1921" t="s">
        <v>0</v>
      </c>
      <c r="J1921" t="s">
        <v>59</v>
      </c>
      <c r="K1921">
        <v>0</v>
      </c>
      <c r="L1921" t="s">
        <v>60</v>
      </c>
      <c r="M1921">
        <v>1</v>
      </c>
      <c r="N1921" t="s">
        <v>67</v>
      </c>
      <c r="O1921" s="2">
        <v>0.57152777777777775</v>
      </c>
      <c r="P1921">
        <f>-0.005377644*3600</f>
        <v>-19.359518399999999</v>
      </c>
      <c r="Q1921">
        <f>-0.004718588*3600</f>
        <v>-16.986916799999999</v>
      </c>
    </row>
    <row r="1922" spans="1:17" x14ac:dyDescent="0.3">
      <c r="A1922" s="4" t="s">
        <v>47</v>
      </c>
      <c r="B1922" s="5" t="s">
        <v>1600</v>
      </c>
      <c r="C1922">
        <v>98.826864</v>
      </c>
      <c r="D1922">
        <v>104.889394</v>
      </c>
      <c r="E1922">
        <v>1</v>
      </c>
      <c r="F1922">
        <v>1</v>
      </c>
      <c r="G1922">
        <v>0.26100000000000001</v>
      </c>
      <c r="H1922">
        <v>0</v>
      </c>
      <c r="I1922" t="s">
        <v>0</v>
      </c>
      <c r="J1922" t="s">
        <v>59</v>
      </c>
      <c r="K1922">
        <v>0</v>
      </c>
      <c r="L1922" t="s">
        <v>60</v>
      </c>
      <c r="M1922">
        <v>1</v>
      </c>
      <c r="N1922" t="s">
        <v>67</v>
      </c>
      <c r="O1922" s="2">
        <v>0.57152777777777775</v>
      </c>
      <c r="P1922">
        <f>-0.0053845986*3600</f>
        <v>-19.384554959999999</v>
      </c>
      <c r="Q1922">
        <f>-0.0046485586*3600</f>
        <v>-16.734810960000001</v>
      </c>
    </row>
    <row r="1923" spans="1:17" x14ac:dyDescent="0.3">
      <c r="A1923" s="4" t="s">
        <v>47</v>
      </c>
      <c r="B1923" s="5" t="s">
        <v>1601</v>
      </c>
      <c r="C1923">
        <v>98.826649000000003</v>
      </c>
      <c r="D1923">
        <v>104.889473</v>
      </c>
      <c r="E1923">
        <v>1</v>
      </c>
      <c r="F1923">
        <v>1</v>
      </c>
      <c r="G1923">
        <v>0.26100000000000001</v>
      </c>
      <c r="H1923">
        <v>0</v>
      </c>
      <c r="I1923" t="s">
        <v>0</v>
      </c>
      <c r="J1923" t="s">
        <v>59</v>
      </c>
      <c r="K1923">
        <v>0</v>
      </c>
      <c r="L1923" t="s">
        <v>60</v>
      </c>
      <c r="M1923">
        <v>1</v>
      </c>
      <c r="N1923" t="s">
        <v>67</v>
      </c>
      <c r="O1923" s="2">
        <v>0.57152777777777775</v>
      </c>
      <c r="P1923">
        <f>-0.0053226832*3600</f>
        <v>-19.161659520000001</v>
      </c>
      <c r="Q1923">
        <f>-0.0045502293*3600</f>
        <v>-16.380825479999999</v>
      </c>
    </row>
    <row r="1924" spans="1:17" x14ac:dyDescent="0.3">
      <c r="A1924" s="4" t="s">
        <v>47</v>
      </c>
      <c r="B1924" s="5" t="s">
        <v>1602</v>
      </c>
      <c r="C1924">
        <v>98.827062999999995</v>
      </c>
      <c r="D1924">
        <v>104.889338</v>
      </c>
      <c r="E1924">
        <v>1</v>
      </c>
      <c r="F1924">
        <v>1</v>
      </c>
      <c r="G1924">
        <v>0.26100000000000001</v>
      </c>
      <c r="H1924">
        <v>0</v>
      </c>
      <c r="I1924" t="s">
        <v>0</v>
      </c>
      <c r="J1924" t="s">
        <v>59</v>
      </c>
      <c r="K1924">
        <v>0</v>
      </c>
      <c r="L1924" t="s">
        <v>60</v>
      </c>
      <c r="M1924">
        <v>1</v>
      </c>
      <c r="N1924" t="s">
        <v>67</v>
      </c>
      <c r="O1924" s="2">
        <v>0.57152777777777775</v>
      </c>
      <c r="P1924">
        <f>-0.005323784*3600</f>
        <v>-19.1656224</v>
      </c>
      <c r="Q1924">
        <f>-0.0047036052*3600</f>
        <v>-16.932978719999998</v>
      </c>
    </row>
    <row r="1925" spans="1:17" x14ac:dyDescent="0.3">
      <c r="A1925" s="4" t="s">
        <v>47</v>
      </c>
      <c r="B1925" s="5" t="s">
        <v>1603</v>
      </c>
      <c r="C1925">
        <v>98.826732000000007</v>
      </c>
      <c r="D1925">
        <v>104.889325</v>
      </c>
      <c r="E1925">
        <v>1</v>
      </c>
      <c r="F1925">
        <v>1</v>
      </c>
      <c r="G1925">
        <v>0.26100000000000001</v>
      </c>
      <c r="H1925">
        <v>0</v>
      </c>
      <c r="I1925" t="s">
        <v>0</v>
      </c>
      <c r="J1925" t="s">
        <v>59</v>
      </c>
      <c r="K1925">
        <v>0</v>
      </c>
      <c r="L1925" t="s">
        <v>60</v>
      </c>
      <c r="M1925">
        <v>1</v>
      </c>
      <c r="N1925" t="s">
        <v>67</v>
      </c>
      <c r="O1925" s="2">
        <v>0.57152777777777775</v>
      </c>
      <c r="P1925">
        <f>-0.0054217928*3600</f>
        <v>-19.518454080000001</v>
      </c>
      <c r="Q1925">
        <f>-0.0046979872*3600</f>
        <v>-16.91275392</v>
      </c>
    </row>
    <row r="1926" spans="1:17" x14ac:dyDescent="0.3">
      <c r="A1926" s="4" t="s">
        <v>47</v>
      </c>
      <c r="B1926" s="5" t="s">
        <v>1604</v>
      </c>
      <c r="C1926">
        <v>98.827717000000007</v>
      </c>
      <c r="D1926">
        <v>104.889306</v>
      </c>
      <c r="E1926">
        <v>1</v>
      </c>
      <c r="F1926">
        <v>1</v>
      </c>
      <c r="G1926">
        <v>0.26100000000000001</v>
      </c>
      <c r="H1926">
        <v>0</v>
      </c>
      <c r="I1926" t="s">
        <v>0</v>
      </c>
      <c r="J1926" t="s">
        <v>59</v>
      </c>
      <c r="K1926">
        <v>0</v>
      </c>
      <c r="L1926" t="s">
        <v>60</v>
      </c>
      <c r="M1926">
        <v>1</v>
      </c>
      <c r="N1926" t="s">
        <v>67</v>
      </c>
      <c r="O1926" s="2">
        <v>0.57152777777777775</v>
      </c>
      <c r="P1926">
        <f>-0.005324995*3600</f>
        <v>-19.169982000000001</v>
      </c>
      <c r="Q1926">
        <f>-0.0046942276*3600</f>
        <v>-16.89921936</v>
      </c>
    </row>
    <row r="1927" spans="1:17" x14ac:dyDescent="0.3">
      <c r="A1927" s="4" t="s">
        <v>47</v>
      </c>
      <c r="B1927" s="5" t="s">
        <v>1605</v>
      </c>
      <c r="C1927">
        <v>98.826791</v>
      </c>
      <c r="D1927">
        <v>104.88938</v>
      </c>
      <c r="E1927">
        <v>1</v>
      </c>
      <c r="F1927">
        <v>1</v>
      </c>
      <c r="G1927">
        <v>0.26100000000000001</v>
      </c>
      <c r="H1927">
        <v>0</v>
      </c>
      <c r="I1927" t="s">
        <v>0</v>
      </c>
      <c r="J1927" t="s">
        <v>59</v>
      </c>
      <c r="K1927">
        <v>0</v>
      </c>
      <c r="L1927" t="s">
        <v>60</v>
      </c>
      <c r="M1927">
        <v>1</v>
      </c>
      <c r="N1927" t="s">
        <v>67</v>
      </c>
      <c r="O1927" s="2">
        <v>0.57152777777777775</v>
      </c>
      <c r="P1927">
        <f>-0.0053489285*3600</f>
        <v>-19.2561426</v>
      </c>
      <c r="Q1927">
        <f>-0.0046342903*3600</f>
        <v>-16.683445079999998</v>
      </c>
    </row>
    <row r="1928" spans="1:17" x14ac:dyDescent="0.3">
      <c r="A1928" s="4" t="s">
        <v>47</v>
      </c>
      <c r="B1928" s="5" t="s">
        <v>1606</v>
      </c>
      <c r="C1928">
        <v>98.826693000000006</v>
      </c>
      <c r="D1928">
        <v>104.88935600000001</v>
      </c>
      <c r="E1928">
        <v>1</v>
      </c>
      <c r="F1928">
        <v>1</v>
      </c>
      <c r="G1928">
        <v>0.26100000000000001</v>
      </c>
      <c r="H1928">
        <v>0</v>
      </c>
      <c r="I1928" t="s">
        <v>0</v>
      </c>
      <c r="J1928" t="s">
        <v>59</v>
      </c>
      <c r="K1928">
        <v>0</v>
      </c>
      <c r="L1928" t="s">
        <v>60</v>
      </c>
      <c r="M1928">
        <v>1</v>
      </c>
      <c r="N1928" t="s">
        <v>67</v>
      </c>
      <c r="O1928" s="2">
        <v>0.57152777777777775</v>
      </c>
      <c r="P1928">
        <f>-0.0053077754*3600</f>
        <v>-19.107991439999999</v>
      </c>
      <c r="Q1928">
        <f>-0.0046738363*3600</f>
        <v>-16.82581068</v>
      </c>
    </row>
    <row r="1929" spans="1:17" x14ac:dyDescent="0.3">
      <c r="A1929" s="4" t="s">
        <v>47</v>
      </c>
      <c r="B1929" s="5" t="s">
        <v>1607</v>
      </c>
      <c r="C1929">
        <v>98.827759</v>
      </c>
      <c r="D1929">
        <v>104.88936099999999</v>
      </c>
      <c r="E1929">
        <v>1</v>
      </c>
      <c r="F1929">
        <v>1</v>
      </c>
      <c r="G1929">
        <v>0.26100000000000001</v>
      </c>
      <c r="H1929">
        <v>0</v>
      </c>
      <c r="I1929" t="s">
        <v>0</v>
      </c>
      <c r="J1929" t="s">
        <v>59</v>
      </c>
      <c r="K1929">
        <v>0</v>
      </c>
      <c r="L1929" t="s">
        <v>60</v>
      </c>
      <c r="M1929">
        <v>1</v>
      </c>
      <c r="N1929" t="s">
        <v>67</v>
      </c>
      <c r="O1929" s="2">
        <v>0.57152777777777775</v>
      </c>
      <c r="P1929">
        <f>-0.0052721028*3600</f>
        <v>-18.979570080000002</v>
      </c>
      <c r="Q1929">
        <f>-0.0046956903*3600</f>
        <v>-16.904485080000001</v>
      </c>
    </row>
    <row r="1930" spans="1:17" x14ac:dyDescent="0.3">
      <c r="A1930" s="4" t="s">
        <v>47</v>
      </c>
      <c r="B1930" s="5" t="s">
        <v>1608</v>
      </c>
      <c r="C1930">
        <v>98.826753999999994</v>
      </c>
      <c r="D1930">
        <v>104.88945099999999</v>
      </c>
      <c r="E1930">
        <v>1</v>
      </c>
      <c r="F1930">
        <v>1</v>
      </c>
      <c r="G1930">
        <v>0.26100000000000001</v>
      </c>
      <c r="H1930">
        <v>0</v>
      </c>
      <c r="I1930" t="s">
        <v>0</v>
      </c>
      <c r="J1930" t="s">
        <v>59</v>
      </c>
      <c r="K1930">
        <v>0</v>
      </c>
      <c r="L1930" t="s">
        <v>60</v>
      </c>
      <c r="M1930">
        <v>1</v>
      </c>
      <c r="N1930" t="s">
        <v>67</v>
      </c>
      <c r="O1930" s="2">
        <v>0.57152777777777775</v>
      </c>
      <c r="P1930">
        <f>-0.0053638791*3600</f>
        <v>-19.30996476</v>
      </c>
      <c r="Q1930">
        <f>-0.0045644423*3600</f>
        <v>-16.431992279999999</v>
      </c>
    </row>
    <row r="1931" spans="1:17" x14ac:dyDescent="0.3">
      <c r="A1931" s="4" t="s">
        <v>47</v>
      </c>
      <c r="B1931" s="5" t="s">
        <v>1609</v>
      </c>
      <c r="C1931">
        <v>98.827477000000002</v>
      </c>
      <c r="D1931">
        <v>104.889826</v>
      </c>
      <c r="E1931">
        <v>1</v>
      </c>
      <c r="F1931">
        <v>1</v>
      </c>
      <c r="G1931">
        <v>0.26100000000000001</v>
      </c>
      <c r="H1931">
        <v>0</v>
      </c>
      <c r="I1931" t="s">
        <v>0</v>
      </c>
      <c r="J1931" t="s">
        <v>59</v>
      </c>
      <c r="K1931">
        <v>0</v>
      </c>
      <c r="L1931" t="s">
        <v>60</v>
      </c>
      <c r="M1931">
        <v>1</v>
      </c>
      <c r="N1931" t="s">
        <v>67</v>
      </c>
      <c r="O1931" s="2">
        <v>0.57152777777777775</v>
      </c>
      <c r="P1931">
        <f>-0.0052736489*3600</f>
        <v>-18.985136039999997</v>
      </c>
      <c r="Q1931">
        <f>-0.0042197067*3600</f>
        <v>-15.190944119999999</v>
      </c>
    </row>
    <row r="1932" spans="1:17" x14ac:dyDescent="0.3">
      <c r="A1932" s="4" t="s">
        <v>47</v>
      </c>
      <c r="B1932" s="5" t="s">
        <v>1610</v>
      </c>
      <c r="C1932">
        <v>98.827359999999999</v>
      </c>
      <c r="D1932">
        <v>104.889606</v>
      </c>
      <c r="E1932">
        <v>1</v>
      </c>
      <c r="F1932">
        <v>1</v>
      </c>
      <c r="G1932">
        <v>0.26100000000000001</v>
      </c>
      <c r="H1932">
        <v>0</v>
      </c>
      <c r="I1932" t="s">
        <v>0</v>
      </c>
      <c r="J1932" t="s">
        <v>59</v>
      </c>
      <c r="K1932">
        <v>0</v>
      </c>
      <c r="L1932" t="s">
        <v>60</v>
      </c>
      <c r="M1932">
        <v>1</v>
      </c>
      <c r="N1932" t="s">
        <v>67</v>
      </c>
      <c r="O1932" s="2">
        <v>0.57152777777777775</v>
      </c>
      <c r="P1932">
        <f>-0.0051558653*3600</f>
        <v>-18.561115079999997</v>
      </c>
      <c r="Q1932">
        <f>-0.0044156368*3600</f>
        <v>-15.89629248</v>
      </c>
    </row>
    <row r="1933" spans="1:17" x14ac:dyDescent="0.3">
      <c r="A1933" s="4" t="s">
        <v>47</v>
      </c>
      <c r="B1933" s="5" t="s">
        <v>1611</v>
      </c>
      <c r="C1933">
        <v>98.826857000000004</v>
      </c>
      <c r="D1933">
        <v>104.889768</v>
      </c>
      <c r="E1933">
        <v>1</v>
      </c>
      <c r="F1933">
        <v>1</v>
      </c>
      <c r="G1933">
        <v>0.26100000000000001</v>
      </c>
      <c r="H1933">
        <v>0</v>
      </c>
      <c r="I1933" t="s">
        <v>0</v>
      </c>
      <c r="J1933" t="s">
        <v>59</v>
      </c>
      <c r="K1933">
        <v>0</v>
      </c>
      <c r="L1933" t="s">
        <v>60</v>
      </c>
      <c r="M1933">
        <v>1</v>
      </c>
      <c r="N1933" t="s">
        <v>67</v>
      </c>
      <c r="O1933" s="2">
        <v>0.57152777777777775</v>
      </c>
      <c r="P1933">
        <f>-0.0052348383*3600</f>
        <v>-18.845417879999999</v>
      </c>
      <c r="Q1933">
        <f>-0.0042524429*3600</f>
        <v>-15.308794440000002</v>
      </c>
    </row>
    <row r="1934" spans="1:17" x14ac:dyDescent="0.3">
      <c r="A1934" s="4" t="s">
        <v>47</v>
      </c>
      <c r="B1934" s="5" t="s">
        <v>1612</v>
      </c>
      <c r="C1934">
        <v>98.827802000000005</v>
      </c>
      <c r="D1934">
        <v>104.889713</v>
      </c>
      <c r="E1934">
        <v>1</v>
      </c>
      <c r="F1934">
        <v>1</v>
      </c>
      <c r="G1934">
        <v>0.26100000000000001</v>
      </c>
      <c r="H1934">
        <v>0</v>
      </c>
      <c r="I1934" t="s">
        <v>0</v>
      </c>
      <c r="J1934" t="s">
        <v>59</v>
      </c>
      <c r="K1934">
        <v>0</v>
      </c>
      <c r="L1934" t="s">
        <v>60</v>
      </c>
      <c r="M1934">
        <v>1</v>
      </c>
      <c r="N1934" t="s">
        <v>67</v>
      </c>
      <c r="O1934" s="2">
        <v>0.57152777777777775</v>
      </c>
      <c r="P1934">
        <f>-0.0051286604*3600</f>
        <v>-18.463177440000003</v>
      </c>
      <c r="Q1934">
        <f>-0.0043309742*3600</f>
        <v>-15.591507119999999</v>
      </c>
    </row>
    <row r="1935" spans="1:17" x14ac:dyDescent="0.3">
      <c r="A1935" s="4" t="s">
        <v>47</v>
      </c>
      <c r="B1935" s="5" t="s">
        <v>1613</v>
      </c>
      <c r="C1935">
        <v>98.827382999999998</v>
      </c>
      <c r="D1935">
        <v>104.88976099999999</v>
      </c>
      <c r="E1935">
        <v>1</v>
      </c>
      <c r="F1935">
        <v>1</v>
      </c>
      <c r="G1935">
        <v>0.26100000000000001</v>
      </c>
      <c r="H1935">
        <v>0</v>
      </c>
      <c r="I1935" t="s">
        <v>0</v>
      </c>
      <c r="J1935" t="s">
        <v>59</v>
      </c>
      <c r="K1935">
        <v>0</v>
      </c>
      <c r="L1935" t="s">
        <v>60</v>
      </c>
      <c r="M1935">
        <v>1</v>
      </c>
      <c r="N1935" t="s">
        <v>67</v>
      </c>
      <c r="O1935" s="2">
        <v>0.57152777777777775</v>
      </c>
      <c r="P1935">
        <f>-0.0052242111*3600</f>
        <v>-18.80715996</v>
      </c>
      <c r="Q1935">
        <f>-0.0042528204*3600</f>
        <v>-15.310153440000001</v>
      </c>
    </row>
    <row r="1936" spans="1:17" x14ac:dyDescent="0.3">
      <c r="A1936" s="4" t="s">
        <v>47</v>
      </c>
      <c r="B1936" s="5" t="s">
        <v>1614</v>
      </c>
      <c r="C1936">
        <v>98.826939999999993</v>
      </c>
      <c r="D1936">
        <v>104.889646</v>
      </c>
      <c r="E1936">
        <v>1</v>
      </c>
      <c r="F1936">
        <v>1</v>
      </c>
      <c r="G1936">
        <v>0.26100000000000001</v>
      </c>
      <c r="H1936">
        <v>0</v>
      </c>
      <c r="I1936" t="s">
        <v>0</v>
      </c>
      <c r="J1936" t="s">
        <v>59</v>
      </c>
      <c r="K1936">
        <v>0</v>
      </c>
      <c r="L1936" t="s">
        <v>60</v>
      </c>
      <c r="M1936">
        <v>1</v>
      </c>
      <c r="N1936" t="s">
        <v>67</v>
      </c>
      <c r="O1936" s="2">
        <v>0.57152777777777775</v>
      </c>
      <c r="P1936">
        <f>-0.0051560153*3600</f>
        <v>-18.561655079999998</v>
      </c>
      <c r="Q1936">
        <f>-0.0044090427*3600</f>
        <v>-15.872553719999999</v>
      </c>
    </row>
    <row r="1937" spans="1:17" x14ac:dyDescent="0.3">
      <c r="A1937" s="4" t="s">
        <v>47</v>
      </c>
      <c r="B1937" s="5" t="s">
        <v>1615</v>
      </c>
      <c r="C1937">
        <v>98.826661000000001</v>
      </c>
      <c r="D1937">
        <v>104.890187</v>
      </c>
      <c r="E1937">
        <v>1</v>
      </c>
      <c r="F1937">
        <v>1</v>
      </c>
      <c r="G1937">
        <v>0.26100000000000001</v>
      </c>
      <c r="H1937">
        <v>0</v>
      </c>
      <c r="I1937" t="s">
        <v>0</v>
      </c>
      <c r="J1937" t="s">
        <v>59</v>
      </c>
      <c r="K1937">
        <v>0</v>
      </c>
      <c r="L1937" t="s">
        <v>60</v>
      </c>
      <c r="M1937">
        <v>1</v>
      </c>
      <c r="N1937" t="s">
        <v>67</v>
      </c>
      <c r="O1937" s="2">
        <v>0.57152777777777775</v>
      </c>
      <c r="P1937">
        <f>-0.0051583787*3600</f>
        <v>-18.570163319999999</v>
      </c>
      <c r="Q1937">
        <f>-0.0038592581*3600</f>
        <v>-13.89332916</v>
      </c>
    </row>
    <row r="1938" spans="1:17" x14ac:dyDescent="0.3">
      <c r="A1938" s="4" t="s">
        <v>47</v>
      </c>
      <c r="B1938" s="5" t="s">
        <v>1616</v>
      </c>
      <c r="C1938">
        <v>98.826808</v>
      </c>
      <c r="D1938">
        <v>104.89004199999999</v>
      </c>
      <c r="E1938">
        <v>1</v>
      </c>
      <c r="F1938">
        <v>1</v>
      </c>
      <c r="G1938">
        <v>0.26100000000000001</v>
      </c>
      <c r="H1938">
        <v>0</v>
      </c>
      <c r="I1938" t="s">
        <v>0</v>
      </c>
      <c r="J1938" t="s">
        <v>59</v>
      </c>
      <c r="K1938">
        <v>0</v>
      </c>
      <c r="L1938" t="s">
        <v>60</v>
      </c>
      <c r="M1938">
        <v>1</v>
      </c>
      <c r="N1938" t="s">
        <v>67</v>
      </c>
      <c r="O1938" s="2">
        <v>0.57152777777777775</v>
      </c>
      <c r="P1938">
        <f>-0.0053137975*3600</f>
        <v>-19.129671000000002</v>
      </c>
      <c r="Q1938">
        <f>-0.004001214*3600</f>
        <v>-14.404370400000001</v>
      </c>
    </row>
    <row r="1939" spans="1:17" x14ac:dyDescent="0.3">
      <c r="A1939" s="4" t="s">
        <v>47</v>
      </c>
      <c r="B1939" s="5" t="s">
        <v>1617</v>
      </c>
      <c r="C1939">
        <v>98.826740999999998</v>
      </c>
      <c r="D1939">
        <v>104.89028500000001</v>
      </c>
      <c r="E1939">
        <v>1</v>
      </c>
      <c r="F1939">
        <v>1</v>
      </c>
      <c r="G1939">
        <v>0.26100000000000001</v>
      </c>
      <c r="H1939">
        <v>0</v>
      </c>
      <c r="I1939" t="s">
        <v>0</v>
      </c>
      <c r="J1939" t="s">
        <v>59</v>
      </c>
      <c r="K1939">
        <v>0</v>
      </c>
      <c r="L1939" t="s">
        <v>60</v>
      </c>
      <c r="M1939">
        <v>1</v>
      </c>
      <c r="N1939" t="s">
        <v>67</v>
      </c>
      <c r="O1939" s="2">
        <v>0.57152777777777775</v>
      </c>
      <c r="P1939">
        <f>-0.0053690864*3600</f>
        <v>-19.328711039999998</v>
      </c>
      <c r="Q1939">
        <f>-0.0037892627*3600</f>
        <v>-13.64134572</v>
      </c>
    </row>
    <row r="1940" spans="1:17" x14ac:dyDescent="0.3">
      <c r="A1940" s="4" t="s">
        <v>47</v>
      </c>
      <c r="B1940" s="5" t="s">
        <v>1618</v>
      </c>
      <c r="C1940">
        <v>98.827472</v>
      </c>
      <c r="D1940">
        <v>104.890586</v>
      </c>
      <c r="E1940">
        <v>1</v>
      </c>
      <c r="F1940">
        <v>1</v>
      </c>
      <c r="G1940">
        <v>0.26100000000000001</v>
      </c>
      <c r="H1940">
        <v>0</v>
      </c>
      <c r="I1940" t="s">
        <v>0</v>
      </c>
      <c r="J1940" t="s">
        <v>59</v>
      </c>
      <c r="K1940">
        <v>0</v>
      </c>
      <c r="L1940" t="s">
        <v>60</v>
      </c>
      <c r="M1940">
        <v>1</v>
      </c>
      <c r="N1940" t="s">
        <v>67</v>
      </c>
      <c r="O1940" s="2">
        <v>0.57152777777777775</v>
      </c>
      <c r="P1940">
        <f>-0.0052814392*3600</f>
        <v>-19.013181119999999</v>
      </c>
      <c r="Q1940">
        <f>-0.0034963602*3600</f>
        <v>-12.58689672</v>
      </c>
    </row>
    <row r="1941" spans="1:17" x14ac:dyDescent="0.3">
      <c r="A1941" s="4" t="s">
        <v>47</v>
      </c>
      <c r="B1941" s="5" t="s">
        <v>1619</v>
      </c>
      <c r="C1941">
        <v>98.826547000000005</v>
      </c>
      <c r="D1941">
        <v>104.890393</v>
      </c>
      <c r="E1941">
        <v>1</v>
      </c>
      <c r="F1941">
        <v>1</v>
      </c>
      <c r="G1941">
        <v>0.26100000000000001</v>
      </c>
      <c r="H1941">
        <v>0</v>
      </c>
      <c r="I1941" t="s">
        <v>0</v>
      </c>
      <c r="J1941" t="s">
        <v>59</v>
      </c>
      <c r="K1941">
        <v>0</v>
      </c>
      <c r="L1941" t="s">
        <v>60</v>
      </c>
      <c r="M1941">
        <v>1</v>
      </c>
      <c r="N1941" t="s">
        <v>67</v>
      </c>
      <c r="O1941" s="2">
        <v>0.57152777777777775</v>
      </c>
      <c r="P1941">
        <f>-0.0053705121*3600</f>
        <v>-19.333843559999998</v>
      </c>
      <c r="Q1941">
        <f>-0.0036747257*3600</f>
        <v>-13.229012519999999</v>
      </c>
    </row>
    <row r="1942" spans="1:17" x14ac:dyDescent="0.3">
      <c r="A1942" s="4" t="s">
        <v>47</v>
      </c>
      <c r="B1942" s="5" t="s">
        <v>1620</v>
      </c>
      <c r="C1942">
        <v>98.826785999999998</v>
      </c>
      <c r="D1942">
        <v>104.89016100000001</v>
      </c>
      <c r="E1942">
        <v>1</v>
      </c>
      <c r="F1942">
        <v>1</v>
      </c>
      <c r="G1942">
        <v>0.26100000000000001</v>
      </c>
      <c r="H1942">
        <v>0</v>
      </c>
      <c r="I1942" t="s">
        <v>0</v>
      </c>
      <c r="J1942" t="s">
        <v>59</v>
      </c>
      <c r="K1942">
        <v>0</v>
      </c>
      <c r="L1942" t="s">
        <v>60</v>
      </c>
      <c r="M1942">
        <v>1</v>
      </c>
      <c r="N1942" t="s">
        <v>67</v>
      </c>
      <c r="O1942" s="2">
        <v>0.57152777777777775</v>
      </c>
      <c r="P1942">
        <f>-0.0052706296*3600</f>
        <v>-18.97426656</v>
      </c>
      <c r="Q1942">
        <f>-0.0038786286*3600</f>
        <v>-13.96306296</v>
      </c>
    </row>
    <row r="1943" spans="1:17" x14ac:dyDescent="0.3">
      <c r="A1943" s="4" t="s">
        <v>47</v>
      </c>
      <c r="B1943" s="5" t="s">
        <v>1621</v>
      </c>
      <c r="C1943">
        <v>98.826873000000006</v>
      </c>
      <c r="D1943">
        <v>104.89013799999999</v>
      </c>
      <c r="E1943">
        <v>1</v>
      </c>
      <c r="F1943">
        <v>1</v>
      </c>
      <c r="G1943">
        <v>0.26100000000000001</v>
      </c>
      <c r="H1943">
        <v>0</v>
      </c>
      <c r="I1943" t="s">
        <v>0</v>
      </c>
      <c r="J1943" t="s">
        <v>59</v>
      </c>
      <c r="K1943">
        <v>0</v>
      </c>
      <c r="L1943" t="s">
        <v>60</v>
      </c>
      <c r="M1943">
        <v>1</v>
      </c>
      <c r="N1943" t="s">
        <v>67</v>
      </c>
      <c r="O1943" s="2">
        <v>0.57152777777777775</v>
      </c>
      <c r="P1943">
        <f>-0.005372421*3600</f>
        <v>-19.340715599999999</v>
      </c>
      <c r="Q1943">
        <f>-0.0039408852*3600</f>
        <v>-14.18718672</v>
      </c>
    </row>
    <row r="1944" spans="1:17" x14ac:dyDescent="0.3">
      <c r="A1944" s="4" t="s">
        <v>47</v>
      </c>
      <c r="B1944" s="5" t="s">
        <v>1622</v>
      </c>
      <c r="C1944">
        <v>98.827496999999994</v>
      </c>
      <c r="D1944">
        <v>104.889961</v>
      </c>
      <c r="E1944">
        <v>1</v>
      </c>
      <c r="F1944">
        <v>1</v>
      </c>
      <c r="G1944">
        <v>0.26100000000000001</v>
      </c>
      <c r="H1944">
        <v>0</v>
      </c>
      <c r="I1944" t="s">
        <v>0</v>
      </c>
      <c r="J1944" t="s">
        <v>59</v>
      </c>
      <c r="K1944">
        <v>0</v>
      </c>
      <c r="L1944" t="s">
        <v>60</v>
      </c>
      <c r="M1944">
        <v>1</v>
      </c>
      <c r="N1944" t="s">
        <v>67</v>
      </c>
      <c r="O1944" s="2">
        <v>0.57152777777777775</v>
      </c>
      <c r="P1944">
        <f>-0.0053567869*3600</f>
        <v>-19.284432840000001</v>
      </c>
      <c r="Q1944">
        <f>-0.004106009*3600</f>
        <v>-14.781632399999999</v>
      </c>
    </row>
    <row r="1945" spans="1:17" x14ac:dyDescent="0.3">
      <c r="A1945" s="4" t="s">
        <v>47</v>
      </c>
      <c r="B1945" s="5" t="s">
        <v>1623</v>
      </c>
      <c r="C1945">
        <v>98.826688000000004</v>
      </c>
      <c r="D1945">
        <v>104.890023</v>
      </c>
      <c r="E1945">
        <v>1</v>
      </c>
      <c r="F1945">
        <v>1</v>
      </c>
      <c r="G1945">
        <v>0.26100000000000001</v>
      </c>
      <c r="H1945">
        <v>0</v>
      </c>
      <c r="I1945" t="s">
        <v>0</v>
      </c>
      <c r="J1945" t="s">
        <v>59</v>
      </c>
      <c r="K1945">
        <v>0</v>
      </c>
      <c r="L1945" t="s">
        <v>60</v>
      </c>
      <c r="M1945">
        <v>1</v>
      </c>
      <c r="N1945" t="s">
        <v>67</v>
      </c>
      <c r="O1945" s="2">
        <v>0.57152777777777775</v>
      </c>
      <c r="P1945">
        <f>-0.0053419818*3600</f>
        <v>-19.231134480000001</v>
      </c>
      <c r="Q1945">
        <f>-0.0040222686*3600</f>
        <v>-14.48016696</v>
      </c>
    </row>
    <row r="1946" spans="1:17" x14ac:dyDescent="0.3">
      <c r="A1946" s="4" t="s">
        <v>47</v>
      </c>
      <c r="B1946" s="5" t="s">
        <v>1624</v>
      </c>
      <c r="C1946">
        <v>98.826600999999997</v>
      </c>
      <c r="D1946">
        <v>104.89027</v>
      </c>
      <c r="E1946">
        <v>1</v>
      </c>
      <c r="F1946">
        <v>1</v>
      </c>
      <c r="G1946">
        <v>0.26100000000000001</v>
      </c>
      <c r="H1946">
        <v>0</v>
      </c>
      <c r="I1946" t="s">
        <v>0</v>
      </c>
      <c r="J1946" t="s">
        <v>59</v>
      </c>
      <c r="K1946">
        <v>0</v>
      </c>
      <c r="L1946" t="s">
        <v>60</v>
      </c>
      <c r="M1946">
        <v>1</v>
      </c>
      <c r="N1946" t="s">
        <v>67</v>
      </c>
      <c r="O1946" s="2">
        <v>0.57152777777777775</v>
      </c>
      <c r="P1946">
        <f>-0.0052962134*3600</f>
        <v>-19.066368240000003</v>
      </c>
      <c r="Q1946">
        <f>-0.003822835*3600</f>
        <v>-13.762206000000001</v>
      </c>
    </row>
    <row r="1947" spans="1:17" x14ac:dyDescent="0.3">
      <c r="A1947" s="4" t="s">
        <v>47</v>
      </c>
      <c r="B1947" s="5" t="s">
        <v>1625</v>
      </c>
      <c r="C1947">
        <v>98.826543000000001</v>
      </c>
      <c r="D1947">
        <v>104.890179</v>
      </c>
      <c r="E1947">
        <v>1</v>
      </c>
      <c r="F1947">
        <v>1</v>
      </c>
      <c r="G1947">
        <v>0.26100000000000001</v>
      </c>
      <c r="H1947">
        <v>0</v>
      </c>
      <c r="I1947" t="s">
        <v>0</v>
      </c>
      <c r="J1947" t="s">
        <v>59</v>
      </c>
      <c r="K1947">
        <v>0</v>
      </c>
      <c r="L1947" t="s">
        <v>60</v>
      </c>
      <c r="M1947">
        <v>1</v>
      </c>
      <c r="N1947" t="s">
        <v>67</v>
      </c>
      <c r="O1947" s="2">
        <v>0.57152777777777775</v>
      </c>
      <c r="P1947">
        <f>-0.0053484903*3600</f>
        <v>-19.254565079999999</v>
      </c>
      <c r="Q1947">
        <f>-0.0038705704*3600</f>
        <v>-13.93405344</v>
      </c>
    </row>
    <row r="1948" spans="1:17" x14ac:dyDescent="0.3">
      <c r="A1948" s="4" t="s">
        <v>47</v>
      </c>
      <c r="B1948" s="5" t="s">
        <v>1626</v>
      </c>
      <c r="C1948">
        <v>98.827366999999995</v>
      </c>
      <c r="D1948">
        <v>104.89023</v>
      </c>
      <c r="E1948">
        <v>1</v>
      </c>
      <c r="F1948">
        <v>1</v>
      </c>
      <c r="G1948">
        <v>0.26100000000000001</v>
      </c>
      <c r="H1948">
        <v>0</v>
      </c>
      <c r="I1948" t="s">
        <v>0</v>
      </c>
      <c r="J1948" t="s">
        <v>59</v>
      </c>
      <c r="K1948">
        <v>0</v>
      </c>
      <c r="L1948" t="s">
        <v>60</v>
      </c>
      <c r="M1948">
        <v>1</v>
      </c>
      <c r="N1948" t="s">
        <v>67</v>
      </c>
      <c r="O1948" s="2">
        <v>0.57152777777777775</v>
      </c>
      <c r="P1948">
        <f>-0.0053150962*3600</f>
        <v>-19.134346319999999</v>
      </c>
      <c r="Q1948">
        <f>-0.0038564488*3600</f>
        <v>-13.883215679999999</v>
      </c>
    </row>
    <row r="1949" spans="1:17" x14ac:dyDescent="0.3">
      <c r="A1949" s="4" t="s">
        <v>47</v>
      </c>
      <c r="B1949" s="5" t="s">
        <v>1627</v>
      </c>
      <c r="C1949">
        <v>98.826915999999997</v>
      </c>
      <c r="D1949">
        <v>104.89039099999999</v>
      </c>
      <c r="E1949">
        <v>1</v>
      </c>
      <c r="F1949">
        <v>1</v>
      </c>
      <c r="G1949">
        <v>0.26100000000000001</v>
      </c>
      <c r="H1949">
        <v>0</v>
      </c>
      <c r="I1949" t="s">
        <v>0</v>
      </c>
      <c r="J1949" t="s">
        <v>59</v>
      </c>
      <c r="K1949">
        <v>0</v>
      </c>
      <c r="L1949" t="s">
        <v>60</v>
      </c>
      <c r="M1949">
        <v>1</v>
      </c>
      <c r="N1949" t="s">
        <v>67</v>
      </c>
      <c r="O1949" s="2">
        <v>0.57152777777777775</v>
      </c>
      <c r="P1949">
        <f>-0.0053277903*3600</f>
        <v>-19.180045080000003</v>
      </c>
      <c r="Q1949">
        <f>-0.0036906761*3600</f>
        <v>-13.28643396</v>
      </c>
    </row>
    <row r="1950" spans="1:17" x14ac:dyDescent="0.3">
      <c r="A1950" s="4" t="s">
        <v>47</v>
      </c>
      <c r="B1950" s="5" t="s">
        <v>1628</v>
      </c>
      <c r="C1950">
        <v>98.826946000000007</v>
      </c>
      <c r="D1950">
        <v>104.889929</v>
      </c>
      <c r="E1950">
        <v>1</v>
      </c>
      <c r="F1950">
        <v>1</v>
      </c>
      <c r="G1950">
        <v>0.26100000000000001</v>
      </c>
      <c r="H1950">
        <v>0</v>
      </c>
      <c r="I1950" t="s">
        <v>0</v>
      </c>
      <c r="J1950" t="s">
        <v>59</v>
      </c>
      <c r="K1950">
        <v>0</v>
      </c>
      <c r="L1950" t="s">
        <v>60</v>
      </c>
      <c r="M1950">
        <v>1</v>
      </c>
      <c r="N1950" t="s">
        <v>67</v>
      </c>
      <c r="O1950" s="2">
        <v>0.57152777777777775</v>
      </c>
      <c r="P1950">
        <f>-0.0055514073*3600</f>
        <v>-19.985066280000002</v>
      </c>
      <c r="Q1950">
        <f>-0.0041266091*3600</f>
        <v>-14.855792760000002</v>
      </c>
    </row>
    <row r="1951" spans="1:17" x14ac:dyDescent="0.3">
      <c r="A1951" s="4" t="s">
        <v>47</v>
      </c>
      <c r="B1951" s="6" t="s">
        <v>1629</v>
      </c>
      <c r="C1951">
        <v>298.82638600000001</v>
      </c>
      <c r="D1951">
        <v>295.06563</v>
      </c>
      <c r="E1951">
        <v>19.663499999999999</v>
      </c>
      <c r="F1951">
        <v>19.600999999999999</v>
      </c>
      <c r="G1951">
        <v>0.26100000000000001</v>
      </c>
      <c r="H1951">
        <v>0</v>
      </c>
      <c r="I1951" t="s">
        <v>0</v>
      </c>
      <c r="J1951" t="s">
        <v>59</v>
      </c>
      <c r="K1951">
        <v>3.4000000000000002E-2</v>
      </c>
      <c r="L1951" t="s">
        <v>60</v>
      </c>
      <c r="M1951">
        <v>1</v>
      </c>
      <c r="N1951" t="s">
        <v>53</v>
      </c>
      <c r="O1951" s="2">
        <v>0.57222222222222219</v>
      </c>
      <c r="P1951">
        <f>0.0039158184*3600</f>
        <v>14.096946239999999</v>
      </c>
      <c r="Q1951">
        <f>0.0039072975*3600</f>
        <v>14.066271</v>
      </c>
    </row>
    <row r="1952" spans="1:17" x14ac:dyDescent="0.3">
      <c r="A1952" s="4" t="s">
        <v>47</v>
      </c>
      <c r="B1952" s="6" t="s">
        <v>1630</v>
      </c>
      <c r="C1952">
        <v>298.826483</v>
      </c>
      <c r="D1952">
        <v>295.111897</v>
      </c>
      <c r="E1952">
        <v>1</v>
      </c>
      <c r="F1952">
        <v>1</v>
      </c>
      <c r="G1952">
        <v>0.26100000000000001</v>
      </c>
      <c r="H1952">
        <v>0</v>
      </c>
      <c r="I1952" t="s">
        <v>0</v>
      </c>
      <c r="J1952" t="s">
        <v>59</v>
      </c>
      <c r="K1952">
        <v>0</v>
      </c>
      <c r="L1952" t="s">
        <v>60</v>
      </c>
      <c r="M1952">
        <v>1</v>
      </c>
      <c r="N1952" t="s">
        <v>67</v>
      </c>
      <c r="O1952" s="2">
        <v>0.57222222222222219</v>
      </c>
      <c r="P1952">
        <f>0.0037257025*3600</f>
        <v>13.412529000000001</v>
      </c>
      <c r="Q1952">
        <f>0.003853014*3600</f>
        <v>13.8708504</v>
      </c>
    </row>
    <row r="1953" spans="1:17" x14ac:dyDescent="0.3">
      <c r="A1953" s="4" t="s">
        <v>47</v>
      </c>
      <c r="B1953" s="6" t="s">
        <v>1631</v>
      </c>
      <c r="C1953">
        <v>298.82647200000002</v>
      </c>
      <c r="D1953">
        <v>295.11190599999998</v>
      </c>
      <c r="E1953">
        <v>1</v>
      </c>
      <c r="F1953">
        <v>1</v>
      </c>
      <c r="G1953">
        <v>0.26100000000000001</v>
      </c>
      <c r="H1953">
        <v>0</v>
      </c>
      <c r="I1953" t="s">
        <v>0</v>
      </c>
      <c r="J1953" t="s">
        <v>59</v>
      </c>
      <c r="K1953">
        <v>0</v>
      </c>
      <c r="L1953" t="s">
        <v>60</v>
      </c>
      <c r="M1953">
        <v>1</v>
      </c>
      <c r="N1953" t="s">
        <v>67</v>
      </c>
      <c r="O1953" s="2">
        <v>0.57222222222222219</v>
      </c>
      <c r="P1953">
        <f>0.0038067398*3600</f>
        <v>13.704263279999999</v>
      </c>
      <c r="Q1953">
        <f>0.0038318973*3600</f>
        <v>13.794830279999999</v>
      </c>
    </row>
    <row r="1954" spans="1:17" x14ac:dyDescent="0.3">
      <c r="A1954" s="4" t="s">
        <v>47</v>
      </c>
      <c r="B1954" s="6" t="s">
        <v>1632</v>
      </c>
      <c r="C1954">
        <v>298.826774</v>
      </c>
      <c r="D1954">
        <v>295.11190099999999</v>
      </c>
      <c r="E1954">
        <v>1</v>
      </c>
      <c r="F1954">
        <v>1</v>
      </c>
      <c r="G1954">
        <v>0.26100000000000001</v>
      </c>
      <c r="H1954">
        <v>0</v>
      </c>
      <c r="I1954" t="s">
        <v>0</v>
      </c>
      <c r="J1954" t="s">
        <v>59</v>
      </c>
      <c r="K1954">
        <v>0</v>
      </c>
      <c r="L1954" t="s">
        <v>60</v>
      </c>
      <c r="M1954">
        <v>1</v>
      </c>
      <c r="N1954" t="s">
        <v>67</v>
      </c>
      <c r="O1954" s="2">
        <v>0.57222222222222219</v>
      </c>
      <c r="P1954">
        <f>0.0037764266*3600</f>
        <v>13.59513576</v>
      </c>
      <c r="Q1954">
        <f>0.0038319542*3600</f>
        <v>13.79503512</v>
      </c>
    </row>
    <row r="1955" spans="1:17" x14ac:dyDescent="0.3">
      <c r="A1955" s="4" t="s">
        <v>47</v>
      </c>
      <c r="B1955" s="6" t="s">
        <v>1633</v>
      </c>
      <c r="C1955">
        <v>298.82658500000002</v>
      </c>
      <c r="D1955">
        <v>295.11168300000003</v>
      </c>
      <c r="E1955">
        <v>1</v>
      </c>
      <c r="F1955">
        <v>1</v>
      </c>
      <c r="G1955">
        <v>0.26100000000000001</v>
      </c>
      <c r="H1955">
        <v>0</v>
      </c>
      <c r="I1955" t="s">
        <v>0</v>
      </c>
      <c r="J1955" t="s">
        <v>59</v>
      </c>
      <c r="K1955">
        <v>0</v>
      </c>
      <c r="L1955" t="s">
        <v>60</v>
      </c>
      <c r="M1955">
        <v>1</v>
      </c>
      <c r="N1955" t="s">
        <v>67</v>
      </c>
      <c r="O1955" s="2">
        <v>0.57222222222222219</v>
      </c>
      <c r="P1955">
        <f>0.0037184886*3600</f>
        <v>13.38655896</v>
      </c>
      <c r="Q1955">
        <f>0.0035801438*3600</f>
        <v>12.88851768</v>
      </c>
    </row>
    <row r="1956" spans="1:17" x14ac:dyDescent="0.3">
      <c r="A1956" s="4" t="s">
        <v>47</v>
      </c>
      <c r="B1956" s="6" t="s">
        <v>1634</v>
      </c>
      <c r="C1956">
        <v>298.827134</v>
      </c>
      <c r="D1956">
        <v>295.11183999999997</v>
      </c>
      <c r="E1956">
        <v>1</v>
      </c>
      <c r="F1956">
        <v>1</v>
      </c>
      <c r="G1956">
        <v>0.26100000000000001</v>
      </c>
      <c r="H1956">
        <v>0</v>
      </c>
      <c r="I1956" t="s">
        <v>0</v>
      </c>
      <c r="J1956" t="s">
        <v>59</v>
      </c>
      <c r="K1956">
        <v>0</v>
      </c>
      <c r="L1956" t="s">
        <v>60</v>
      </c>
      <c r="M1956">
        <v>1</v>
      </c>
      <c r="N1956" t="s">
        <v>67</v>
      </c>
      <c r="O1956" s="2">
        <v>0.57222222222222219</v>
      </c>
      <c r="P1956">
        <f>0.0038467592*3600</f>
        <v>13.848333119999999</v>
      </c>
      <c r="Q1956">
        <f>0.0037407504*3600</f>
        <v>13.46670144</v>
      </c>
    </row>
    <row r="1957" spans="1:17" x14ac:dyDescent="0.3">
      <c r="A1957" s="4" t="s">
        <v>47</v>
      </c>
      <c r="B1957" s="6" t="s">
        <v>1635</v>
      </c>
      <c r="C1957">
        <v>298.826909</v>
      </c>
      <c r="D1957">
        <v>295.11163800000003</v>
      </c>
      <c r="E1957">
        <v>1</v>
      </c>
      <c r="F1957">
        <v>1</v>
      </c>
      <c r="G1957">
        <v>0.26100000000000001</v>
      </c>
      <c r="H1957">
        <v>0</v>
      </c>
      <c r="I1957" t="s">
        <v>0</v>
      </c>
      <c r="J1957" t="s">
        <v>59</v>
      </c>
      <c r="K1957">
        <v>0</v>
      </c>
      <c r="L1957" t="s">
        <v>60</v>
      </c>
      <c r="M1957">
        <v>1</v>
      </c>
      <c r="N1957" t="s">
        <v>67</v>
      </c>
      <c r="O1957" s="2">
        <v>0.57222222222222219</v>
      </c>
      <c r="P1957">
        <f>0.0038977658*3600</f>
        <v>14.031956879999999</v>
      </c>
      <c r="Q1957">
        <f>0.0034690611*3600</f>
        <v>12.488619959999999</v>
      </c>
    </row>
    <row r="1958" spans="1:17" x14ac:dyDescent="0.3">
      <c r="A1958" s="4" t="s">
        <v>47</v>
      </c>
      <c r="B1958" s="6" t="s">
        <v>1636</v>
      </c>
      <c r="C1958">
        <v>298.827156</v>
      </c>
      <c r="D1958">
        <v>295.11168800000002</v>
      </c>
      <c r="E1958">
        <v>1</v>
      </c>
      <c r="F1958">
        <v>1</v>
      </c>
      <c r="G1958">
        <v>0.26100000000000001</v>
      </c>
      <c r="H1958">
        <v>0</v>
      </c>
      <c r="I1958" t="s">
        <v>0</v>
      </c>
      <c r="J1958" t="s">
        <v>59</v>
      </c>
      <c r="K1958">
        <v>0</v>
      </c>
      <c r="L1958" t="s">
        <v>60</v>
      </c>
      <c r="M1958">
        <v>1</v>
      </c>
      <c r="N1958" t="s">
        <v>67</v>
      </c>
      <c r="O1958" s="2">
        <v>0.57222222222222219</v>
      </c>
      <c r="P1958">
        <f>0.003899579*3600</f>
        <v>14.0384844</v>
      </c>
      <c r="Q1958">
        <f>0.003362118*3600</f>
        <v>12.1036248</v>
      </c>
    </row>
    <row r="1959" spans="1:17" x14ac:dyDescent="0.3">
      <c r="A1959" s="4" t="s">
        <v>47</v>
      </c>
      <c r="B1959" s="6" t="s">
        <v>1637</v>
      </c>
      <c r="C1959">
        <v>298.82770599999998</v>
      </c>
      <c r="D1959">
        <v>295.11191400000001</v>
      </c>
      <c r="E1959">
        <v>1</v>
      </c>
      <c r="F1959">
        <v>1</v>
      </c>
      <c r="G1959">
        <v>0.26100000000000001</v>
      </c>
      <c r="H1959">
        <v>0</v>
      </c>
      <c r="I1959" t="s">
        <v>0</v>
      </c>
      <c r="J1959" t="s">
        <v>59</v>
      </c>
      <c r="K1959">
        <v>0</v>
      </c>
      <c r="L1959" t="s">
        <v>60</v>
      </c>
      <c r="M1959">
        <v>1</v>
      </c>
      <c r="N1959" t="s">
        <v>67</v>
      </c>
      <c r="O1959" s="2">
        <v>0.57222222222222219</v>
      </c>
      <c r="P1959">
        <f>0.0039518685*3600</f>
        <v>14.226726599999999</v>
      </c>
      <c r="Q1959">
        <f>0.0035246611*3600</f>
        <v>12.68877996</v>
      </c>
    </row>
    <row r="1960" spans="1:17" x14ac:dyDescent="0.3">
      <c r="A1960" s="4" t="s">
        <v>47</v>
      </c>
      <c r="B1960" s="6" t="s">
        <v>1638</v>
      </c>
      <c r="C1960">
        <v>298.82736799999998</v>
      </c>
      <c r="D1960">
        <v>295.11178100000001</v>
      </c>
      <c r="E1960">
        <v>1</v>
      </c>
      <c r="F1960">
        <v>1</v>
      </c>
      <c r="G1960">
        <v>0.26100000000000001</v>
      </c>
      <c r="H1960">
        <v>0</v>
      </c>
      <c r="I1960" t="s">
        <v>0</v>
      </c>
      <c r="J1960" t="s">
        <v>59</v>
      </c>
      <c r="K1960">
        <v>0</v>
      </c>
      <c r="L1960" t="s">
        <v>60</v>
      </c>
      <c r="M1960">
        <v>1</v>
      </c>
      <c r="N1960" t="s">
        <v>67</v>
      </c>
      <c r="O1960" s="2">
        <v>0.57222222222222219</v>
      </c>
      <c r="P1960">
        <f>0.0039352784*3600</f>
        <v>14.167002239999999</v>
      </c>
      <c r="Q1960">
        <f>0.0034278283*3600</f>
        <v>12.340181879999999</v>
      </c>
    </row>
    <row r="1961" spans="1:17" x14ac:dyDescent="0.3">
      <c r="A1961" s="4" t="s">
        <v>47</v>
      </c>
      <c r="B1961" s="6" t="s">
        <v>1639</v>
      </c>
      <c r="C1961">
        <v>298.82782900000001</v>
      </c>
      <c r="D1961">
        <v>295.11171000000002</v>
      </c>
      <c r="E1961">
        <v>1</v>
      </c>
      <c r="F1961">
        <v>1</v>
      </c>
      <c r="G1961">
        <v>0.26100000000000001</v>
      </c>
      <c r="H1961">
        <v>0</v>
      </c>
      <c r="I1961" t="s">
        <v>0</v>
      </c>
      <c r="J1961" t="s">
        <v>59</v>
      </c>
      <c r="K1961">
        <v>0</v>
      </c>
      <c r="L1961" t="s">
        <v>60</v>
      </c>
      <c r="M1961">
        <v>1</v>
      </c>
      <c r="N1961" t="s">
        <v>67</v>
      </c>
      <c r="O1961" s="2">
        <v>0.57222222222222219</v>
      </c>
      <c r="P1961">
        <f>0.0040302*3600</f>
        <v>14.50872</v>
      </c>
      <c r="Q1961">
        <f>0.0033252191*3600</f>
        <v>11.97078876</v>
      </c>
    </row>
    <row r="1962" spans="1:17" x14ac:dyDescent="0.3">
      <c r="A1962" s="4" t="s">
        <v>47</v>
      </c>
      <c r="B1962" s="6" t="s">
        <v>1640</v>
      </c>
      <c r="C1962">
        <v>298.82696800000002</v>
      </c>
      <c r="D1962">
        <v>295.11199499999998</v>
      </c>
      <c r="E1962">
        <v>1</v>
      </c>
      <c r="F1962">
        <v>1</v>
      </c>
      <c r="G1962">
        <v>0.26100000000000001</v>
      </c>
      <c r="H1962">
        <v>0</v>
      </c>
      <c r="I1962" t="s">
        <v>0</v>
      </c>
      <c r="J1962" t="s">
        <v>59</v>
      </c>
      <c r="K1962">
        <v>0</v>
      </c>
      <c r="L1962" t="s">
        <v>60</v>
      </c>
      <c r="M1962">
        <v>1</v>
      </c>
      <c r="N1962" t="s">
        <v>67</v>
      </c>
      <c r="O1962" s="2">
        <v>0.57222222222222219</v>
      </c>
      <c r="P1962">
        <f>0.0039544996*3600</f>
        <v>14.236198560000002</v>
      </c>
      <c r="Q1962">
        <f>0.003633656*3600</f>
        <v>13.0811616</v>
      </c>
    </row>
    <row r="1963" spans="1:17" x14ac:dyDescent="0.3">
      <c r="A1963" s="4" t="s">
        <v>47</v>
      </c>
      <c r="B1963" s="6" t="s">
        <v>1641</v>
      </c>
      <c r="C1963">
        <v>298.82728500000002</v>
      </c>
      <c r="D1963">
        <v>295.11178799999999</v>
      </c>
      <c r="E1963">
        <v>1</v>
      </c>
      <c r="F1963">
        <v>1</v>
      </c>
      <c r="G1963">
        <v>0.26100000000000001</v>
      </c>
      <c r="H1963">
        <v>0</v>
      </c>
      <c r="I1963" t="s">
        <v>0</v>
      </c>
      <c r="J1963" t="s">
        <v>59</v>
      </c>
      <c r="K1963">
        <v>0</v>
      </c>
      <c r="L1963" t="s">
        <v>60</v>
      </c>
      <c r="M1963">
        <v>1</v>
      </c>
      <c r="N1963" t="s">
        <v>67</v>
      </c>
      <c r="O1963" s="2">
        <v>0.57222222222222219</v>
      </c>
      <c r="P1963">
        <f>0.0039542811*3600</f>
        <v>14.23541196</v>
      </c>
      <c r="Q1963">
        <f>0.0034173988*3600</f>
        <v>12.30263568</v>
      </c>
    </row>
    <row r="1964" spans="1:17" x14ac:dyDescent="0.3">
      <c r="A1964" s="4" t="s">
        <v>47</v>
      </c>
      <c r="B1964" s="6" t="s">
        <v>1642</v>
      </c>
      <c r="C1964">
        <v>298.827088</v>
      </c>
      <c r="D1964">
        <v>295.111988</v>
      </c>
      <c r="E1964">
        <v>1</v>
      </c>
      <c r="F1964">
        <v>1</v>
      </c>
      <c r="G1964">
        <v>0.26100000000000001</v>
      </c>
      <c r="H1964">
        <v>0</v>
      </c>
      <c r="I1964" t="s">
        <v>0</v>
      </c>
      <c r="J1964" t="s">
        <v>59</v>
      </c>
      <c r="K1964">
        <v>0</v>
      </c>
      <c r="L1964" t="s">
        <v>60</v>
      </c>
      <c r="M1964">
        <v>1</v>
      </c>
      <c r="N1964" t="s">
        <v>67</v>
      </c>
      <c r="O1964" s="2">
        <v>0.57222222222222219</v>
      </c>
      <c r="P1964">
        <f>0.0039623349*3600</f>
        <v>14.264405640000001</v>
      </c>
      <c r="Q1964">
        <f>0.0036122755*3600</f>
        <v>13.004191800000001</v>
      </c>
    </row>
    <row r="1965" spans="1:17" x14ac:dyDescent="0.3">
      <c r="A1965" s="4" t="s">
        <v>47</v>
      </c>
      <c r="B1965" s="6" t="s">
        <v>1643</v>
      </c>
      <c r="C1965">
        <v>298.82707199999999</v>
      </c>
      <c r="D1965">
        <v>295.11183699999998</v>
      </c>
      <c r="E1965">
        <v>1</v>
      </c>
      <c r="F1965">
        <v>1</v>
      </c>
      <c r="G1965">
        <v>0.26100000000000001</v>
      </c>
      <c r="H1965">
        <v>0</v>
      </c>
      <c r="I1965" t="s">
        <v>0</v>
      </c>
      <c r="J1965" t="s">
        <v>59</v>
      </c>
      <c r="K1965">
        <v>0</v>
      </c>
      <c r="L1965" t="s">
        <v>60</v>
      </c>
      <c r="M1965">
        <v>1</v>
      </c>
      <c r="N1965" t="s">
        <v>67</v>
      </c>
      <c r="O1965" s="2">
        <v>0.57222222222222219</v>
      </c>
      <c r="P1965">
        <f>0.0040451237*3600</f>
        <v>14.56244532</v>
      </c>
      <c r="Q1965">
        <f>0.0034726796*3600</f>
        <v>12.501646559999999</v>
      </c>
    </row>
    <row r="1966" spans="1:17" x14ac:dyDescent="0.3">
      <c r="A1966" s="4" t="s">
        <v>47</v>
      </c>
      <c r="B1966" s="6" t="s">
        <v>1644</v>
      </c>
      <c r="C1966">
        <v>298.826686</v>
      </c>
      <c r="D1966">
        <v>295.11177900000001</v>
      </c>
      <c r="E1966">
        <v>1</v>
      </c>
      <c r="F1966">
        <v>1</v>
      </c>
      <c r="G1966">
        <v>0.26100000000000001</v>
      </c>
      <c r="H1966">
        <v>0</v>
      </c>
      <c r="I1966" t="s">
        <v>0</v>
      </c>
      <c r="J1966" t="s">
        <v>59</v>
      </c>
      <c r="K1966">
        <v>0</v>
      </c>
      <c r="L1966" t="s">
        <v>60</v>
      </c>
      <c r="M1966">
        <v>1</v>
      </c>
      <c r="N1966" t="s">
        <v>67</v>
      </c>
      <c r="O1966" s="2">
        <v>0.57222222222222219</v>
      </c>
      <c r="P1966">
        <f>0.0039584702*3600</f>
        <v>14.250492719999999</v>
      </c>
      <c r="Q1966">
        <f>0.0034245319*3600</f>
        <v>12.328314840000001</v>
      </c>
    </row>
    <row r="1967" spans="1:17" x14ac:dyDescent="0.3">
      <c r="A1967" s="4" t="s">
        <v>47</v>
      </c>
      <c r="B1967" s="6" t="s">
        <v>1645</v>
      </c>
      <c r="C1967">
        <v>298.82692300000002</v>
      </c>
      <c r="D1967">
        <v>295.11170399999997</v>
      </c>
      <c r="E1967">
        <v>1</v>
      </c>
      <c r="F1967">
        <v>1</v>
      </c>
      <c r="G1967">
        <v>0.26100000000000001</v>
      </c>
      <c r="H1967">
        <v>0</v>
      </c>
      <c r="I1967" t="s">
        <v>0</v>
      </c>
      <c r="J1967" t="s">
        <v>59</v>
      </c>
      <c r="K1967">
        <v>0</v>
      </c>
      <c r="L1967" t="s">
        <v>60</v>
      </c>
      <c r="M1967">
        <v>1</v>
      </c>
      <c r="N1967" t="s">
        <v>67</v>
      </c>
      <c r="O1967" s="2">
        <v>0.57222222222222219</v>
      </c>
      <c r="P1967">
        <f>0.0039360058*3600</f>
        <v>14.169620879999998</v>
      </c>
      <c r="Q1967">
        <f>0.0033193095*3600</f>
        <v>11.949514199999999</v>
      </c>
    </row>
    <row r="1968" spans="1:17" x14ac:dyDescent="0.3">
      <c r="A1968" s="4" t="s">
        <v>47</v>
      </c>
      <c r="B1968" s="6" t="s">
        <v>1646</v>
      </c>
      <c r="C1968">
        <v>298.82804599999997</v>
      </c>
      <c r="D1968">
        <v>295.11199399999998</v>
      </c>
      <c r="E1968">
        <v>1</v>
      </c>
      <c r="F1968">
        <v>1</v>
      </c>
      <c r="G1968">
        <v>0.26100000000000001</v>
      </c>
      <c r="H1968">
        <v>0</v>
      </c>
      <c r="I1968" t="s">
        <v>0</v>
      </c>
      <c r="J1968" t="s">
        <v>59</v>
      </c>
      <c r="K1968">
        <v>0</v>
      </c>
      <c r="L1968" t="s">
        <v>60</v>
      </c>
      <c r="M1968">
        <v>1</v>
      </c>
      <c r="N1968" t="s">
        <v>67</v>
      </c>
      <c r="O1968" s="2">
        <v>0.57222222222222219</v>
      </c>
      <c r="P1968">
        <f>0.003892211*3600</f>
        <v>14.011959600000001</v>
      </c>
      <c r="Q1968">
        <f>0.0035878387*3600</f>
        <v>12.91621932</v>
      </c>
    </row>
    <row r="1969" spans="1:17" x14ac:dyDescent="0.3">
      <c r="A1969" s="4" t="s">
        <v>47</v>
      </c>
      <c r="B1969" s="6" t="s">
        <v>1647</v>
      </c>
      <c r="C1969">
        <v>298.82690400000001</v>
      </c>
      <c r="D1969">
        <v>295.11187999999999</v>
      </c>
      <c r="E1969">
        <v>1</v>
      </c>
      <c r="F1969">
        <v>1</v>
      </c>
      <c r="G1969">
        <v>0.26100000000000001</v>
      </c>
      <c r="H1969">
        <v>0</v>
      </c>
      <c r="I1969" t="s">
        <v>0</v>
      </c>
      <c r="J1969" t="s">
        <v>59</v>
      </c>
      <c r="K1969">
        <v>0</v>
      </c>
      <c r="L1969" t="s">
        <v>60</v>
      </c>
      <c r="M1969">
        <v>1</v>
      </c>
      <c r="N1969" t="s">
        <v>67</v>
      </c>
      <c r="O1969" s="2">
        <v>0.57222222222222219</v>
      </c>
      <c r="P1969">
        <f>0.0039077261*3600</f>
        <v>14.067813959999999</v>
      </c>
      <c r="Q1969">
        <f>0.0035110273*3600</f>
        <v>12.639698279999999</v>
      </c>
    </row>
    <row r="1970" spans="1:17" x14ac:dyDescent="0.3">
      <c r="A1970" s="4" t="s">
        <v>47</v>
      </c>
      <c r="B1970" s="6" t="s">
        <v>1648</v>
      </c>
      <c r="C1970">
        <v>298.82658500000002</v>
      </c>
      <c r="D1970">
        <v>295.11200100000002</v>
      </c>
      <c r="E1970">
        <v>1</v>
      </c>
      <c r="F1970">
        <v>1</v>
      </c>
      <c r="G1970">
        <v>0.26100000000000001</v>
      </c>
      <c r="H1970">
        <v>0</v>
      </c>
      <c r="I1970" t="s">
        <v>0</v>
      </c>
      <c r="J1970" t="s">
        <v>59</v>
      </c>
      <c r="K1970">
        <v>0</v>
      </c>
      <c r="L1970" t="s">
        <v>60</v>
      </c>
      <c r="M1970">
        <v>1</v>
      </c>
      <c r="N1970" t="s">
        <v>67</v>
      </c>
      <c r="O1970" s="2">
        <v>0.57222222222222219</v>
      </c>
      <c r="P1970">
        <f>0.0039360011*3600</f>
        <v>14.16960396</v>
      </c>
      <c r="Q1970">
        <f>0.0036572815*3600</f>
        <v>13.1662134</v>
      </c>
    </row>
    <row r="1971" spans="1:17" x14ac:dyDescent="0.3">
      <c r="A1971" s="4" t="s">
        <v>47</v>
      </c>
      <c r="B1971" s="6" t="s">
        <v>1649</v>
      </c>
      <c r="C1971">
        <v>298.82696900000002</v>
      </c>
      <c r="D1971">
        <v>295.11202800000001</v>
      </c>
      <c r="E1971">
        <v>1</v>
      </c>
      <c r="F1971">
        <v>1</v>
      </c>
      <c r="G1971">
        <v>0.26100000000000001</v>
      </c>
      <c r="H1971">
        <v>0</v>
      </c>
      <c r="I1971" t="s">
        <v>0</v>
      </c>
      <c r="J1971" t="s">
        <v>59</v>
      </c>
      <c r="K1971">
        <v>0</v>
      </c>
      <c r="L1971" t="s">
        <v>60</v>
      </c>
      <c r="M1971">
        <v>1</v>
      </c>
      <c r="N1971" t="s">
        <v>67</v>
      </c>
      <c r="O1971" s="2">
        <v>0.57222222222222219</v>
      </c>
      <c r="P1971">
        <f>0.0038757987*3600</f>
        <v>13.95287532</v>
      </c>
      <c r="Q1971">
        <f>0.0036264156*3600</f>
        <v>13.05509616</v>
      </c>
    </row>
    <row r="1972" spans="1:17" x14ac:dyDescent="0.3">
      <c r="A1972" s="4" t="s">
        <v>47</v>
      </c>
      <c r="B1972" s="6" t="s">
        <v>1650</v>
      </c>
      <c r="C1972">
        <v>298.82668699999999</v>
      </c>
      <c r="D1972">
        <v>295.11186199999997</v>
      </c>
      <c r="E1972">
        <v>1</v>
      </c>
      <c r="F1972">
        <v>1</v>
      </c>
      <c r="G1972">
        <v>0.26100000000000001</v>
      </c>
      <c r="H1972">
        <v>0</v>
      </c>
      <c r="I1972" t="s">
        <v>0</v>
      </c>
      <c r="J1972" t="s">
        <v>59</v>
      </c>
      <c r="K1972">
        <v>0</v>
      </c>
      <c r="L1972" t="s">
        <v>60</v>
      </c>
      <c r="M1972">
        <v>1</v>
      </c>
      <c r="N1972" t="s">
        <v>67</v>
      </c>
      <c r="O1972" s="2">
        <v>0.57222222222222219</v>
      </c>
      <c r="P1972">
        <f>0.0038960599*3600</f>
        <v>14.025815640000001</v>
      </c>
      <c r="Q1972">
        <f>0.0034945446*3600</f>
        <v>12.580360559999999</v>
      </c>
    </row>
    <row r="1973" spans="1:17" x14ac:dyDescent="0.3">
      <c r="A1973" s="4" t="s">
        <v>47</v>
      </c>
      <c r="B1973" s="6" t="s">
        <v>1651</v>
      </c>
      <c r="C1973">
        <v>298.82752099999999</v>
      </c>
      <c r="D1973">
        <v>295.11192699999998</v>
      </c>
      <c r="E1973">
        <v>1</v>
      </c>
      <c r="F1973">
        <v>1</v>
      </c>
      <c r="G1973">
        <v>0.26100000000000001</v>
      </c>
      <c r="H1973">
        <v>0</v>
      </c>
      <c r="I1973" t="s">
        <v>0</v>
      </c>
      <c r="J1973" t="s">
        <v>59</v>
      </c>
      <c r="K1973">
        <v>0</v>
      </c>
      <c r="L1973" t="s">
        <v>60</v>
      </c>
      <c r="M1973">
        <v>1</v>
      </c>
      <c r="N1973" t="s">
        <v>67</v>
      </c>
      <c r="O1973" s="2">
        <v>0.57222222222222219</v>
      </c>
      <c r="P1973">
        <f>0.0038993735*3600</f>
        <v>14.0377446</v>
      </c>
      <c r="Q1973">
        <f>0.0035655547*3600</f>
        <v>12.835996919999999</v>
      </c>
    </row>
    <row r="1974" spans="1:17" x14ac:dyDescent="0.3">
      <c r="A1974" s="4" t="s">
        <v>47</v>
      </c>
      <c r="B1974" s="6" t="s">
        <v>1652</v>
      </c>
      <c r="C1974">
        <v>298.82653499999998</v>
      </c>
      <c r="D1974">
        <v>295.111988</v>
      </c>
      <c r="E1974">
        <v>1</v>
      </c>
      <c r="F1974">
        <v>1</v>
      </c>
      <c r="G1974">
        <v>0.26100000000000001</v>
      </c>
      <c r="H1974">
        <v>0</v>
      </c>
      <c r="I1974" t="s">
        <v>0</v>
      </c>
      <c r="J1974" t="s">
        <v>59</v>
      </c>
      <c r="K1974">
        <v>0</v>
      </c>
      <c r="L1974" t="s">
        <v>60</v>
      </c>
      <c r="M1974">
        <v>1</v>
      </c>
      <c r="N1974" t="s">
        <v>67</v>
      </c>
      <c r="O1974" s="2">
        <v>0.57222222222222219</v>
      </c>
      <c r="P1974">
        <f>0.0039280772*3600</f>
        <v>14.141077920000001</v>
      </c>
      <c r="Q1974">
        <f>0.0036472681*3600</f>
        <v>13.130165160000001</v>
      </c>
    </row>
    <row r="1975" spans="1:17" x14ac:dyDescent="0.3">
      <c r="A1975" s="4" t="s">
        <v>47</v>
      </c>
      <c r="B1975" s="6" t="s">
        <v>1653</v>
      </c>
      <c r="C1975">
        <v>298.82676300000003</v>
      </c>
      <c r="D1975">
        <v>295.111918</v>
      </c>
      <c r="E1975">
        <v>1</v>
      </c>
      <c r="F1975">
        <v>1</v>
      </c>
      <c r="G1975">
        <v>0.26100000000000001</v>
      </c>
      <c r="H1975">
        <v>0</v>
      </c>
      <c r="I1975" t="s">
        <v>0</v>
      </c>
      <c r="J1975" t="s">
        <v>59</v>
      </c>
      <c r="K1975">
        <v>0</v>
      </c>
      <c r="L1975" t="s">
        <v>60</v>
      </c>
      <c r="M1975">
        <v>1</v>
      </c>
      <c r="N1975" t="s">
        <v>67</v>
      </c>
      <c r="O1975" s="2">
        <v>0.57222222222222219</v>
      </c>
      <c r="P1975">
        <f>0.0039831978*3600</f>
        <v>14.33951208</v>
      </c>
      <c r="Q1975">
        <f>0.003569994*3600</f>
        <v>12.8519784</v>
      </c>
    </row>
    <row r="1976" spans="1:17" x14ac:dyDescent="0.3">
      <c r="A1976" s="4" t="s">
        <v>47</v>
      </c>
      <c r="B1976" s="6" t="s">
        <v>1654</v>
      </c>
      <c r="C1976">
        <v>298.82711399999999</v>
      </c>
      <c r="D1976">
        <v>295.11193900000001</v>
      </c>
      <c r="E1976">
        <v>1</v>
      </c>
      <c r="F1976">
        <v>1</v>
      </c>
      <c r="G1976">
        <v>0.26100000000000001</v>
      </c>
      <c r="H1976">
        <v>0</v>
      </c>
      <c r="I1976" t="s">
        <v>0</v>
      </c>
      <c r="J1976" t="s">
        <v>59</v>
      </c>
      <c r="K1976">
        <v>0</v>
      </c>
      <c r="L1976" t="s">
        <v>60</v>
      </c>
      <c r="M1976">
        <v>1</v>
      </c>
      <c r="N1976" t="s">
        <v>67</v>
      </c>
      <c r="O1976" s="2">
        <v>0.57222222222222219</v>
      </c>
      <c r="P1976">
        <f>0.003988598*3600</f>
        <v>14.358952800000001</v>
      </c>
      <c r="Q1976">
        <f>0.0035599674*3600</f>
        <v>12.81588264</v>
      </c>
    </row>
    <row r="1977" spans="1:17" x14ac:dyDescent="0.3">
      <c r="A1977" s="4" t="s">
        <v>47</v>
      </c>
      <c r="B1977" s="6" t="s">
        <v>1655</v>
      </c>
      <c r="C1977">
        <v>298.82700599999998</v>
      </c>
      <c r="D1977">
        <v>295.11190699999997</v>
      </c>
      <c r="E1977">
        <v>1</v>
      </c>
      <c r="F1977">
        <v>1</v>
      </c>
      <c r="G1977">
        <v>0.26100000000000001</v>
      </c>
      <c r="H1977">
        <v>0</v>
      </c>
      <c r="I1977" t="s">
        <v>0</v>
      </c>
      <c r="J1977" t="s">
        <v>59</v>
      </c>
      <c r="K1977">
        <v>0</v>
      </c>
      <c r="L1977" t="s">
        <v>60</v>
      </c>
      <c r="M1977">
        <v>1</v>
      </c>
      <c r="N1977" t="s">
        <v>67</v>
      </c>
      <c r="O1977" s="2">
        <v>0.57222222222222219</v>
      </c>
      <c r="P1977">
        <f>0.0040491967*3600</f>
        <v>14.577108120000002</v>
      </c>
      <c r="Q1977">
        <f>0.0035442654*3600</f>
        <v>12.75935544</v>
      </c>
    </row>
    <row r="1978" spans="1:17" x14ac:dyDescent="0.3">
      <c r="A1978" s="4" t="s">
        <v>47</v>
      </c>
      <c r="B1978" s="6" t="s">
        <v>1656</v>
      </c>
      <c r="C1978">
        <v>298.82678299999998</v>
      </c>
      <c r="D1978">
        <v>295.11178899999999</v>
      </c>
      <c r="E1978">
        <v>1</v>
      </c>
      <c r="F1978">
        <v>1</v>
      </c>
      <c r="G1978">
        <v>0.26100000000000001</v>
      </c>
      <c r="H1978">
        <v>0</v>
      </c>
      <c r="I1978" t="s">
        <v>0</v>
      </c>
      <c r="J1978" t="s">
        <v>59</v>
      </c>
      <c r="K1978">
        <v>0</v>
      </c>
      <c r="L1978" t="s">
        <v>60</v>
      </c>
      <c r="M1978">
        <v>1</v>
      </c>
      <c r="N1978" t="s">
        <v>67</v>
      </c>
      <c r="O1978" s="2">
        <v>0.57222222222222219</v>
      </c>
      <c r="P1978">
        <f>0.0041026996*3600</f>
        <v>14.769718559999999</v>
      </c>
      <c r="Q1978">
        <f>0.0034785758*3600</f>
        <v>12.52287288</v>
      </c>
    </row>
    <row r="1979" spans="1:17" x14ac:dyDescent="0.3">
      <c r="A1979" s="4" t="s">
        <v>47</v>
      </c>
      <c r="B1979" s="6" t="s">
        <v>1657</v>
      </c>
      <c r="C1979">
        <v>298.82800800000001</v>
      </c>
      <c r="D1979">
        <v>295.11196699999999</v>
      </c>
      <c r="E1979">
        <v>1</v>
      </c>
      <c r="F1979">
        <v>1</v>
      </c>
      <c r="G1979">
        <v>0.26100000000000001</v>
      </c>
      <c r="H1979">
        <v>0</v>
      </c>
      <c r="I1979" t="s">
        <v>0</v>
      </c>
      <c r="J1979" t="s">
        <v>59</v>
      </c>
      <c r="K1979">
        <v>0</v>
      </c>
      <c r="L1979" t="s">
        <v>60</v>
      </c>
      <c r="M1979">
        <v>1</v>
      </c>
      <c r="N1979" t="s">
        <v>67</v>
      </c>
      <c r="O1979" s="2">
        <v>0.57222222222222219</v>
      </c>
      <c r="P1979">
        <f>0.0039908523*3600</f>
        <v>14.36706828</v>
      </c>
      <c r="Q1979">
        <f>0.0035605783*3600</f>
        <v>12.818081880000001</v>
      </c>
    </row>
    <row r="1980" spans="1:17" x14ac:dyDescent="0.3">
      <c r="A1980" s="4" t="s">
        <v>47</v>
      </c>
      <c r="B1980" s="6" t="s">
        <v>1658</v>
      </c>
      <c r="C1980">
        <v>298.82711999999998</v>
      </c>
      <c r="D1980">
        <v>295.11198999999999</v>
      </c>
      <c r="E1980">
        <v>1</v>
      </c>
      <c r="F1980">
        <v>1</v>
      </c>
      <c r="G1980">
        <v>0.26100000000000001</v>
      </c>
      <c r="H1980">
        <v>0</v>
      </c>
      <c r="I1980" t="s">
        <v>0</v>
      </c>
      <c r="J1980" t="s">
        <v>59</v>
      </c>
      <c r="K1980">
        <v>0</v>
      </c>
      <c r="L1980" t="s">
        <v>60</v>
      </c>
      <c r="M1980">
        <v>1</v>
      </c>
      <c r="N1980" t="s">
        <v>67</v>
      </c>
      <c r="O1980" s="2">
        <v>0.57291666666666663</v>
      </c>
      <c r="P1980">
        <f>0.0039967048*3600</f>
        <v>14.388137279999999</v>
      </c>
      <c r="Q1980">
        <f>0.0036146967*3600</f>
        <v>13.012908120000001</v>
      </c>
    </row>
    <row r="1981" spans="1:17" x14ac:dyDescent="0.3">
      <c r="A1981" s="4" t="s">
        <v>47</v>
      </c>
      <c r="B1981" s="6" t="s">
        <v>1659</v>
      </c>
      <c r="C1981">
        <v>298.82694900000001</v>
      </c>
      <c r="D1981">
        <v>295.11210499999999</v>
      </c>
      <c r="E1981">
        <v>1</v>
      </c>
      <c r="F1981">
        <v>1</v>
      </c>
      <c r="G1981">
        <v>0.26100000000000001</v>
      </c>
      <c r="H1981">
        <v>0</v>
      </c>
      <c r="I1981" t="s">
        <v>0</v>
      </c>
      <c r="J1981" t="s">
        <v>59</v>
      </c>
      <c r="K1981">
        <v>0</v>
      </c>
      <c r="L1981" t="s">
        <v>60</v>
      </c>
      <c r="M1981">
        <v>1</v>
      </c>
      <c r="N1981" t="s">
        <v>67</v>
      </c>
      <c r="O1981" s="2">
        <v>0.57291666666666663</v>
      </c>
      <c r="P1981">
        <f>0.0038500071*3600</f>
        <v>13.86002556</v>
      </c>
      <c r="Q1981">
        <f>0.0037107617*3600</f>
        <v>13.35874212</v>
      </c>
    </row>
    <row r="1982" spans="1:17" x14ac:dyDescent="0.3">
      <c r="A1982" s="4" t="s">
        <v>47</v>
      </c>
      <c r="B1982" s="6" t="s">
        <v>1660</v>
      </c>
      <c r="C1982">
        <v>298.82718599999998</v>
      </c>
      <c r="D1982">
        <v>295.11203599999999</v>
      </c>
      <c r="E1982">
        <v>1</v>
      </c>
      <c r="F1982">
        <v>1</v>
      </c>
      <c r="G1982">
        <v>0.26100000000000001</v>
      </c>
      <c r="H1982">
        <v>0</v>
      </c>
      <c r="I1982" t="s">
        <v>0</v>
      </c>
      <c r="J1982" t="s">
        <v>59</v>
      </c>
      <c r="K1982">
        <v>0</v>
      </c>
      <c r="L1982" t="s">
        <v>60</v>
      </c>
      <c r="M1982">
        <v>1</v>
      </c>
      <c r="N1982" t="s">
        <v>67</v>
      </c>
      <c r="O1982" s="2">
        <v>0.57291666666666663</v>
      </c>
      <c r="P1982">
        <f>0.0039222441*3600</f>
        <v>14.120078759999998</v>
      </c>
      <c r="Q1982">
        <f>0.0036246942*3600</f>
        <v>13.04889912</v>
      </c>
    </row>
    <row r="1983" spans="1:17" x14ac:dyDescent="0.3">
      <c r="A1983" s="4" t="s">
        <v>47</v>
      </c>
      <c r="B1983" s="6" t="s">
        <v>1661</v>
      </c>
      <c r="C1983">
        <v>298.826841</v>
      </c>
      <c r="D1983">
        <v>295.11203399999999</v>
      </c>
      <c r="E1983">
        <v>1</v>
      </c>
      <c r="F1983">
        <v>1</v>
      </c>
      <c r="G1983">
        <v>0.26100000000000001</v>
      </c>
      <c r="H1983">
        <v>0</v>
      </c>
      <c r="I1983" t="s">
        <v>0</v>
      </c>
      <c r="J1983" t="s">
        <v>59</v>
      </c>
      <c r="K1983">
        <v>0</v>
      </c>
      <c r="L1983" t="s">
        <v>60</v>
      </c>
      <c r="M1983">
        <v>1</v>
      </c>
      <c r="N1983" t="s">
        <v>67</v>
      </c>
      <c r="O1983" s="2">
        <v>0.57291666666666663</v>
      </c>
      <c r="P1983">
        <f>0.0038442285*3600</f>
        <v>13.839222599999999</v>
      </c>
      <c r="Q1983">
        <f>0.0036598111*3600</f>
        <v>13.175319959999999</v>
      </c>
    </row>
    <row r="1984" spans="1:17" x14ac:dyDescent="0.3">
      <c r="A1984" s="4" t="s">
        <v>47</v>
      </c>
      <c r="B1984" s="6" t="s">
        <v>1662</v>
      </c>
      <c r="C1984">
        <v>298.82742400000001</v>
      </c>
      <c r="D1984">
        <v>295.11204800000002</v>
      </c>
      <c r="E1984">
        <v>1</v>
      </c>
      <c r="F1984">
        <v>1</v>
      </c>
      <c r="G1984">
        <v>0.26100000000000001</v>
      </c>
      <c r="H1984">
        <v>0</v>
      </c>
      <c r="I1984" t="s">
        <v>0</v>
      </c>
      <c r="J1984" t="s">
        <v>59</v>
      </c>
      <c r="K1984">
        <v>0</v>
      </c>
      <c r="L1984" t="s">
        <v>60</v>
      </c>
      <c r="M1984">
        <v>1</v>
      </c>
      <c r="N1984" t="s">
        <v>67</v>
      </c>
      <c r="O1984" s="2">
        <v>0.57291666666666663</v>
      </c>
      <c r="P1984">
        <f>0.0038880939*3600</f>
        <v>13.997138039999999</v>
      </c>
      <c r="Q1984">
        <f>0.0036267809*3600</f>
        <v>13.056411239999999</v>
      </c>
    </row>
    <row r="1985" spans="1:17" x14ac:dyDescent="0.3">
      <c r="A1985" s="4" t="s">
        <v>47</v>
      </c>
      <c r="B1985" s="6" t="s">
        <v>1663</v>
      </c>
      <c r="C1985">
        <v>298.82752900000003</v>
      </c>
      <c r="D1985">
        <v>295.11198300000001</v>
      </c>
      <c r="E1985">
        <v>1</v>
      </c>
      <c r="F1985">
        <v>1</v>
      </c>
      <c r="G1985">
        <v>0.26100000000000001</v>
      </c>
      <c r="H1985">
        <v>0</v>
      </c>
      <c r="I1985" t="s">
        <v>0</v>
      </c>
      <c r="J1985" t="s">
        <v>59</v>
      </c>
      <c r="K1985">
        <v>0</v>
      </c>
      <c r="L1985" t="s">
        <v>60</v>
      </c>
      <c r="M1985">
        <v>1</v>
      </c>
      <c r="N1985" t="s">
        <v>67</v>
      </c>
      <c r="O1985" s="2">
        <v>0.57291666666666663</v>
      </c>
      <c r="P1985">
        <f>0.0038036067*3600</f>
        <v>13.69298412</v>
      </c>
      <c r="Q1985">
        <f>0.0035539196*3600</f>
        <v>12.79411056</v>
      </c>
    </row>
    <row r="1986" spans="1:17" x14ac:dyDescent="0.3">
      <c r="A1986" s="4" t="s">
        <v>47</v>
      </c>
      <c r="B1986" s="6" t="s">
        <v>1664</v>
      </c>
      <c r="C1986">
        <v>298.82718799999998</v>
      </c>
      <c r="D1986">
        <v>295.112033</v>
      </c>
      <c r="E1986">
        <v>1</v>
      </c>
      <c r="F1986">
        <v>1</v>
      </c>
      <c r="G1986">
        <v>0.26100000000000001</v>
      </c>
      <c r="H1986">
        <v>0</v>
      </c>
      <c r="I1986" t="s">
        <v>0</v>
      </c>
      <c r="J1986" t="s">
        <v>59</v>
      </c>
      <c r="K1986">
        <v>0</v>
      </c>
      <c r="L1986" t="s">
        <v>60</v>
      </c>
      <c r="M1986">
        <v>1</v>
      </c>
      <c r="N1986" t="s">
        <v>67</v>
      </c>
      <c r="O1986" s="2">
        <v>0.57291666666666663</v>
      </c>
      <c r="P1986">
        <f>0.0038484635*3600</f>
        <v>13.854468600000001</v>
      </c>
      <c r="Q1986">
        <f>0.0036358384*3600</f>
        <v>13.08901824</v>
      </c>
    </row>
    <row r="1987" spans="1:17" x14ac:dyDescent="0.3">
      <c r="A1987" s="4" t="s">
        <v>47</v>
      </c>
      <c r="B1987" s="6" t="s">
        <v>1665</v>
      </c>
      <c r="C1987">
        <v>298.82733899999999</v>
      </c>
      <c r="D1987">
        <v>295.11191200000002</v>
      </c>
      <c r="E1987">
        <v>1</v>
      </c>
      <c r="F1987">
        <v>1</v>
      </c>
      <c r="G1987">
        <v>0.26100000000000001</v>
      </c>
      <c r="H1987">
        <v>0</v>
      </c>
      <c r="I1987" t="s">
        <v>0</v>
      </c>
      <c r="J1987" t="s">
        <v>59</v>
      </c>
      <c r="K1987">
        <v>0</v>
      </c>
      <c r="L1987" t="s">
        <v>60</v>
      </c>
      <c r="M1987">
        <v>1</v>
      </c>
      <c r="N1987" t="s">
        <v>67</v>
      </c>
      <c r="O1987" s="2">
        <v>0.57291666666666663</v>
      </c>
      <c r="P1987">
        <f>0.0038398335*3600</f>
        <v>13.823400600000001</v>
      </c>
      <c r="Q1987">
        <f>0.0035069866*3600</f>
        <v>12.62515176</v>
      </c>
    </row>
    <row r="1988" spans="1:17" x14ac:dyDescent="0.3">
      <c r="A1988" s="4" t="s">
        <v>47</v>
      </c>
      <c r="B1988" s="6" t="s">
        <v>1666</v>
      </c>
      <c r="C1988">
        <v>298.827134</v>
      </c>
      <c r="D1988">
        <v>295.11207899999999</v>
      </c>
      <c r="E1988">
        <v>1</v>
      </c>
      <c r="F1988">
        <v>1</v>
      </c>
      <c r="G1988">
        <v>0.26100000000000001</v>
      </c>
      <c r="H1988">
        <v>0</v>
      </c>
      <c r="I1988" t="s">
        <v>0</v>
      </c>
      <c r="J1988" t="s">
        <v>59</v>
      </c>
      <c r="K1988">
        <v>0</v>
      </c>
      <c r="L1988" t="s">
        <v>60</v>
      </c>
      <c r="M1988">
        <v>1</v>
      </c>
      <c r="N1988" t="s">
        <v>67</v>
      </c>
      <c r="O1988" s="2">
        <v>0.57291666666666663</v>
      </c>
      <c r="P1988">
        <f>0.0039007243*3600</f>
        <v>14.042607480000001</v>
      </c>
      <c r="Q1988">
        <f>0.0036736273*3600</f>
        <v>13.225058280000001</v>
      </c>
    </row>
    <row r="1989" spans="1:17" x14ac:dyDescent="0.3">
      <c r="A1989" s="4" t="s">
        <v>47</v>
      </c>
      <c r="B1989" s="6" t="s">
        <v>1667</v>
      </c>
      <c r="C1989">
        <v>298.82740100000001</v>
      </c>
      <c r="D1989">
        <v>295.11192599999998</v>
      </c>
      <c r="E1989">
        <v>1</v>
      </c>
      <c r="F1989">
        <v>1</v>
      </c>
      <c r="G1989">
        <v>0.26100000000000001</v>
      </c>
      <c r="H1989">
        <v>0</v>
      </c>
      <c r="I1989" t="s">
        <v>0</v>
      </c>
      <c r="J1989" t="s">
        <v>59</v>
      </c>
      <c r="K1989">
        <v>0</v>
      </c>
      <c r="L1989" t="s">
        <v>60</v>
      </c>
      <c r="M1989">
        <v>1</v>
      </c>
      <c r="N1989" t="s">
        <v>67</v>
      </c>
      <c r="O1989" s="2">
        <v>0.57291666666666663</v>
      </c>
      <c r="P1989">
        <f>0.0039432102*3600</f>
        <v>14.195556720000001</v>
      </c>
      <c r="Q1989">
        <f>0.0035403417*3600</f>
        <v>12.74523012</v>
      </c>
    </row>
    <row r="1990" spans="1:17" x14ac:dyDescent="0.3">
      <c r="A1990" s="4" t="s">
        <v>47</v>
      </c>
      <c r="B1990" s="6" t="s">
        <v>1668</v>
      </c>
      <c r="C1990">
        <v>298.82721199999997</v>
      </c>
      <c r="D1990">
        <v>295.11194</v>
      </c>
      <c r="E1990">
        <v>1</v>
      </c>
      <c r="F1990">
        <v>1</v>
      </c>
      <c r="G1990">
        <v>0.26100000000000001</v>
      </c>
      <c r="H1990">
        <v>0</v>
      </c>
      <c r="I1990" t="s">
        <v>0</v>
      </c>
      <c r="J1990" t="s">
        <v>59</v>
      </c>
      <c r="K1990">
        <v>0</v>
      </c>
      <c r="L1990" t="s">
        <v>60</v>
      </c>
      <c r="M1990">
        <v>1</v>
      </c>
      <c r="N1990" t="s">
        <v>67</v>
      </c>
      <c r="O1990" s="2">
        <v>0.57291666666666663</v>
      </c>
      <c r="P1990">
        <f>0.0038770037*3600</f>
        <v>13.957213320000001</v>
      </c>
      <c r="Q1990">
        <f>0.0035039675*3600</f>
        <v>12.614283</v>
      </c>
    </row>
    <row r="1991" spans="1:17" x14ac:dyDescent="0.3">
      <c r="A1991" s="4" t="s">
        <v>47</v>
      </c>
      <c r="B1991" s="6" t="s">
        <v>1669</v>
      </c>
      <c r="C1991">
        <v>298.82751300000001</v>
      </c>
      <c r="D1991">
        <v>295.11192199999999</v>
      </c>
      <c r="E1991">
        <v>1</v>
      </c>
      <c r="F1991">
        <v>1</v>
      </c>
      <c r="G1991">
        <v>0.26100000000000001</v>
      </c>
      <c r="H1991">
        <v>0</v>
      </c>
      <c r="I1991" t="s">
        <v>0</v>
      </c>
      <c r="J1991" t="s">
        <v>59</v>
      </c>
      <c r="K1991">
        <v>0</v>
      </c>
      <c r="L1991" t="s">
        <v>60</v>
      </c>
      <c r="M1991">
        <v>1</v>
      </c>
      <c r="N1991" t="s">
        <v>67</v>
      </c>
      <c r="O1991" s="2">
        <v>0.57291666666666663</v>
      </c>
      <c r="P1991">
        <f>0.0038481986*3600</f>
        <v>13.85351496</v>
      </c>
      <c r="Q1991">
        <f>0.0034982878*3600</f>
        <v>12.593836079999999</v>
      </c>
    </row>
    <row r="1992" spans="1:17" x14ac:dyDescent="0.3">
      <c r="A1992" s="4" t="s">
        <v>47</v>
      </c>
      <c r="B1992" s="6" t="s">
        <v>1670</v>
      </c>
      <c r="C1992">
        <v>298.82753300000002</v>
      </c>
      <c r="D1992">
        <v>295.111942</v>
      </c>
      <c r="E1992">
        <v>1</v>
      </c>
      <c r="F1992">
        <v>1</v>
      </c>
      <c r="G1992">
        <v>0.26100000000000001</v>
      </c>
      <c r="H1992">
        <v>0</v>
      </c>
      <c r="I1992" t="s">
        <v>0</v>
      </c>
      <c r="J1992" t="s">
        <v>59</v>
      </c>
      <c r="K1992">
        <v>0</v>
      </c>
      <c r="L1992" t="s">
        <v>60</v>
      </c>
      <c r="M1992">
        <v>1</v>
      </c>
      <c r="N1992" t="s">
        <v>67</v>
      </c>
      <c r="O1992" s="2">
        <v>0.57291666666666663</v>
      </c>
      <c r="P1992">
        <f>0.0038809233*3600</f>
        <v>13.97132388</v>
      </c>
      <c r="Q1992">
        <f>0.0035141454*3600</f>
        <v>12.65092344</v>
      </c>
    </row>
    <row r="1993" spans="1:17" x14ac:dyDescent="0.3">
      <c r="A1993" s="4" t="s">
        <v>47</v>
      </c>
      <c r="B1993" s="6" t="s">
        <v>1671</v>
      </c>
      <c r="C1993">
        <v>298.827609</v>
      </c>
      <c r="D1993">
        <v>295.11196899999999</v>
      </c>
      <c r="E1993">
        <v>1</v>
      </c>
      <c r="F1993">
        <v>1</v>
      </c>
      <c r="G1993">
        <v>0.26100000000000001</v>
      </c>
      <c r="H1993">
        <v>0</v>
      </c>
      <c r="I1993" t="s">
        <v>0</v>
      </c>
      <c r="J1993" t="s">
        <v>59</v>
      </c>
      <c r="K1993">
        <v>0</v>
      </c>
      <c r="L1993" t="s">
        <v>60</v>
      </c>
      <c r="M1993">
        <v>1</v>
      </c>
      <c r="N1993" t="s">
        <v>67</v>
      </c>
      <c r="O1993" s="2">
        <v>0.57291666666666663</v>
      </c>
      <c r="P1993">
        <f>0.0038856973*3600</f>
        <v>13.98851028</v>
      </c>
      <c r="Q1993">
        <f>0.0035248785*3600</f>
        <v>12.6895626</v>
      </c>
    </row>
    <row r="1994" spans="1:17" x14ac:dyDescent="0.3">
      <c r="A1994" s="4" t="s">
        <v>47</v>
      </c>
      <c r="B1994" s="6" t="s">
        <v>1672</v>
      </c>
      <c r="C1994">
        <v>298.82793400000003</v>
      </c>
      <c r="D1994">
        <v>295.11186900000001</v>
      </c>
      <c r="E1994">
        <v>1</v>
      </c>
      <c r="F1994">
        <v>1</v>
      </c>
      <c r="G1994">
        <v>0.26100000000000001</v>
      </c>
      <c r="H1994">
        <v>0</v>
      </c>
      <c r="I1994" t="s">
        <v>0</v>
      </c>
      <c r="J1994" t="s">
        <v>59</v>
      </c>
      <c r="K1994">
        <v>0</v>
      </c>
      <c r="L1994" t="s">
        <v>60</v>
      </c>
      <c r="M1994">
        <v>1</v>
      </c>
      <c r="N1994" t="s">
        <v>67</v>
      </c>
      <c r="O1994" s="2">
        <v>0.57291666666666663</v>
      </c>
      <c r="P1994">
        <f>0.0039482048*3600</f>
        <v>14.213537279999999</v>
      </c>
      <c r="Q1994">
        <f>0.0034092482*3600</f>
        <v>12.273293520000001</v>
      </c>
    </row>
    <row r="1995" spans="1:17" x14ac:dyDescent="0.3">
      <c r="A1995" s="4" t="s">
        <v>47</v>
      </c>
      <c r="B1995" s="6" t="s">
        <v>1673</v>
      </c>
      <c r="C1995">
        <v>298.82742000000002</v>
      </c>
      <c r="D1995">
        <v>295.11172499999998</v>
      </c>
      <c r="E1995">
        <v>1</v>
      </c>
      <c r="F1995">
        <v>1</v>
      </c>
      <c r="G1995">
        <v>0.26100000000000001</v>
      </c>
      <c r="H1995">
        <v>0</v>
      </c>
      <c r="I1995" t="s">
        <v>0</v>
      </c>
      <c r="J1995" t="s">
        <v>59</v>
      </c>
      <c r="K1995">
        <v>0</v>
      </c>
      <c r="L1995" t="s">
        <v>60</v>
      </c>
      <c r="M1995">
        <v>1</v>
      </c>
      <c r="N1995" t="s">
        <v>67</v>
      </c>
      <c r="O1995" s="2">
        <v>0.57291666666666663</v>
      </c>
      <c r="P1995">
        <f>0.0039609455*3600</f>
        <v>14.259403800000001</v>
      </c>
      <c r="Q1995">
        <f>0.0032855255*3600</f>
        <v>11.8278918</v>
      </c>
    </row>
    <row r="1996" spans="1:17" x14ac:dyDescent="0.3">
      <c r="A1996" s="4" t="s">
        <v>47</v>
      </c>
      <c r="B1996" s="6" t="s">
        <v>1674</v>
      </c>
      <c r="C1996">
        <v>298.82760400000001</v>
      </c>
      <c r="D1996">
        <v>295.11194899999998</v>
      </c>
      <c r="E1996">
        <v>1</v>
      </c>
      <c r="F1996">
        <v>1</v>
      </c>
      <c r="G1996">
        <v>0.26100000000000001</v>
      </c>
      <c r="H1996">
        <v>0</v>
      </c>
      <c r="I1996" t="s">
        <v>0</v>
      </c>
      <c r="J1996" t="s">
        <v>59</v>
      </c>
      <c r="K1996">
        <v>0</v>
      </c>
      <c r="L1996" t="s">
        <v>60</v>
      </c>
      <c r="M1996">
        <v>1</v>
      </c>
      <c r="N1996" t="s">
        <v>67</v>
      </c>
      <c r="O1996" s="2">
        <v>0.57291666666666663</v>
      </c>
      <c r="P1996">
        <f>0.0040046147*3600</f>
        <v>14.41661292</v>
      </c>
      <c r="Q1996">
        <f>0.0035653895*3600</f>
        <v>12.835402200000001</v>
      </c>
    </row>
    <row r="1997" spans="1:17" x14ac:dyDescent="0.3">
      <c r="A1997" s="4" t="s">
        <v>47</v>
      </c>
      <c r="B1997" s="6" t="s">
        <v>1675</v>
      </c>
      <c r="C1997">
        <v>298.827336</v>
      </c>
      <c r="D1997">
        <v>295.11187999999999</v>
      </c>
      <c r="E1997">
        <v>1</v>
      </c>
      <c r="F1997">
        <v>1</v>
      </c>
      <c r="G1997">
        <v>0.26100000000000001</v>
      </c>
      <c r="H1997">
        <v>0</v>
      </c>
      <c r="I1997" t="s">
        <v>0</v>
      </c>
      <c r="J1997" t="s">
        <v>59</v>
      </c>
      <c r="K1997">
        <v>0</v>
      </c>
      <c r="L1997" t="s">
        <v>60</v>
      </c>
      <c r="M1997">
        <v>1</v>
      </c>
      <c r="N1997" t="s">
        <v>67</v>
      </c>
      <c r="O1997" s="2">
        <v>0.57291666666666663</v>
      </c>
      <c r="P1997">
        <f>0.0039054368*3600</f>
        <v>14.05957248</v>
      </c>
      <c r="Q1997">
        <f>0.0034332936*3600</f>
        <v>12.35985696</v>
      </c>
    </row>
    <row r="1998" spans="1:17" x14ac:dyDescent="0.3">
      <c r="A1998" s="4" t="s">
        <v>47</v>
      </c>
      <c r="B1998" s="6" t="s">
        <v>1676</v>
      </c>
      <c r="C1998">
        <v>298.82745399999999</v>
      </c>
      <c r="D1998">
        <v>295.11180899999999</v>
      </c>
      <c r="E1998">
        <v>1</v>
      </c>
      <c r="F1998">
        <v>1</v>
      </c>
      <c r="G1998">
        <v>0.26100000000000001</v>
      </c>
      <c r="H1998">
        <v>0</v>
      </c>
      <c r="I1998" t="s">
        <v>0</v>
      </c>
      <c r="J1998" t="s">
        <v>59</v>
      </c>
      <c r="K1998">
        <v>0</v>
      </c>
      <c r="L1998" t="s">
        <v>60</v>
      </c>
      <c r="M1998">
        <v>1</v>
      </c>
      <c r="N1998" t="s">
        <v>67</v>
      </c>
      <c r="O1998" s="2">
        <v>0.57291666666666663</v>
      </c>
      <c r="P1998">
        <f>0.0039171673*3600</f>
        <v>14.101802279999999</v>
      </c>
      <c r="Q1998">
        <f>0.0033726587*3600</f>
        <v>12.141571320000001</v>
      </c>
    </row>
    <row r="1999" spans="1:17" x14ac:dyDescent="0.3">
      <c r="A1999" s="4" t="s">
        <v>47</v>
      </c>
      <c r="B1999" s="6" t="s">
        <v>1677</v>
      </c>
      <c r="C1999">
        <v>298.827178</v>
      </c>
      <c r="D1999">
        <v>295.11206299999998</v>
      </c>
      <c r="E1999">
        <v>1</v>
      </c>
      <c r="F1999">
        <v>1</v>
      </c>
      <c r="G1999">
        <v>0.26100000000000001</v>
      </c>
      <c r="H1999">
        <v>0</v>
      </c>
      <c r="I1999" t="s">
        <v>0</v>
      </c>
      <c r="J1999" t="s">
        <v>59</v>
      </c>
      <c r="K1999">
        <v>0</v>
      </c>
      <c r="L1999" t="s">
        <v>60</v>
      </c>
      <c r="M1999">
        <v>1</v>
      </c>
      <c r="N1999" t="s">
        <v>67</v>
      </c>
      <c r="O1999" s="2">
        <v>0.57291666666666663</v>
      </c>
      <c r="P1999">
        <f>0.0040380944*3600</f>
        <v>14.53713984</v>
      </c>
      <c r="Q1999">
        <f>0.0036347925*3600</f>
        <v>13.085253</v>
      </c>
    </row>
    <row r="2000" spans="1:17" x14ac:dyDescent="0.3">
      <c r="A2000" s="4" t="s">
        <v>47</v>
      </c>
      <c r="B2000" s="6" t="s">
        <v>1678</v>
      </c>
      <c r="C2000">
        <v>298.827381</v>
      </c>
      <c r="D2000">
        <v>295.11185399999999</v>
      </c>
      <c r="E2000">
        <v>1</v>
      </c>
      <c r="F2000">
        <v>1</v>
      </c>
      <c r="G2000">
        <v>0.26100000000000001</v>
      </c>
      <c r="H2000">
        <v>0</v>
      </c>
      <c r="I2000" t="s">
        <v>0</v>
      </c>
      <c r="J2000" t="s">
        <v>59</v>
      </c>
      <c r="K2000">
        <v>0</v>
      </c>
      <c r="L2000" t="s">
        <v>60</v>
      </c>
      <c r="M2000">
        <v>1</v>
      </c>
      <c r="N2000" t="s">
        <v>67</v>
      </c>
      <c r="O2000" s="2">
        <v>0.57291666666666663</v>
      </c>
      <c r="P2000">
        <f>0.0039554059*3600</f>
        <v>14.239461240000001</v>
      </c>
      <c r="Q2000">
        <f>0.0034181036*3600</f>
        <v>12.30517296</v>
      </c>
    </row>
    <row r="2001" spans="1:18" x14ac:dyDescent="0.3">
      <c r="A2001" s="4" t="s">
        <v>47</v>
      </c>
      <c r="B2001" s="5" t="s">
        <v>49</v>
      </c>
      <c r="C2001">
        <v>202.350053</v>
      </c>
      <c r="D2001">
        <v>99.289783999999997</v>
      </c>
      <c r="E2001">
        <v>502.99799999999999</v>
      </c>
      <c r="F2001">
        <v>502.87639999999999</v>
      </c>
      <c r="G2001">
        <v>0.26100000000000001</v>
      </c>
      <c r="H2001">
        <v>1.746</v>
      </c>
      <c r="I2001" t="s">
        <v>0</v>
      </c>
      <c r="J2001" t="s">
        <v>50</v>
      </c>
      <c r="K2001" t="s">
        <v>51</v>
      </c>
      <c r="L2001">
        <v>0</v>
      </c>
      <c r="M2001" t="s">
        <v>52</v>
      </c>
      <c r="N2001">
        <v>1</v>
      </c>
      <c r="O2001" t="s">
        <v>53</v>
      </c>
      <c r="P2001" s="2">
        <v>0.57430555555555551</v>
      </c>
      <c r="Q2001">
        <f>0.0045775219*3600</f>
        <v>16.47907884</v>
      </c>
      <c r="R2001">
        <f>-0.005737096*3600</f>
        <v>-20.653545599999998</v>
      </c>
    </row>
    <row r="2002" spans="1:18" x14ac:dyDescent="0.3">
      <c r="A2002" s="4" t="s">
        <v>47</v>
      </c>
      <c r="B2002" s="6" t="s">
        <v>49</v>
      </c>
      <c r="C2002">
        <v>2.3506420000000001</v>
      </c>
      <c r="D2002">
        <v>300.70907999999997</v>
      </c>
      <c r="E2002">
        <v>502.99860000000001</v>
      </c>
      <c r="F2002">
        <v>502.87709999999998</v>
      </c>
      <c r="G2002">
        <v>0.26100000000000001</v>
      </c>
      <c r="H2002">
        <v>1.746</v>
      </c>
      <c r="I2002" t="s">
        <v>0</v>
      </c>
      <c r="J2002" t="s">
        <v>50</v>
      </c>
      <c r="K2002" t="s">
        <v>51</v>
      </c>
      <c r="L2002">
        <v>0</v>
      </c>
      <c r="M2002" t="s">
        <v>52</v>
      </c>
      <c r="N2002">
        <v>1</v>
      </c>
      <c r="O2002" t="s">
        <v>53</v>
      </c>
      <c r="P2002" s="2">
        <v>0.57430555555555551</v>
      </c>
      <c r="Q2002">
        <f>-0.0053828904*3600</f>
        <v>-19.378405439999998</v>
      </c>
      <c r="R2002">
        <f>0.0043995299*3600</f>
        <v>15.83830764</v>
      </c>
    </row>
    <row r="2003" spans="1:18" x14ac:dyDescent="0.3">
      <c r="A2003" s="4" t="s">
        <v>47</v>
      </c>
      <c r="B2003" s="5" t="s">
        <v>57</v>
      </c>
      <c r="C2003">
        <v>1.2845489999999999</v>
      </c>
      <c r="D2003">
        <v>99.158367999999996</v>
      </c>
      <c r="E2003">
        <v>37.385800000000003</v>
      </c>
      <c r="F2003">
        <v>37.375799999999998</v>
      </c>
      <c r="G2003">
        <v>0.26100000000000001</v>
      </c>
      <c r="H2003">
        <v>0</v>
      </c>
      <c r="I2003" t="s">
        <v>0</v>
      </c>
      <c r="J2003" t="s">
        <v>50</v>
      </c>
      <c r="K2003" t="s">
        <v>51</v>
      </c>
      <c r="L2003">
        <v>0</v>
      </c>
      <c r="M2003" t="s">
        <v>52</v>
      </c>
      <c r="N2003">
        <v>1</v>
      </c>
      <c r="O2003" t="s">
        <v>53</v>
      </c>
      <c r="P2003" s="2">
        <v>0.57500000000000007</v>
      </c>
      <c r="Q2003">
        <f>-0.0009320574*3600</f>
        <v>-3.35540664</v>
      </c>
      <c r="R2003">
        <f>-0.0005593534*3600</f>
        <v>-2.01367224</v>
      </c>
    </row>
    <row r="2004" spans="1:18" x14ac:dyDescent="0.3">
      <c r="A2004" s="4"/>
      <c r="B2004" s="6"/>
      <c r="P2004" s="2"/>
    </row>
    <row r="2005" spans="1:18" x14ac:dyDescent="0.3">
      <c r="A2005" s="4" t="s">
        <v>47</v>
      </c>
      <c r="B2005" s="5" t="s">
        <v>1377</v>
      </c>
      <c r="C2005">
        <v>1.2845489999999999</v>
      </c>
      <c r="D2005">
        <v>99.158367999999996</v>
      </c>
      <c r="E2005">
        <v>37.385800000000003</v>
      </c>
      <c r="F2005">
        <v>37.375799999999998</v>
      </c>
      <c r="G2005">
        <v>0.26100000000000001</v>
      </c>
      <c r="H2005">
        <v>0</v>
      </c>
      <c r="I2005" t="s">
        <v>0</v>
      </c>
      <c r="J2005" t="s">
        <v>50</v>
      </c>
      <c r="K2005" t="s">
        <v>51</v>
      </c>
      <c r="L2005">
        <v>0</v>
      </c>
      <c r="M2005" t="s">
        <v>52</v>
      </c>
      <c r="N2005">
        <v>1</v>
      </c>
      <c r="O2005" t="s">
        <v>53</v>
      </c>
      <c r="P2005" s="2">
        <v>0.57500000000000007</v>
      </c>
      <c r="Q2005">
        <f>-0.0009320574*3600</f>
        <v>-3.35540664</v>
      </c>
      <c r="R2005">
        <f>-0.0005593534*3600</f>
        <v>-2.01367224</v>
      </c>
    </row>
    <row r="2006" spans="1:18" x14ac:dyDescent="0.3">
      <c r="A2006" s="4" t="s">
        <v>47</v>
      </c>
      <c r="B2006" s="5" t="s">
        <v>1378</v>
      </c>
      <c r="C2006">
        <v>99.122551000000001</v>
      </c>
      <c r="D2006">
        <v>108.81637600000001</v>
      </c>
      <c r="E2006">
        <v>1</v>
      </c>
      <c r="F2006">
        <v>1</v>
      </c>
      <c r="G2006">
        <v>0.26100000000000001</v>
      </c>
      <c r="H2006">
        <v>0</v>
      </c>
      <c r="I2006" t="s">
        <v>0</v>
      </c>
      <c r="J2006" t="s">
        <v>59</v>
      </c>
      <c r="K2006">
        <v>0</v>
      </c>
      <c r="L2006" t="s">
        <v>60</v>
      </c>
      <c r="M2006">
        <v>1</v>
      </c>
      <c r="N2006" t="s">
        <v>67</v>
      </c>
      <c r="O2006" s="2">
        <v>0.5756944444444444</v>
      </c>
      <c r="P2006">
        <f>-0.005129017*3600</f>
        <v>-18.464461199999999</v>
      </c>
      <c r="Q2006">
        <f>-0.0044572931*3600</f>
        <v>-16.046255159999998</v>
      </c>
    </row>
    <row r="2007" spans="1:18" x14ac:dyDescent="0.3">
      <c r="A2007" s="4" t="s">
        <v>47</v>
      </c>
      <c r="B2007" s="5" t="s">
        <v>1379</v>
      </c>
      <c r="C2007">
        <v>99.122409000000005</v>
      </c>
      <c r="D2007">
        <v>108.816303</v>
      </c>
      <c r="E2007">
        <v>1</v>
      </c>
      <c r="F2007">
        <v>1</v>
      </c>
      <c r="G2007">
        <v>0.26100000000000001</v>
      </c>
      <c r="H2007">
        <v>0</v>
      </c>
      <c r="I2007" t="s">
        <v>0</v>
      </c>
      <c r="J2007" t="s">
        <v>59</v>
      </c>
      <c r="K2007">
        <v>0</v>
      </c>
      <c r="L2007" t="s">
        <v>60</v>
      </c>
      <c r="M2007">
        <v>1</v>
      </c>
      <c r="N2007" t="s">
        <v>67</v>
      </c>
      <c r="O2007" s="2">
        <v>0.5756944444444444</v>
      </c>
      <c r="P2007">
        <f>-0.0053465205*3600</f>
        <v>-19.247473800000002</v>
      </c>
      <c r="Q2007">
        <f>-0.0045126788*3600</f>
        <v>-16.245643680000001</v>
      </c>
    </row>
    <row r="2008" spans="1:18" x14ac:dyDescent="0.3">
      <c r="A2008" s="4" t="s">
        <v>47</v>
      </c>
      <c r="B2008" s="5" t="s">
        <v>1380</v>
      </c>
      <c r="C2008">
        <v>99.122795999999994</v>
      </c>
      <c r="D2008">
        <v>108.816318</v>
      </c>
      <c r="E2008">
        <v>1</v>
      </c>
      <c r="F2008">
        <v>1</v>
      </c>
      <c r="G2008">
        <v>0.26100000000000001</v>
      </c>
      <c r="H2008">
        <v>0</v>
      </c>
      <c r="I2008" t="s">
        <v>0</v>
      </c>
      <c r="J2008" t="s">
        <v>59</v>
      </c>
      <c r="K2008">
        <v>0</v>
      </c>
      <c r="L2008" t="s">
        <v>60</v>
      </c>
      <c r="M2008">
        <v>1</v>
      </c>
      <c r="N2008" t="s">
        <v>67</v>
      </c>
      <c r="O2008" s="2">
        <v>0.5756944444444444</v>
      </c>
      <c r="P2008">
        <f>-0.0053742213*3600</f>
        <v>-19.34719668</v>
      </c>
      <c r="Q2008">
        <f>-0.004454593*3600</f>
        <v>-16.036534799999998</v>
      </c>
    </row>
    <row r="2009" spans="1:18" x14ac:dyDescent="0.3">
      <c r="A2009" s="4" t="s">
        <v>47</v>
      </c>
      <c r="B2009" s="5" t="s">
        <v>1381</v>
      </c>
      <c r="C2009">
        <v>99.122456999999997</v>
      </c>
      <c r="D2009">
        <v>108.816119</v>
      </c>
      <c r="E2009">
        <v>1</v>
      </c>
      <c r="F2009">
        <v>1</v>
      </c>
      <c r="G2009">
        <v>0.26100000000000001</v>
      </c>
      <c r="H2009">
        <v>0</v>
      </c>
      <c r="I2009" t="s">
        <v>0</v>
      </c>
      <c r="J2009" t="s">
        <v>59</v>
      </c>
      <c r="K2009">
        <v>0</v>
      </c>
      <c r="L2009" t="s">
        <v>60</v>
      </c>
      <c r="M2009">
        <v>1</v>
      </c>
      <c r="N2009" t="s">
        <v>67</v>
      </c>
      <c r="O2009" s="2">
        <v>0.5756944444444444</v>
      </c>
      <c r="P2009">
        <f>-0.0054029933*3600</f>
        <v>-19.450775879999998</v>
      </c>
      <c r="Q2009">
        <f>-0.0046575128*3600</f>
        <v>-16.76704608</v>
      </c>
    </row>
    <row r="2010" spans="1:18" x14ac:dyDescent="0.3">
      <c r="A2010" s="4" t="s">
        <v>47</v>
      </c>
      <c r="B2010" s="5" t="s">
        <v>1382</v>
      </c>
      <c r="C2010">
        <v>99.122742000000002</v>
      </c>
      <c r="D2010">
        <v>108.816239</v>
      </c>
      <c r="E2010">
        <v>1</v>
      </c>
      <c r="F2010">
        <v>1</v>
      </c>
      <c r="G2010">
        <v>0.26100000000000001</v>
      </c>
      <c r="H2010">
        <v>0</v>
      </c>
      <c r="I2010" t="s">
        <v>0</v>
      </c>
      <c r="J2010" t="s">
        <v>59</v>
      </c>
      <c r="K2010">
        <v>0</v>
      </c>
      <c r="L2010" t="s">
        <v>60</v>
      </c>
      <c r="M2010">
        <v>1</v>
      </c>
      <c r="N2010" t="s">
        <v>67</v>
      </c>
      <c r="O2010" s="2">
        <v>0.5756944444444444</v>
      </c>
      <c r="P2010">
        <f>-0.0054354056*3600</f>
        <v>-19.56746016</v>
      </c>
      <c r="Q2010">
        <f>-0.004528862*3600</f>
        <v>-16.303903200000001</v>
      </c>
    </row>
    <row r="2011" spans="1:18" x14ac:dyDescent="0.3">
      <c r="A2011" s="4" t="s">
        <v>47</v>
      </c>
      <c r="B2011" s="5" t="s">
        <v>1383</v>
      </c>
      <c r="C2011">
        <v>99.122416000000001</v>
      </c>
      <c r="D2011">
        <v>108.81615600000001</v>
      </c>
      <c r="E2011">
        <v>1</v>
      </c>
      <c r="F2011">
        <v>1</v>
      </c>
      <c r="G2011">
        <v>0.26100000000000001</v>
      </c>
      <c r="H2011">
        <v>0</v>
      </c>
      <c r="I2011" t="s">
        <v>0</v>
      </c>
      <c r="J2011" t="s">
        <v>59</v>
      </c>
      <c r="K2011">
        <v>0</v>
      </c>
      <c r="L2011" t="s">
        <v>60</v>
      </c>
      <c r="M2011">
        <v>1</v>
      </c>
      <c r="N2011" t="s">
        <v>67</v>
      </c>
      <c r="O2011" s="2">
        <v>0.5756944444444444</v>
      </c>
      <c r="P2011">
        <f>-0.0054089313*3600</f>
        <v>-19.472152680000001</v>
      </c>
      <c r="Q2011">
        <f>-0.004614498*3600</f>
        <v>-16.612192799999999</v>
      </c>
    </row>
    <row r="2012" spans="1:18" x14ac:dyDescent="0.3">
      <c r="A2012" s="4" t="s">
        <v>47</v>
      </c>
      <c r="B2012" s="5" t="s">
        <v>1384</v>
      </c>
      <c r="C2012">
        <v>99.122337000000002</v>
      </c>
      <c r="D2012">
        <v>108.816164</v>
      </c>
      <c r="E2012">
        <v>1</v>
      </c>
      <c r="F2012">
        <v>1</v>
      </c>
      <c r="G2012">
        <v>0.26100000000000001</v>
      </c>
      <c r="H2012">
        <v>0</v>
      </c>
      <c r="I2012" t="s">
        <v>0</v>
      </c>
      <c r="J2012" t="s">
        <v>59</v>
      </c>
      <c r="K2012">
        <v>0</v>
      </c>
      <c r="L2012" t="s">
        <v>60</v>
      </c>
      <c r="M2012">
        <v>1</v>
      </c>
      <c r="N2012" t="s">
        <v>67</v>
      </c>
      <c r="O2012" s="2">
        <v>0.5756944444444444</v>
      </c>
      <c r="P2012">
        <f>-0.0054652746*3600</f>
        <v>-19.674988559999999</v>
      </c>
      <c r="Q2012">
        <f>-0.004594706*3600</f>
        <v>-16.5409416</v>
      </c>
    </row>
    <row r="2013" spans="1:18" x14ac:dyDescent="0.3">
      <c r="A2013" s="4" t="s">
        <v>47</v>
      </c>
      <c r="B2013" s="5" t="s">
        <v>1385</v>
      </c>
      <c r="C2013">
        <v>99.122333999999995</v>
      </c>
      <c r="D2013">
        <v>108.81625</v>
      </c>
      <c r="E2013">
        <v>1</v>
      </c>
      <c r="F2013">
        <v>1</v>
      </c>
      <c r="G2013">
        <v>0.26100000000000001</v>
      </c>
      <c r="H2013">
        <v>0</v>
      </c>
      <c r="I2013" t="s">
        <v>0</v>
      </c>
      <c r="J2013" t="s">
        <v>59</v>
      </c>
      <c r="K2013">
        <v>0</v>
      </c>
      <c r="L2013" t="s">
        <v>60</v>
      </c>
      <c r="M2013">
        <v>1</v>
      </c>
      <c r="N2013" t="s">
        <v>67</v>
      </c>
      <c r="O2013" s="2">
        <v>0.5756944444444444</v>
      </c>
      <c r="P2013">
        <f>-0.0054494442*3600</f>
        <v>-19.61799912</v>
      </c>
      <c r="Q2013">
        <f>-0.0045022554*3600</f>
        <v>-16.208119440000001</v>
      </c>
    </row>
    <row r="2014" spans="1:18" x14ac:dyDescent="0.3">
      <c r="A2014" s="4" t="s">
        <v>47</v>
      </c>
      <c r="B2014" s="5" t="s">
        <v>1386</v>
      </c>
      <c r="C2014">
        <v>99.122234000000006</v>
      </c>
      <c r="D2014">
        <v>108.816113</v>
      </c>
      <c r="E2014">
        <v>1</v>
      </c>
      <c r="F2014">
        <v>1</v>
      </c>
      <c r="G2014">
        <v>0.26100000000000001</v>
      </c>
      <c r="H2014">
        <v>0</v>
      </c>
      <c r="I2014" t="s">
        <v>0</v>
      </c>
      <c r="J2014" t="s">
        <v>59</v>
      </c>
      <c r="K2014">
        <v>0</v>
      </c>
      <c r="L2014" t="s">
        <v>60</v>
      </c>
      <c r="M2014">
        <v>1</v>
      </c>
      <c r="N2014" t="s">
        <v>67</v>
      </c>
      <c r="O2014" s="2">
        <v>0.5756944444444444</v>
      </c>
      <c r="P2014">
        <f>-0.0053903383*3600</f>
        <v>-19.405217880000002</v>
      </c>
      <c r="Q2014">
        <f>-0.0045991469*3600</f>
        <v>-16.556928840000001</v>
      </c>
    </row>
    <row r="2015" spans="1:18" x14ac:dyDescent="0.3">
      <c r="A2015" s="4" t="s">
        <v>47</v>
      </c>
      <c r="B2015" s="5" t="s">
        <v>1387</v>
      </c>
      <c r="C2015">
        <v>99.122296000000006</v>
      </c>
      <c r="D2015">
        <v>108.816187</v>
      </c>
      <c r="E2015">
        <v>1</v>
      </c>
      <c r="F2015">
        <v>1</v>
      </c>
      <c r="G2015">
        <v>0.26100000000000001</v>
      </c>
      <c r="H2015">
        <v>0</v>
      </c>
      <c r="I2015" t="s">
        <v>0</v>
      </c>
      <c r="J2015" t="s">
        <v>59</v>
      </c>
      <c r="K2015">
        <v>0</v>
      </c>
      <c r="L2015" t="s">
        <v>60</v>
      </c>
      <c r="M2015">
        <v>1</v>
      </c>
      <c r="N2015" t="s">
        <v>67</v>
      </c>
      <c r="O2015" s="2">
        <v>0.5756944444444444</v>
      </c>
      <c r="P2015">
        <f>-0.0053809143*3600</f>
        <v>-19.37129148</v>
      </c>
      <c r="Q2015">
        <f>-0.0044912129*3600</f>
        <v>-16.16836644</v>
      </c>
    </row>
    <row r="2016" spans="1:18" x14ac:dyDescent="0.3">
      <c r="A2016" s="4" t="s">
        <v>47</v>
      </c>
      <c r="B2016" s="5" t="s">
        <v>1388</v>
      </c>
      <c r="C2016">
        <v>99.124396000000004</v>
      </c>
      <c r="D2016">
        <v>108.81570600000001</v>
      </c>
      <c r="E2016">
        <v>1</v>
      </c>
      <c r="F2016">
        <v>1</v>
      </c>
      <c r="G2016">
        <v>0.26100000000000001</v>
      </c>
      <c r="H2016">
        <v>0</v>
      </c>
      <c r="I2016" t="s">
        <v>0</v>
      </c>
      <c r="J2016" t="s">
        <v>59</v>
      </c>
      <c r="K2016">
        <v>0</v>
      </c>
      <c r="L2016" t="s">
        <v>60</v>
      </c>
      <c r="M2016">
        <v>1</v>
      </c>
      <c r="N2016" t="s">
        <v>67</v>
      </c>
      <c r="O2016" s="2">
        <v>0.5756944444444444</v>
      </c>
      <c r="P2016">
        <f>-0.0051922089*3600</f>
        <v>-18.69195204</v>
      </c>
      <c r="Q2016">
        <f>-0.0046085846*3600</f>
        <v>-16.590904559999998</v>
      </c>
    </row>
    <row r="2017" spans="1:17" x14ac:dyDescent="0.3">
      <c r="A2017" s="4" t="s">
        <v>47</v>
      </c>
      <c r="B2017" s="5" t="s">
        <v>1389</v>
      </c>
      <c r="C2017">
        <v>99.123204999999999</v>
      </c>
      <c r="D2017">
        <v>108.815652</v>
      </c>
      <c r="E2017">
        <v>1</v>
      </c>
      <c r="F2017">
        <v>1</v>
      </c>
      <c r="G2017">
        <v>0.26100000000000001</v>
      </c>
      <c r="H2017">
        <v>0</v>
      </c>
      <c r="I2017" t="s">
        <v>0</v>
      </c>
      <c r="J2017" t="s">
        <v>59</v>
      </c>
      <c r="K2017">
        <v>0</v>
      </c>
      <c r="L2017" t="s">
        <v>60</v>
      </c>
      <c r="M2017">
        <v>1</v>
      </c>
      <c r="N2017" t="s">
        <v>67</v>
      </c>
      <c r="O2017" s="2">
        <v>0.5756944444444444</v>
      </c>
      <c r="P2017">
        <f>-0.005414018*3600</f>
        <v>-19.490464799999998</v>
      </c>
      <c r="Q2017">
        <f>-0.0046377272*3600</f>
        <v>-16.695817920000003</v>
      </c>
    </row>
    <row r="2018" spans="1:17" x14ac:dyDescent="0.3">
      <c r="A2018" s="4" t="s">
        <v>47</v>
      </c>
      <c r="B2018" s="5" t="s">
        <v>1390</v>
      </c>
      <c r="C2018">
        <v>99.123079000000004</v>
      </c>
      <c r="D2018">
        <v>108.815809</v>
      </c>
      <c r="E2018">
        <v>1</v>
      </c>
      <c r="F2018">
        <v>1</v>
      </c>
      <c r="G2018">
        <v>0.26100000000000001</v>
      </c>
      <c r="H2018">
        <v>0</v>
      </c>
      <c r="I2018" t="s">
        <v>0</v>
      </c>
      <c r="J2018" t="s">
        <v>59</v>
      </c>
      <c r="K2018">
        <v>0</v>
      </c>
      <c r="L2018" t="s">
        <v>60</v>
      </c>
      <c r="M2018">
        <v>1</v>
      </c>
      <c r="N2018" t="s">
        <v>67</v>
      </c>
      <c r="O2018" s="2">
        <v>0.57638888888888895</v>
      </c>
      <c r="P2018">
        <f>-0.0053903939*3600</f>
        <v>-19.405418040000001</v>
      </c>
      <c r="Q2018">
        <f>-0.0044942318*3600</f>
        <v>-16.179234479999998</v>
      </c>
    </row>
    <row r="2019" spans="1:17" x14ac:dyDescent="0.3">
      <c r="A2019" s="4" t="s">
        <v>47</v>
      </c>
      <c r="B2019" s="5" t="s">
        <v>1391</v>
      </c>
      <c r="C2019">
        <v>99.123090000000005</v>
      </c>
      <c r="D2019">
        <v>108.815726</v>
      </c>
      <c r="E2019">
        <v>1</v>
      </c>
      <c r="F2019">
        <v>1</v>
      </c>
      <c r="G2019">
        <v>0.26100000000000001</v>
      </c>
      <c r="H2019">
        <v>0</v>
      </c>
      <c r="I2019" t="s">
        <v>0</v>
      </c>
      <c r="J2019" t="s">
        <v>59</v>
      </c>
      <c r="K2019">
        <v>0</v>
      </c>
      <c r="L2019" t="s">
        <v>60</v>
      </c>
      <c r="M2019">
        <v>1</v>
      </c>
      <c r="N2019" t="s">
        <v>67</v>
      </c>
      <c r="O2019" s="2">
        <v>0.57638888888888895</v>
      </c>
      <c r="P2019">
        <f>-0.0053756819*3600</f>
        <v>-19.35245484</v>
      </c>
      <c r="Q2019">
        <f>-0.004559566*3600</f>
        <v>-16.414437599999999</v>
      </c>
    </row>
    <row r="2020" spans="1:17" x14ac:dyDescent="0.3">
      <c r="A2020" s="4" t="s">
        <v>47</v>
      </c>
      <c r="B2020" s="5" t="s">
        <v>1392</v>
      </c>
      <c r="C2020">
        <v>99.123203000000004</v>
      </c>
      <c r="D2020">
        <v>108.815679</v>
      </c>
      <c r="E2020">
        <v>1</v>
      </c>
      <c r="F2020">
        <v>1</v>
      </c>
      <c r="G2020">
        <v>0.26100000000000001</v>
      </c>
      <c r="H2020">
        <v>0</v>
      </c>
      <c r="I2020" t="s">
        <v>0</v>
      </c>
      <c r="J2020" t="s">
        <v>59</v>
      </c>
      <c r="K2020">
        <v>0</v>
      </c>
      <c r="L2020" t="s">
        <v>60</v>
      </c>
      <c r="M2020">
        <v>1</v>
      </c>
      <c r="N2020" t="s">
        <v>67</v>
      </c>
      <c r="O2020" s="2">
        <v>0.57638888888888895</v>
      </c>
      <c r="P2020">
        <f>-0.0054112683*3600</f>
        <v>-19.48056588</v>
      </c>
      <c r="Q2020">
        <f>-0.00459079*3600</f>
        <v>-16.526844000000001</v>
      </c>
    </row>
    <row r="2021" spans="1:17" x14ac:dyDescent="0.3">
      <c r="A2021" s="4" t="s">
        <v>47</v>
      </c>
      <c r="B2021" s="5" t="s">
        <v>1393</v>
      </c>
      <c r="C2021">
        <v>99.123199999999997</v>
      </c>
      <c r="D2021">
        <v>108.815719</v>
      </c>
      <c r="E2021">
        <v>1</v>
      </c>
      <c r="F2021">
        <v>1</v>
      </c>
      <c r="G2021">
        <v>0.26100000000000001</v>
      </c>
      <c r="H2021">
        <v>0</v>
      </c>
      <c r="I2021" t="s">
        <v>0</v>
      </c>
      <c r="J2021" t="s">
        <v>59</v>
      </c>
      <c r="K2021">
        <v>0</v>
      </c>
      <c r="L2021" t="s">
        <v>60</v>
      </c>
      <c r="M2021">
        <v>1</v>
      </c>
      <c r="N2021" t="s">
        <v>67</v>
      </c>
      <c r="O2021" s="2">
        <v>0.57638888888888895</v>
      </c>
      <c r="P2021">
        <f>-0.0053855549*3600</f>
        <v>-19.387997639999998</v>
      </c>
      <c r="Q2021">
        <f>-0.0045604115*3600</f>
        <v>-16.4174814</v>
      </c>
    </row>
    <row r="2022" spans="1:17" x14ac:dyDescent="0.3">
      <c r="A2022" s="4" t="s">
        <v>47</v>
      </c>
      <c r="B2022" s="5" t="s">
        <v>1394</v>
      </c>
      <c r="C2022">
        <v>99.123615000000001</v>
      </c>
      <c r="D2022">
        <v>108.81570000000001</v>
      </c>
      <c r="E2022">
        <v>1</v>
      </c>
      <c r="F2022">
        <v>1</v>
      </c>
      <c r="G2022">
        <v>0.26100000000000001</v>
      </c>
      <c r="H2022">
        <v>0</v>
      </c>
      <c r="I2022" t="s">
        <v>0</v>
      </c>
      <c r="J2022" t="s">
        <v>59</v>
      </c>
      <c r="K2022">
        <v>0</v>
      </c>
      <c r="L2022" t="s">
        <v>60</v>
      </c>
      <c r="M2022">
        <v>1</v>
      </c>
      <c r="N2022" t="s">
        <v>67</v>
      </c>
      <c r="O2022" s="2">
        <v>0.57638888888888895</v>
      </c>
      <c r="P2022">
        <f>-0.0054677038*3600</f>
        <v>-19.68373368</v>
      </c>
      <c r="Q2022">
        <f>-0.0045947651*3600</f>
        <v>-16.54115436</v>
      </c>
    </row>
    <row r="2023" spans="1:17" x14ac:dyDescent="0.3">
      <c r="A2023" s="4" t="s">
        <v>47</v>
      </c>
      <c r="B2023" s="5" t="s">
        <v>1395</v>
      </c>
      <c r="C2023">
        <v>99.123239999999996</v>
      </c>
      <c r="D2023">
        <v>108.815962</v>
      </c>
      <c r="E2023">
        <v>1</v>
      </c>
      <c r="F2023">
        <v>1</v>
      </c>
      <c r="G2023">
        <v>0.26100000000000001</v>
      </c>
      <c r="H2023">
        <v>0</v>
      </c>
      <c r="I2023" t="s">
        <v>0</v>
      </c>
      <c r="J2023" t="s">
        <v>59</v>
      </c>
      <c r="K2023">
        <v>0</v>
      </c>
      <c r="L2023" t="s">
        <v>60</v>
      </c>
      <c r="M2023">
        <v>1</v>
      </c>
      <c r="N2023" t="s">
        <v>67</v>
      </c>
      <c r="O2023" s="2">
        <v>0.57638888888888895</v>
      </c>
      <c r="P2023">
        <f>-0.0053202876*3600</f>
        <v>-19.153035360000001</v>
      </c>
      <c r="Q2023">
        <f>-0.0043435197*3600</f>
        <v>-15.636670920000002</v>
      </c>
    </row>
    <row r="2024" spans="1:17" x14ac:dyDescent="0.3">
      <c r="A2024" s="4" t="s">
        <v>47</v>
      </c>
      <c r="B2024" s="5" t="s">
        <v>1396</v>
      </c>
      <c r="C2024">
        <v>99.122811999999996</v>
      </c>
      <c r="D2024">
        <v>108.81616</v>
      </c>
      <c r="E2024">
        <v>1</v>
      </c>
      <c r="F2024">
        <v>1</v>
      </c>
      <c r="G2024">
        <v>0.26100000000000001</v>
      </c>
      <c r="H2024">
        <v>0</v>
      </c>
      <c r="I2024" t="s">
        <v>0</v>
      </c>
      <c r="J2024" t="s">
        <v>59</v>
      </c>
      <c r="K2024">
        <v>0</v>
      </c>
      <c r="L2024" t="s">
        <v>60</v>
      </c>
      <c r="M2024">
        <v>1</v>
      </c>
      <c r="N2024" t="s">
        <v>67</v>
      </c>
      <c r="O2024" s="2">
        <v>0.57638888888888895</v>
      </c>
      <c r="P2024">
        <f>-0.0053510315*3600</f>
        <v>-19.2637134</v>
      </c>
      <c r="Q2024">
        <f>-0.0041571119*3600</f>
        <v>-14.965602839999999</v>
      </c>
    </row>
    <row r="2025" spans="1:17" x14ac:dyDescent="0.3">
      <c r="A2025" s="4" t="s">
        <v>47</v>
      </c>
      <c r="B2025" s="5" t="s">
        <v>1397</v>
      </c>
      <c r="C2025">
        <v>99.122444000000002</v>
      </c>
      <c r="D2025">
        <v>108.81648800000001</v>
      </c>
      <c r="E2025">
        <v>1</v>
      </c>
      <c r="F2025">
        <v>1</v>
      </c>
      <c r="G2025">
        <v>0.26100000000000001</v>
      </c>
      <c r="H2025">
        <v>0</v>
      </c>
      <c r="I2025" t="s">
        <v>0</v>
      </c>
      <c r="J2025" t="s">
        <v>59</v>
      </c>
      <c r="K2025">
        <v>0</v>
      </c>
      <c r="L2025" t="s">
        <v>60</v>
      </c>
      <c r="M2025">
        <v>1</v>
      </c>
      <c r="N2025" t="s">
        <v>67</v>
      </c>
      <c r="O2025" s="2">
        <v>0.57638888888888895</v>
      </c>
      <c r="P2025">
        <f>-0.0054276296*3600</f>
        <v>-19.539466560000001</v>
      </c>
      <c r="Q2025">
        <f>-0.0038178556*3600</f>
        <v>-13.744280160000001</v>
      </c>
    </row>
    <row r="2026" spans="1:17" x14ac:dyDescent="0.3">
      <c r="A2026" s="4" t="s">
        <v>47</v>
      </c>
      <c r="B2026" s="5" t="s">
        <v>1398</v>
      </c>
      <c r="C2026">
        <v>99.123056000000005</v>
      </c>
      <c r="D2026">
        <v>108.816675</v>
      </c>
      <c r="E2026">
        <v>1</v>
      </c>
      <c r="F2026">
        <v>1</v>
      </c>
      <c r="G2026">
        <v>0.26100000000000001</v>
      </c>
      <c r="H2026">
        <v>0</v>
      </c>
      <c r="I2026" t="s">
        <v>0</v>
      </c>
      <c r="J2026" t="s">
        <v>59</v>
      </c>
      <c r="K2026">
        <v>0</v>
      </c>
      <c r="L2026" t="s">
        <v>60</v>
      </c>
      <c r="M2026">
        <v>1</v>
      </c>
      <c r="N2026" t="s">
        <v>67</v>
      </c>
      <c r="O2026" s="2">
        <v>0.57638888888888895</v>
      </c>
      <c r="P2026">
        <f>-0.0053962736*3600</f>
        <v>-19.42658496</v>
      </c>
      <c r="Q2026">
        <f>-0.0036021672*3600</f>
        <v>-12.967801919999999</v>
      </c>
    </row>
    <row r="2027" spans="1:17" x14ac:dyDescent="0.3">
      <c r="A2027" s="4" t="s">
        <v>47</v>
      </c>
      <c r="B2027" s="5" t="s">
        <v>1399</v>
      </c>
      <c r="C2027">
        <v>99.122640000000004</v>
      </c>
      <c r="D2027">
        <v>108.816757</v>
      </c>
      <c r="E2027">
        <v>1</v>
      </c>
      <c r="F2027">
        <v>1</v>
      </c>
      <c r="G2027">
        <v>0.26100000000000001</v>
      </c>
      <c r="H2027">
        <v>0</v>
      </c>
      <c r="I2027" t="s">
        <v>0</v>
      </c>
      <c r="J2027" t="s">
        <v>59</v>
      </c>
      <c r="K2027">
        <v>0</v>
      </c>
      <c r="L2027" t="s">
        <v>60</v>
      </c>
      <c r="M2027">
        <v>1</v>
      </c>
      <c r="N2027" t="s">
        <v>67</v>
      </c>
      <c r="O2027" s="2">
        <v>0.57638888888888895</v>
      </c>
      <c r="P2027">
        <f>-0.0053959412*3600</f>
        <v>-19.42538832</v>
      </c>
      <c r="Q2027">
        <f>-0.0035661625*3600</f>
        <v>-12.838185000000001</v>
      </c>
    </row>
    <row r="2028" spans="1:17" x14ac:dyDescent="0.3">
      <c r="A2028" s="4" t="s">
        <v>47</v>
      </c>
      <c r="B2028" s="5" t="s">
        <v>1400</v>
      </c>
      <c r="C2028">
        <v>99.122219000000001</v>
      </c>
      <c r="D2028">
        <v>108.81692700000001</v>
      </c>
      <c r="E2028">
        <v>1</v>
      </c>
      <c r="F2028">
        <v>1</v>
      </c>
      <c r="G2028">
        <v>0.26100000000000001</v>
      </c>
      <c r="H2028">
        <v>0</v>
      </c>
      <c r="I2028" t="s">
        <v>0</v>
      </c>
      <c r="J2028" t="s">
        <v>59</v>
      </c>
      <c r="K2028">
        <v>0</v>
      </c>
      <c r="L2028" t="s">
        <v>60</v>
      </c>
      <c r="M2028">
        <v>1</v>
      </c>
      <c r="N2028" t="s">
        <v>67</v>
      </c>
      <c r="O2028" s="2">
        <v>0.57638888888888895</v>
      </c>
      <c r="P2028">
        <f>-0.0054788588*3600</f>
        <v>-19.723891680000001</v>
      </c>
      <c r="Q2028">
        <f>-0.003352278*3600</f>
        <v>-12.068200800000001</v>
      </c>
    </row>
    <row r="2029" spans="1:17" x14ac:dyDescent="0.3">
      <c r="A2029" s="4" t="s">
        <v>47</v>
      </c>
      <c r="B2029" s="5" t="s">
        <v>1401</v>
      </c>
      <c r="C2029">
        <v>99.121804999999995</v>
      </c>
      <c r="D2029">
        <v>108.81674599999999</v>
      </c>
      <c r="E2029">
        <v>1</v>
      </c>
      <c r="F2029">
        <v>1</v>
      </c>
      <c r="G2029">
        <v>0.26100000000000001</v>
      </c>
      <c r="H2029">
        <v>0</v>
      </c>
      <c r="I2029" t="s">
        <v>0</v>
      </c>
      <c r="J2029" t="s">
        <v>59</v>
      </c>
      <c r="K2029">
        <v>0</v>
      </c>
      <c r="L2029" t="s">
        <v>60</v>
      </c>
      <c r="M2029">
        <v>1</v>
      </c>
      <c r="N2029" t="s">
        <v>67</v>
      </c>
      <c r="O2029" s="2">
        <v>0.57638888888888895</v>
      </c>
      <c r="P2029">
        <f>-0.00544684*3600</f>
        <v>-19.608623999999999</v>
      </c>
      <c r="Q2029">
        <f>-0.0035189413*3600</f>
        <v>-12.66818868</v>
      </c>
    </row>
    <row r="2030" spans="1:17" x14ac:dyDescent="0.3">
      <c r="A2030" s="4" t="s">
        <v>47</v>
      </c>
      <c r="B2030" s="5" t="s">
        <v>1402</v>
      </c>
      <c r="C2030">
        <v>99.122247999999999</v>
      </c>
      <c r="D2030">
        <v>108.81657</v>
      </c>
      <c r="E2030">
        <v>1</v>
      </c>
      <c r="F2030">
        <v>1</v>
      </c>
      <c r="G2030">
        <v>0.26100000000000001</v>
      </c>
      <c r="H2030">
        <v>0</v>
      </c>
      <c r="I2030" t="s">
        <v>0</v>
      </c>
      <c r="J2030" t="s">
        <v>59</v>
      </c>
      <c r="K2030">
        <v>0</v>
      </c>
      <c r="L2030" t="s">
        <v>60</v>
      </c>
      <c r="M2030">
        <v>1</v>
      </c>
      <c r="N2030" t="s">
        <v>67</v>
      </c>
      <c r="O2030" s="2">
        <v>0.57638888888888895</v>
      </c>
      <c r="P2030">
        <f>-0.0054406842*3600</f>
        <v>-19.586463120000001</v>
      </c>
      <c r="Q2030">
        <f>-0.003658984*3600</f>
        <v>-13.1723424</v>
      </c>
    </row>
    <row r="2031" spans="1:17" x14ac:dyDescent="0.3">
      <c r="A2031" s="4" t="s">
        <v>47</v>
      </c>
      <c r="B2031" s="5" t="s">
        <v>1403</v>
      </c>
      <c r="C2031">
        <v>99.122119999999995</v>
      </c>
      <c r="D2031">
        <v>108.816907</v>
      </c>
      <c r="E2031">
        <v>1</v>
      </c>
      <c r="F2031">
        <v>1</v>
      </c>
      <c r="G2031">
        <v>0.26100000000000001</v>
      </c>
      <c r="H2031">
        <v>0</v>
      </c>
      <c r="I2031" t="s">
        <v>0</v>
      </c>
      <c r="J2031" t="s">
        <v>59</v>
      </c>
      <c r="K2031">
        <v>0</v>
      </c>
      <c r="L2031" t="s">
        <v>60</v>
      </c>
      <c r="M2031">
        <v>1</v>
      </c>
      <c r="N2031" t="s">
        <v>67</v>
      </c>
      <c r="O2031" s="2">
        <v>0.57638888888888895</v>
      </c>
      <c r="P2031">
        <f>-0.0054542674*3600</f>
        <v>-19.63536264</v>
      </c>
      <c r="Q2031">
        <f>-0.0033511556*3600</f>
        <v>-12.06416016</v>
      </c>
    </row>
    <row r="2032" spans="1:17" x14ac:dyDescent="0.3">
      <c r="A2032" s="4" t="s">
        <v>47</v>
      </c>
      <c r="B2032" s="5" t="s">
        <v>1404</v>
      </c>
      <c r="C2032">
        <v>99.122063999999995</v>
      </c>
      <c r="D2032">
        <v>108.81626199999999</v>
      </c>
      <c r="E2032">
        <v>1</v>
      </c>
      <c r="F2032">
        <v>1</v>
      </c>
      <c r="G2032">
        <v>0.26100000000000001</v>
      </c>
      <c r="H2032">
        <v>0</v>
      </c>
      <c r="I2032" t="s">
        <v>0</v>
      </c>
      <c r="J2032" t="s">
        <v>59</v>
      </c>
      <c r="K2032">
        <v>0</v>
      </c>
      <c r="L2032" t="s">
        <v>60</v>
      </c>
      <c r="M2032">
        <v>1</v>
      </c>
      <c r="N2032" t="s">
        <v>67</v>
      </c>
      <c r="O2032" s="2">
        <v>0.57638888888888895</v>
      </c>
      <c r="P2032">
        <f>-0.0053882456*3600</f>
        <v>-19.397684160000001</v>
      </c>
      <c r="Q2032">
        <f>-0.0039838003*3600</f>
        <v>-14.341681079999999</v>
      </c>
    </row>
    <row r="2033" spans="1:17" x14ac:dyDescent="0.3">
      <c r="A2033" s="4" t="s">
        <v>47</v>
      </c>
      <c r="B2033" s="5" t="s">
        <v>1405</v>
      </c>
      <c r="C2033">
        <v>99.122146999999998</v>
      </c>
      <c r="D2033">
        <v>108.816292</v>
      </c>
      <c r="E2033">
        <v>1</v>
      </c>
      <c r="F2033">
        <v>1</v>
      </c>
      <c r="G2033">
        <v>0.26100000000000001</v>
      </c>
      <c r="H2033">
        <v>0</v>
      </c>
      <c r="I2033" t="s">
        <v>0</v>
      </c>
      <c r="J2033" t="s">
        <v>59</v>
      </c>
      <c r="K2033">
        <v>0</v>
      </c>
      <c r="L2033" t="s">
        <v>60</v>
      </c>
      <c r="M2033">
        <v>1</v>
      </c>
      <c r="N2033" t="s">
        <v>67</v>
      </c>
      <c r="O2033" s="2">
        <v>0.57638888888888895</v>
      </c>
      <c r="P2033">
        <f>-0.0051559285*3600</f>
        <v>-18.5613426</v>
      </c>
      <c r="Q2033">
        <f>-0.0039789609*3600</f>
        <v>-14.32425924</v>
      </c>
    </row>
    <row r="2034" spans="1:17" x14ac:dyDescent="0.3">
      <c r="A2034" s="4" t="s">
        <v>47</v>
      </c>
      <c r="B2034" s="5" t="s">
        <v>1406</v>
      </c>
      <c r="C2034">
        <v>99.122183000000007</v>
      </c>
      <c r="D2034">
        <v>108.816142</v>
      </c>
      <c r="E2034">
        <v>1</v>
      </c>
      <c r="F2034">
        <v>1</v>
      </c>
      <c r="G2034">
        <v>0.26100000000000001</v>
      </c>
      <c r="H2034">
        <v>0</v>
      </c>
      <c r="I2034" t="s">
        <v>0</v>
      </c>
      <c r="J2034" t="s">
        <v>59</v>
      </c>
      <c r="K2034">
        <v>0</v>
      </c>
      <c r="L2034" t="s">
        <v>60</v>
      </c>
      <c r="M2034">
        <v>1</v>
      </c>
      <c r="N2034" t="s">
        <v>67</v>
      </c>
      <c r="O2034" s="2">
        <v>0.57638888888888895</v>
      </c>
      <c r="P2034">
        <f>-0.0052609586*3600</f>
        <v>-18.939450959999999</v>
      </c>
      <c r="Q2034">
        <f>-0.0041232039*3600</f>
        <v>-14.843534039999998</v>
      </c>
    </row>
    <row r="2035" spans="1:17" x14ac:dyDescent="0.3">
      <c r="A2035" s="4" t="s">
        <v>47</v>
      </c>
      <c r="B2035" s="5" t="s">
        <v>1407</v>
      </c>
      <c r="C2035">
        <v>99.121887999999998</v>
      </c>
      <c r="D2035">
        <v>108.816334</v>
      </c>
      <c r="E2035">
        <v>1</v>
      </c>
      <c r="F2035">
        <v>1</v>
      </c>
      <c r="G2035">
        <v>0.26100000000000001</v>
      </c>
      <c r="H2035">
        <v>0</v>
      </c>
      <c r="I2035" t="s">
        <v>0</v>
      </c>
      <c r="J2035" t="s">
        <v>59</v>
      </c>
      <c r="K2035">
        <v>0</v>
      </c>
      <c r="L2035" t="s">
        <v>60</v>
      </c>
      <c r="M2035">
        <v>1</v>
      </c>
      <c r="N2035" t="s">
        <v>67</v>
      </c>
      <c r="O2035" s="2">
        <v>0.57638888888888895</v>
      </c>
      <c r="P2035">
        <f>-0.0053272534*3600</f>
        <v>-19.178112240000001</v>
      </c>
      <c r="Q2035">
        <f>-0.0039044382*3600</f>
        <v>-14.055977520000001</v>
      </c>
    </row>
    <row r="2036" spans="1:17" x14ac:dyDescent="0.3">
      <c r="A2036" s="4" t="s">
        <v>47</v>
      </c>
      <c r="B2036" s="5" t="s">
        <v>1408</v>
      </c>
      <c r="C2036">
        <v>99.121736999999996</v>
      </c>
      <c r="D2036">
        <v>108.816455</v>
      </c>
      <c r="E2036">
        <v>1</v>
      </c>
      <c r="F2036">
        <v>1</v>
      </c>
      <c r="G2036">
        <v>0.26100000000000001</v>
      </c>
      <c r="H2036">
        <v>0</v>
      </c>
      <c r="I2036" t="s">
        <v>0</v>
      </c>
      <c r="J2036" t="s">
        <v>59</v>
      </c>
      <c r="K2036">
        <v>0</v>
      </c>
      <c r="L2036" t="s">
        <v>60</v>
      </c>
      <c r="M2036">
        <v>1</v>
      </c>
      <c r="N2036" t="s">
        <v>67</v>
      </c>
      <c r="O2036" s="2">
        <v>0.57638888888888895</v>
      </c>
      <c r="P2036">
        <f>-0.0053062535*3600</f>
        <v>-19.102512600000001</v>
      </c>
      <c r="Q2036">
        <f>-0.0037763231*3600</f>
        <v>-13.594763159999999</v>
      </c>
    </row>
    <row r="2037" spans="1:17" x14ac:dyDescent="0.3">
      <c r="A2037" s="4" t="s">
        <v>47</v>
      </c>
      <c r="B2037" s="5" t="s">
        <v>1409</v>
      </c>
      <c r="C2037">
        <v>99.121509000000003</v>
      </c>
      <c r="D2037">
        <v>108.816474</v>
      </c>
      <c r="E2037">
        <v>1</v>
      </c>
      <c r="F2037">
        <v>1</v>
      </c>
      <c r="G2037">
        <v>0.26100000000000001</v>
      </c>
      <c r="H2037">
        <v>0</v>
      </c>
      <c r="I2037" t="s">
        <v>0</v>
      </c>
      <c r="J2037" t="s">
        <v>59</v>
      </c>
      <c r="K2037">
        <v>0</v>
      </c>
      <c r="L2037" t="s">
        <v>60</v>
      </c>
      <c r="M2037">
        <v>1</v>
      </c>
      <c r="N2037" t="s">
        <v>67</v>
      </c>
      <c r="O2037" s="2">
        <v>0.57638888888888895</v>
      </c>
      <c r="P2037">
        <f>-0.0053934615*3600</f>
        <v>-19.416461399999999</v>
      </c>
      <c r="Q2037">
        <f>-0.0037645339*3600</f>
        <v>-13.55232204</v>
      </c>
    </row>
    <row r="2038" spans="1:17" x14ac:dyDescent="0.3">
      <c r="A2038" s="4" t="s">
        <v>47</v>
      </c>
      <c r="B2038" s="5" t="s">
        <v>1410</v>
      </c>
      <c r="C2038">
        <v>99.121525000000005</v>
      </c>
      <c r="D2038">
        <v>108.81654399999999</v>
      </c>
      <c r="E2038">
        <v>1</v>
      </c>
      <c r="F2038">
        <v>1</v>
      </c>
      <c r="G2038">
        <v>0.26100000000000001</v>
      </c>
      <c r="H2038">
        <v>0</v>
      </c>
      <c r="I2038" t="s">
        <v>0</v>
      </c>
      <c r="J2038" t="s">
        <v>59</v>
      </c>
      <c r="K2038">
        <v>0</v>
      </c>
      <c r="L2038" t="s">
        <v>60</v>
      </c>
      <c r="M2038">
        <v>1</v>
      </c>
      <c r="N2038" t="s">
        <v>67</v>
      </c>
      <c r="O2038" s="2">
        <v>0.57638888888888895</v>
      </c>
      <c r="P2038">
        <f>-0.0053073616*3600</f>
        <v>-19.10650176</v>
      </c>
      <c r="Q2038">
        <f>-0.0036857053*3600</f>
        <v>-13.26853908</v>
      </c>
    </row>
    <row r="2039" spans="1:17" x14ac:dyDescent="0.3">
      <c r="A2039" s="4" t="s">
        <v>47</v>
      </c>
      <c r="B2039" s="5" t="s">
        <v>1411</v>
      </c>
      <c r="C2039">
        <v>99.121279000000001</v>
      </c>
      <c r="D2039">
        <v>108.816489</v>
      </c>
      <c r="E2039">
        <v>1</v>
      </c>
      <c r="F2039">
        <v>1</v>
      </c>
      <c r="G2039">
        <v>0.26100000000000001</v>
      </c>
      <c r="H2039">
        <v>0</v>
      </c>
      <c r="I2039" t="s">
        <v>0</v>
      </c>
      <c r="J2039" t="s">
        <v>59</v>
      </c>
      <c r="K2039">
        <v>0</v>
      </c>
      <c r="L2039" t="s">
        <v>60</v>
      </c>
      <c r="M2039">
        <v>1</v>
      </c>
      <c r="N2039" t="s">
        <v>67</v>
      </c>
      <c r="O2039" s="2">
        <v>0.57638888888888895</v>
      </c>
      <c r="P2039">
        <f>-0.0053123334*3600</f>
        <v>-19.12440024</v>
      </c>
      <c r="Q2039">
        <f>-0.0037365463*3600</f>
        <v>-13.451566679999999</v>
      </c>
    </row>
    <row r="2040" spans="1:17" x14ac:dyDescent="0.3">
      <c r="A2040" s="4" t="s">
        <v>47</v>
      </c>
      <c r="B2040" s="5" t="s">
        <v>1412</v>
      </c>
      <c r="C2040">
        <v>99.122591999999997</v>
      </c>
      <c r="D2040">
        <v>108.816073</v>
      </c>
      <c r="E2040">
        <v>1</v>
      </c>
      <c r="F2040">
        <v>1</v>
      </c>
      <c r="G2040">
        <v>0.26100000000000001</v>
      </c>
      <c r="H2040">
        <v>0</v>
      </c>
      <c r="I2040" t="s">
        <v>0</v>
      </c>
      <c r="J2040" t="s">
        <v>59</v>
      </c>
      <c r="K2040">
        <v>0</v>
      </c>
      <c r="L2040" t="s">
        <v>60</v>
      </c>
      <c r="M2040">
        <v>1</v>
      </c>
      <c r="N2040" t="s">
        <v>67</v>
      </c>
      <c r="O2040" s="2">
        <v>0.57638888888888895</v>
      </c>
      <c r="P2040">
        <f>-0.0051675927*3600</f>
        <v>-18.603333720000002</v>
      </c>
      <c r="Q2040">
        <f>-0.0041940323*3600</f>
        <v>-15.09851628</v>
      </c>
    </row>
    <row r="2041" spans="1:17" x14ac:dyDescent="0.3">
      <c r="A2041" s="4" t="s">
        <v>47</v>
      </c>
      <c r="B2041" s="5" t="s">
        <v>1413</v>
      </c>
      <c r="C2041">
        <v>99.121761000000006</v>
      </c>
      <c r="D2041">
        <v>108.816272</v>
      </c>
      <c r="E2041">
        <v>1</v>
      </c>
      <c r="F2041">
        <v>1</v>
      </c>
      <c r="G2041">
        <v>0.26100000000000001</v>
      </c>
      <c r="H2041">
        <v>0</v>
      </c>
      <c r="I2041" t="s">
        <v>0</v>
      </c>
      <c r="J2041" t="s">
        <v>59</v>
      </c>
      <c r="K2041">
        <v>0</v>
      </c>
      <c r="L2041" t="s">
        <v>60</v>
      </c>
      <c r="M2041">
        <v>1</v>
      </c>
      <c r="N2041" t="s">
        <v>67</v>
      </c>
      <c r="O2041" s="2">
        <v>0.57638888888888895</v>
      </c>
      <c r="P2041">
        <f>-0.0052997913*3600</f>
        <v>-19.079248680000003</v>
      </c>
      <c r="Q2041">
        <f>-0.0039543513*3600</f>
        <v>-14.235664679999999</v>
      </c>
    </row>
    <row r="2042" spans="1:17" x14ac:dyDescent="0.3">
      <c r="A2042" s="4" t="s">
        <v>47</v>
      </c>
      <c r="B2042" s="5" t="s">
        <v>1414</v>
      </c>
      <c r="C2042">
        <v>99.121971000000002</v>
      </c>
      <c r="D2042">
        <v>108.816802</v>
      </c>
      <c r="E2042">
        <v>1</v>
      </c>
      <c r="F2042">
        <v>1</v>
      </c>
      <c r="G2042">
        <v>0.26100000000000001</v>
      </c>
      <c r="H2042">
        <v>0</v>
      </c>
      <c r="I2042" t="s">
        <v>0</v>
      </c>
      <c r="J2042" t="s">
        <v>59</v>
      </c>
      <c r="K2042">
        <v>0</v>
      </c>
      <c r="L2042" t="s">
        <v>60</v>
      </c>
      <c r="M2042">
        <v>1</v>
      </c>
      <c r="N2042" t="s">
        <v>67</v>
      </c>
      <c r="O2042" s="2">
        <v>0.57638888888888895</v>
      </c>
      <c r="P2042">
        <f>-0.0053603719*3600</f>
        <v>-19.297338839999998</v>
      </c>
      <c r="Q2042">
        <f>-0.0034415136*3600</f>
        <v>-12.389448959999999</v>
      </c>
    </row>
    <row r="2043" spans="1:17" x14ac:dyDescent="0.3">
      <c r="A2043" s="4" t="s">
        <v>47</v>
      </c>
      <c r="B2043" s="5" t="s">
        <v>1415</v>
      </c>
      <c r="C2043">
        <v>99.122191000000001</v>
      </c>
      <c r="D2043">
        <v>108.816917</v>
      </c>
      <c r="E2043">
        <v>1</v>
      </c>
      <c r="F2043">
        <v>1</v>
      </c>
      <c r="G2043">
        <v>0.26100000000000001</v>
      </c>
      <c r="H2043">
        <v>0</v>
      </c>
      <c r="I2043" t="s">
        <v>0</v>
      </c>
      <c r="J2043" t="s">
        <v>59</v>
      </c>
      <c r="K2043">
        <v>0</v>
      </c>
      <c r="L2043" t="s">
        <v>60</v>
      </c>
      <c r="M2043">
        <v>1</v>
      </c>
      <c r="N2043" t="s">
        <v>67</v>
      </c>
      <c r="O2043" s="2">
        <v>0.57638888888888895</v>
      </c>
      <c r="P2043">
        <f>-0.0052103279*3600</f>
        <v>-18.757180439999999</v>
      </c>
      <c r="Q2043">
        <f>-0.0033804521*3600</f>
        <v>-12.16962756</v>
      </c>
    </row>
    <row r="2044" spans="1:17" x14ac:dyDescent="0.3">
      <c r="A2044" s="4" t="s">
        <v>47</v>
      </c>
      <c r="B2044" s="5" t="s">
        <v>1416</v>
      </c>
      <c r="C2044">
        <v>99.121799999999993</v>
      </c>
      <c r="D2044">
        <v>108.81694</v>
      </c>
      <c r="E2044">
        <v>1</v>
      </c>
      <c r="F2044">
        <v>1</v>
      </c>
      <c r="G2044">
        <v>0.26100000000000001</v>
      </c>
      <c r="H2044">
        <v>0</v>
      </c>
      <c r="I2044" t="s">
        <v>0</v>
      </c>
      <c r="J2044" t="s">
        <v>59</v>
      </c>
      <c r="K2044">
        <v>0</v>
      </c>
      <c r="L2044" t="s">
        <v>60</v>
      </c>
      <c r="M2044">
        <v>1</v>
      </c>
      <c r="N2044" t="s">
        <v>67</v>
      </c>
      <c r="O2044" s="2">
        <v>0.57638888888888895</v>
      </c>
      <c r="P2044">
        <f>-0.0052559568*3600</f>
        <v>-18.921444480000002</v>
      </c>
      <c r="Q2044">
        <f>-0.0032987908*3600</f>
        <v>-11.87564688</v>
      </c>
    </row>
    <row r="2045" spans="1:17" x14ac:dyDescent="0.3">
      <c r="A2045" s="4" t="s">
        <v>47</v>
      </c>
      <c r="B2045" s="5" t="s">
        <v>1417</v>
      </c>
      <c r="C2045">
        <v>99.122191999999998</v>
      </c>
      <c r="D2045">
        <v>108.816558</v>
      </c>
      <c r="E2045">
        <v>1</v>
      </c>
      <c r="F2045">
        <v>1</v>
      </c>
      <c r="G2045">
        <v>0.26100000000000001</v>
      </c>
      <c r="H2045">
        <v>0</v>
      </c>
      <c r="I2045" t="s">
        <v>0</v>
      </c>
      <c r="J2045" t="s">
        <v>59</v>
      </c>
      <c r="K2045">
        <v>0</v>
      </c>
      <c r="L2045" t="s">
        <v>60</v>
      </c>
      <c r="M2045">
        <v>1</v>
      </c>
      <c r="N2045" t="s">
        <v>67</v>
      </c>
      <c r="O2045" s="2">
        <v>0.57638888888888895</v>
      </c>
      <c r="P2045">
        <f>-0.0052490927*3600</f>
        <v>-18.89673372</v>
      </c>
      <c r="Q2045">
        <f>-0.0037239317*3600</f>
        <v>-13.40615412</v>
      </c>
    </row>
    <row r="2046" spans="1:17" x14ac:dyDescent="0.3">
      <c r="A2046" s="4" t="s">
        <v>47</v>
      </c>
      <c r="B2046" s="5" t="s">
        <v>1418</v>
      </c>
      <c r="C2046">
        <v>99.121589999999998</v>
      </c>
      <c r="D2046">
        <v>108.816417</v>
      </c>
      <c r="E2046">
        <v>1</v>
      </c>
      <c r="F2046">
        <v>1</v>
      </c>
      <c r="G2046">
        <v>0.26100000000000001</v>
      </c>
      <c r="H2046">
        <v>0</v>
      </c>
      <c r="I2046" t="s">
        <v>0</v>
      </c>
      <c r="J2046" t="s">
        <v>59</v>
      </c>
      <c r="K2046">
        <v>0</v>
      </c>
      <c r="L2046" t="s">
        <v>60</v>
      </c>
      <c r="M2046">
        <v>1</v>
      </c>
      <c r="N2046" t="s">
        <v>67</v>
      </c>
      <c r="O2046" s="2">
        <v>0.57638888888888895</v>
      </c>
      <c r="P2046">
        <f>-0.005259864*3600</f>
        <v>-18.935510400000002</v>
      </c>
      <c r="Q2046">
        <f>-0.0038284777*3600</f>
        <v>-13.78251972</v>
      </c>
    </row>
    <row r="2047" spans="1:17" x14ac:dyDescent="0.3">
      <c r="A2047" s="4" t="s">
        <v>47</v>
      </c>
      <c r="B2047" s="5" t="s">
        <v>1419</v>
      </c>
      <c r="C2047">
        <v>99.12191</v>
      </c>
      <c r="D2047">
        <v>108.816439</v>
      </c>
      <c r="E2047">
        <v>1</v>
      </c>
      <c r="F2047">
        <v>1</v>
      </c>
      <c r="G2047">
        <v>0.26100000000000001</v>
      </c>
      <c r="H2047">
        <v>0</v>
      </c>
      <c r="I2047" t="s">
        <v>0</v>
      </c>
      <c r="J2047" t="s">
        <v>59</v>
      </c>
      <c r="K2047">
        <v>0</v>
      </c>
      <c r="L2047" t="s">
        <v>60</v>
      </c>
      <c r="M2047">
        <v>1</v>
      </c>
      <c r="N2047" t="s">
        <v>67</v>
      </c>
      <c r="O2047" s="2">
        <v>0.57638888888888895</v>
      </c>
      <c r="P2047">
        <f>-0.0053752665*3600</f>
        <v>-19.350959400000001</v>
      </c>
      <c r="Q2047">
        <f>-0.0038052835*3600</f>
        <v>-13.699020600000001</v>
      </c>
    </row>
    <row r="2048" spans="1:17" x14ac:dyDescent="0.3">
      <c r="A2048" s="4" t="s">
        <v>47</v>
      </c>
      <c r="B2048" s="5" t="s">
        <v>1420</v>
      </c>
      <c r="C2048">
        <v>99.123063999999999</v>
      </c>
      <c r="D2048">
        <v>108.816479</v>
      </c>
      <c r="E2048">
        <v>1</v>
      </c>
      <c r="F2048">
        <v>1</v>
      </c>
      <c r="G2048">
        <v>0.26100000000000001</v>
      </c>
      <c r="H2048">
        <v>0</v>
      </c>
      <c r="I2048" t="s">
        <v>0</v>
      </c>
      <c r="J2048" t="s">
        <v>59</v>
      </c>
      <c r="K2048">
        <v>0</v>
      </c>
      <c r="L2048" t="s">
        <v>60</v>
      </c>
      <c r="M2048">
        <v>1</v>
      </c>
      <c r="N2048" t="s">
        <v>67</v>
      </c>
      <c r="O2048" s="2">
        <v>0.57638888888888895</v>
      </c>
      <c r="P2048">
        <f>-0.0053101404*3600</f>
        <v>-19.116505440000001</v>
      </c>
      <c r="Q2048">
        <f>-0.0037738422*3600</f>
        <v>-13.58583192</v>
      </c>
    </row>
    <row r="2049" spans="1:17" x14ac:dyDescent="0.3">
      <c r="A2049" s="4" t="s">
        <v>47</v>
      </c>
      <c r="B2049" s="5" t="s">
        <v>1421</v>
      </c>
      <c r="C2049">
        <v>99.121983999999998</v>
      </c>
      <c r="D2049">
        <v>108.81631899999999</v>
      </c>
      <c r="E2049">
        <v>1</v>
      </c>
      <c r="F2049">
        <v>1</v>
      </c>
      <c r="G2049">
        <v>0.26100000000000001</v>
      </c>
      <c r="H2049">
        <v>0</v>
      </c>
      <c r="I2049" t="s">
        <v>0</v>
      </c>
      <c r="J2049" t="s">
        <v>59</v>
      </c>
      <c r="K2049">
        <v>0</v>
      </c>
      <c r="L2049" t="s">
        <v>60</v>
      </c>
      <c r="M2049">
        <v>1</v>
      </c>
      <c r="N2049" t="s">
        <v>67</v>
      </c>
      <c r="O2049" s="2">
        <v>0.57638888888888895</v>
      </c>
      <c r="P2049">
        <f>-0.005490486*3600</f>
        <v>-19.765749599999999</v>
      </c>
      <c r="Q2049">
        <f>-0.0039258611*3600</f>
        <v>-14.133099959999999</v>
      </c>
    </row>
    <row r="2050" spans="1:17" x14ac:dyDescent="0.3">
      <c r="A2050" s="4" t="s">
        <v>47</v>
      </c>
      <c r="B2050" s="5" t="s">
        <v>1422</v>
      </c>
      <c r="C2050">
        <v>99.122046999999995</v>
      </c>
      <c r="D2050">
        <v>108.816124</v>
      </c>
      <c r="E2050">
        <v>1</v>
      </c>
      <c r="F2050">
        <v>1</v>
      </c>
      <c r="G2050">
        <v>0.26100000000000001</v>
      </c>
      <c r="H2050">
        <v>0</v>
      </c>
      <c r="I2050" t="s">
        <v>0</v>
      </c>
      <c r="J2050" t="s">
        <v>59</v>
      </c>
      <c r="K2050">
        <v>0</v>
      </c>
      <c r="L2050" t="s">
        <v>60</v>
      </c>
      <c r="M2050">
        <v>1</v>
      </c>
      <c r="N2050" t="s">
        <v>67</v>
      </c>
      <c r="O2050" s="2">
        <v>0.57638888888888895</v>
      </c>
      <c r="P2050">
        <f>-0.0055164587*3600</f>
        <v>-19.859251319999998</v>
      </c>
      <c r="Q2050">
        <f>-0.0041149177*3600</f>
        <v>-14.813703719999999</v>
      </c>
    </row>
    <row r="2051" spans="1:17" x14ac:dyDescent="0.3">
      <c r="A2051" s="4" t="s">
        <v>47</v>
      </c>
      <c r="B2051" s="5" t="s">
        <v>1423</v>
      </c>
      <c r="C2051">
        <v>99.122530999999995</v>
      </c>
      <c r="D2051">
        <v>108.815957</v>
      </c>
      <c r="E2051">
        <v>1</v>
      </c>
      <c r="F2051">
        <v>1</v>
      </c>
      <c r="G2051">
        <v>0.26100000000000001</v>
      </c>
      <c r="H2051">
        <v>0</v>
      </c>
      <c r="I2051" t="s">
        <v>0</v>
      </c>
      <c r="J2051" t="s">
        <v>59</v>
      </c>
      <c r="K2051">
        <v>0</v>
      </c>
      <c r="L2051" t="s">
        <v>60</v>
      </c>
      <c r="M2051">
        <v>1</v>
      </c>
      <c r="N2051" t="s">
        <v>67</v>
      </c>
      <c r="O2051" s="2">
        <v>0.57638888888888895</v>
      </c>
      <c r="P2051">
        <f>-0.0054410107*3600</f>
        <v>-19.587638520000002</v>
      </c>
      <c r="Q2051">
        <f>-0.0043131654*3600</f>
        <v>-15.527395439999999</v>
      </c>
    </row>
    <row r="2052" spans="1:17" x14ac:dyDescent="0.3">
      <c r="A2052" s="4" t="s">
        <v>47</v>
      </c>
      <c r="B2052" s="5" t="s">
        <v>1424</v>
      </c>
      <c r="C2052">
        <v>99.123772000000002</v>
      </c>
      <c r="D2052">
        <v>108.816181</v>
      </c>
      <c r="E2052">
        <v>1</v>
      </c>
      <c r="F2052">
        <v>1</v>
      </c>
      <c r="G2052">
        <v>0.26100000000000001</v>
      </c>
      <c r="H2052">
        <v>0</v>
      </c>
      <c r="I2052" t="s">
        <v>0</v>
      </c>
      <c r="J2052" t="s">
        <v>59</v>
      </c>
      <c r="K2052">
        <v>0</v>
      </c>
      <c r="L2052" t="s">
        <v>60</v>
      </c>
      <c r="M2052">
        <v>1</v>
      </c>
      <c r="N2052" t="s">
        <v>67</v>
      </c>
      <c r="O2052" s="2">
        <v>0.57638888888888895</v>
      </c>
      <c r="P2052">
        <f>-0.0052679395*3600</f>
        <v>-18.964582199999999</v>
      </c>
      <c r="Q2052">
        <f>-0.0040793764*3600</f>
        <v>-14.68575504</v>
      </c>
    </row>
    <row r="2053" spans="1:17" x14ac:dyDescent="0.3">
      <c r="A2053" s="4" t="s">
        <v>47</v>
      </c>
      <c r="B2053" s="5" t="s">
        <v>1425</v>
      </c>
      <c r="C2053">
        <v>99.122591</v>
      </c>
      <c r="D2053">
        <v>108.81619600000001</v>
      </c>
      <c r="E2053">
        <v>1</v>
      </c>
      <c r="F2053">
        <v>1</v>
      </c>
      <c r="G2053">
        <v>0.26100000000000001</v>
      </c>
      <c r="H2053">
        <v>0</v>
      </c>
      <c r="I2053" t="s">
        <v>0</v>
      </c>
      <c r="J2053" t="s">
        <v>59</v>
      </c>
      <c r="K2053">
        <v>0</v>
      </c>
      <c r="L2053" t="s">
        <v>60</v>
      </c>
      <c r="M2053">
        <v>1</v>
      </c>
      <c r="N2053" t="s">
        <v>67</v>
      </c>
      <c r="O2053" s="2">
        <v>0.57638888888888895</v>
      </c>
      <c r="P2053">
        <f>-0.0054213919*3600</f>
        <v>-19.517010840000001</v>
      </c>
      <c r="Q2053">
        <f>-0.0040723255*3600</f>
        <v>-14.660371799999998</v>
      </c>
    </row>
    <row r="2054" spans="1:17" x14ac:dyDescent="0.3">
      <c r="A2054" s="4" t="s">
        <v>47</v>
      </c>
      <c r="B2054" s="5" t="s">
        <v>1426</v>
      </c>
      <c r="C2054">
        <v>99.122113999999996</v>
      </c>
      <c r="D2054">
        <v>108.816243</v>
      </c>
      <c r="E2054">
        <v>1</v>
      </c>
      <c r="F2054">
        <v>1</v>
      </c>
      <c r="G2054">
        <v>0.26100000000000001</v>
      </c>
      <c r="H2054">
        <v>0</v>
      </c>
      <c r="I2054" t="s">
        <v>0</v>
      </c>
      <c r="J2054" t="s">
        <v>59</v>
      </c>
      <c r="K2054">
        <v>0</v>
      </c>
      <c r="L2054" t="s">
        <v>60</v>
      </c>
      <c r="M2054">
        <v>1</v>
      </c>
      <c r="N2054" t="s">
        <v>67</v>
      </c>
      <c r="O2054" s="2">
        <v>0.57638888888888895</v>
      </c>
      <c r="P2054">
        <f>-0.0053671986*3600</f>
        <v>-19.321914960000001</v>
      </c>
      <c r="Q2054">
        <f>-0.0039922465*3600</f>
        <v>-14.372087400000002</v>
      </c>
    </row>
    <row r="2055" spans="1:17" x14ac:dyDescent="0.3">
      <c r="A2055" s="4" t="s">
        <v>47</v>
      </c>
      <c r="B2055" s="5" t="s">
        <v>1427</v>
      </c>
      <c r="C2055">
        <v>99.122341000000006</v>
      </c>
      <c r="D2055">
        <v>108.81664600000001</v>
      </c>
      <c r="E2055">
        <v>1</v>
      </c>
      <c r="F2055">
        <v>1</v>
      </c>
      <c r="G2055">
        <v>0.26100000000000001</v>
      </c>
      <c r="H2055">
        <v>0</v>
      </c>
      <c r="I2055" t="s">
        <v>0</v>
      </c>
      <c r="J2055" t="s">
        <v>59</v>
      </c>
      <c r="K2055">
        <v>0</v>
      </c>
      <c r="L2055" t="s">
        <v>60</v>
      </c>
      <c r="M2055">
        <v>1</v>
      </c>
      <c r="N2055" t="s">
        <v>67</v>
      </c>
      <c r="O2055" s="2">
        <v>0.57638888888888895</v>
      </c>
      <c r="P2055">
        <f>-0.0051315921*3600</f>
        <v>-18.473731560000001</v>
      </c>
      <c r="Q2055">
        <f>-0.0035935628*3600</f>
        <v>-12.936826079999999</v>
      </c>
    </row>
    <row r="2056" spans="1:17" x14ac:dyDescent="0.3">
      <c r="A2056" s="4" t="s">
        <v>47</v>
      </c>
      <c r="B2056" s="6" t="s">
        <v>1428</v>
      </c>
      <c r="C2056">
        <v>299.12294500000002</v>
      </c>
      <c r="D2056">
        <v>291.077608</v>
      </c>
      <c r="E2056">
        <v>8.0373999999999999</v>
      </c>
      <c r="F2056">
        <v>7.9570999999999996</v>
      </c>
      <c r="G2056">
        <v>0.26100000000000001</v>
      </c>
      <c r="H2056">
        <v>0</v>
      </c>
      <c r="I2056" t="s">
        <v>0</v>
      </c>
      <c r="J2056" t="s">
        <v>59</v>
      </c>
      <c r="K2056">
        <v>3.4000000000000002E-2</v>
      </c>
      <c r="L2056" t="s">
        <v>60</v>
      </c>
      <c r="M2056">
        <v>1</v>
      </c>
      <c r="N2056" t="s">
        <v>53</v>
      </c>
      <c r="O2056" s="2">
        <v>0.57708333333333328</v>
      </c>
      <c r="P2056">
        <f>0.0044443922*3600</f>
        <v>15.999811920000001</v>
      </c>
      <c r="Q2056">
        <f>0.0025697718*3600</f>
        <v>9.2511784800000001</v>
      </c>
    </row>
    <row r="2057" spans="1:17" x14ac:dyDescent="0.3">
      <c r="A2057" s="4" t="s">
        <v>47</v>
      </c>
      <c r="B2057" s="6" t="s">
        <v>1429</v>
      </c>
      <c r="C2057">
        <v>299.123377</v>
      </c>
      <c r="D2057">
        <v>291.18150200000002</v>
      </c>
      <c r="E2057">
        <v>1</v>
      </c>
      <c r="F2057">
        <v>1</v>
      </c>
      <c r="G2057">
        <v>0.26100000000000001</v>
      </c>
      <c r="H2057">
        <v>0</v>
      </c>
      <c r="I2057" t="s">
        <v>0</v>
      </c>
      <c r="J2057" t="s">
        <v>59</v>
      </c>
      <c r="K2057">
        <v>0</v>
      </c>
      <c r="L2057" t="s">
        <v>60</v>
      </c>
      <c r="M2057">
        <v>1</v>
      </c>
      <c r="N2057" t="s">
        <v>67</v>
      </c>
      <c r="O2057" s="2">
        <v>0.57708333333333328</v>
      </c>
      <c r="P2057">
        <f>0.0041867019*3600</f>
        <v>15.072126839999999</v>
      </c>
      <c r="Q2057">
        <f>0.002520676*3600</f>
        <v>9.074433599999999</v>
      </c>
    </row>
    <row r="2058" spans="1:17" x14ac:dyDescent="0.3">
      <c r="A2058" s="4" t="s">
        <v>47</v>
      </c>
      <c r="B2058" s="6" t="s">
        <v>1430</v>
      </c>
      <c r="C2058">
        <v>299.12371200000001</v>
      </c>
      <c r="D2058">
        <v>291.18171799999999</v>
      </c>
      <c r="E2058">
        <v>1</v>
      </c>
      <c r="F2058">
        <v>1</v>
      </c>
      <c r="G2058">
        <v>0.26100000000000001</v>
      </c>
      <c r="H2058">
        <v>0</v>
      </c>
      <c r="I2058" t="s">
        <v>0</v>
      </c>
      <c r="J2058" t="s">
        <v>59</v>
      </c>
      <c r="K2058">
        <v>0</v>
      </c>
      <c r="L2058" t="s">
        <v>60</v>
      </c>
      <c r="M2058">
        <v>1</v>
      </c>
      <c r="N2058" t="s">
        <v>67</v>
      </c>
      <c r="O2058" s="2">
        <v>0.57708333333333328</v>
      </c>
      <c r="P2058">
        <f>0.0041293099*3600</f>
        <v>14.86551564</v>
      </c>
      <c r="Q2058">
        <f>0.0026990382*3600</f>
        <v>9.7165375199999993</v>
      </c>
    </row>
    <row r="2059" spans="1:17" x14ac:dyDescent="0.3">
      <c r="A2059" s="4" t="s">
        <v>47</v>
      </c>
      <c r="B2059" s="6" t="s">
        <v>1431</v>
      </c>
      <c r="C2059">
        <v>299.12331499999999</v>
      </c>
      <c r="D2059">
        <v>291.18177500000002</v>
      </c>
      <c r="E2059">
        <v>1</v>
      </c>
      <c r="F2059">
        <v>1</v>
      </c>
      <c r="G2059">
        <v>0.26100000000000001</v>
      </c>
      <c r="H2059">
        <v>0</v>
      </c>
      <c r="I2059" t="s">
        <v>0</v>
      </c>
      <c r="J2059" t="s">
        <v>59</v>
      </c>
      <c r="K2059">
        <v>0</v>
      </c>
      <c r="L2059" t="s">
        <v>60</v>
      </c>
      <c r="M2059">
        <v>1</v>
      </c>
      <c r="N2059" t="s">
        <v>67</v>
      </c>
      <c r="O2059" s="2">
        <v>0.57708333333333328</v>
      </c>
      <c r="P2059">
        <f>0.00389405*3600</f>
        <v>14.01858</v>
      </c>
      <c r="Q2059">
        <f>0.0027612023*3600</f>
        <v>9.9403282799999992</v>
      </c>
    </row>
    <row r="2060" spans="1:17" x14ac:dyDescent="0.3">
      <c r="A2060" s="4" t="s">
        <v>47</v>
      </c>
      <c r="B2060" s="6" t="s">
        <v>1432</v>
      </c>
      <c r="C2060">
        <v>299.12313399999999</v>
      </c>
      <c r="D2060">
        <v>291.18196799999998</v>
      </c>
      <c r="E2060">
        <v>1</v>
      </c>
      <c r="F2060">
        <v>1</v>
      </c>
      <c r="G2060">
        <v>0.26100000000000001</v>
      </c>
      <c r="H2060">
        <v>0</v>
      </c>
      <c r="I2060" t="s">
        <v>0</v>
      </c>
      <c r="J2060" t="s">
        <v>59</v>
      </c>
      <c r="K2060">
        <v>0</v>
      </c>
      <c r="L2060" t="s">
        <v>60</v>
      </c>
      <c r="M2060">
        <v>1</v>
      </c>
      <c r="N2060" t="s">
        <v>67</v>
      </c>
      <c r="O2060" s="2">
        <v>0.57708333333333328</v>
      </c>
      <c r="P2060">
        <f>0.0038922776*3600</f>
        <v>14.01219936</v>
      </c>
      <c r="Q2060">
        <f>0.002934785*3600</f>
        <v>10.565226000000001</v>
      </c>
    </row>
    <row r="2061" spans="1:17" x14ac:dyDescent="0.3">
      <c r="A2061" s="4" t="s">
        <v>47</v>
      </c>
      <c r="B2061" s="6" t="s">
        <v>1433</v>
      </c>
      <c r="C2061">
        <v>299.12394</v>
      </c>
      <c r="D2061">
        <v>291.18183399999998</v>
      </c>
      <c r="E2061">
        <v>1</v>
      </c>
      <c r="F2061">
        <v>1</v>
      </c>
      <c r="G2061">
        <v>0.26100000000000001</v>
      </c>
      <c r="H2061">
        <v>0</v>
      </c>
      <c r="I2061" t="s">
        <v>0</v>
      </c>
      <c r="J2061" t="s">
        <v>59</v>
      </c>
      <c r="K2061">
        <v>0</v>
      </c>
      <c r="L2061" t="s">
        <v>60</v>
      </c>
      <c r="M2061">
        <v>1</v>
      </c>
      <c r="N2061" t="s">
        <v>67</v>
      </c>
      <c r="O2061" s="2">
        <v>0.57708333333333328</v>
      </c>
      <c r="P2061">
        <f>0.0040061371*3600</f>
        <v>14.42209356</v>
      </c>
      <c r="Q2061">
        <f>0.0027770545*3600</f>
        <v>9.997396199999999</v>
      </c>
    </row>
    <row r="2062" spans="1:17" x14ac:dyDescent="0.3">
      <c r="A2062" s="4" t="s">
        <v>47</v>
      </c>
      <c r="B2062" s="6" t="s">
        <v>1434</v>
      </c>
      <c r="C2062">
        <v>299.12368500000002</v>
      </c>
      <c r="D2062">
        <v>291.18171100000001</v>
      </c>
      <c r="E2062">
        <v>1</v>
      </c>
      <c r="F2062">
        <v>1</v>
      </c>
      <c r="G2062">
        <v>0.26100000000000001</v>
      </c>
      <c r="H2062">
        <v>0</v>
      </c>
      <c r="I2062" t="s">
        <v>0</v>
      </c>
      <c r="J2062" t="s">
        <v>59</v>
      </c>
      <c r="K2062">
        <v>0</v>
      </c>
      <c r="L2062" t="s">
        <v>60</v>
      </c>
      <c r="M2062">
        <v>1</v>
      </c>
      <c r="N2062" t="s">
        <v>67</v>
      </c>
      <c r="O2062" s="2">
        <v>0.57708333333333328</v>
      </c>
      <c r="P2062">
        <f>0.0039766469*3600</f>
        <v>14.315928840000002</v>
      </c>
      <c r="Q2062">
        <f>0.0026584191*3600</f>
        <v>9.5703087599999996</v>
      </c>
    </row>
    <row r="2063" spans="1:17" x14ac:dyDescent="0.3">
      <c r="A2063" s="4" t="s">
        <v>47</v>
      </c>
      <c r="B2063" s="6" t="s">
        <v>1435</v>
      </c>
      <c r="C2063">
        <v>299.12321200000002</v>
      </c>
      <c r="D2063">
        <v>291.18178399999999</v>
      </c>
      <c r="E2063">
        <v>1</v>
      </c>
      <c r="F2063">
        <v>1</v>
      </c>
      <c r="G2063">
        <v>0.26100000000000001</v>
      </c>
      <c r="H2063">
        <v>0</v>
      </c>
      <c r="I2063" t="s">
        <v>0</v>
      </c>
      <c r="J2063" t="s">
        <v>59</v>
      </c>
      <c r="K2063">
        <v>0</v>
      </c>
      <c r="L2063" t="s">
        <v>60</v>
      </c>
      <c r="M2063">
        <v>1</v>
      </c>
      <c r="N2063" t="s">
        <v>67</v>
      </c>
      <c r="O2063" s="2">
        <v>0.57708333333333328</v>
      </c>
      <c r="P2063">
        <f>0.004017914*3600</f>
        <v>14.464490400000001</v>
      </c>
      <c r="Q2063">
        <f>0.0027335009*3600</f>
        <v>9.8406032400000001</v>
      </c>
    </row>
    <row r="2064" spans="1:17" x14ac:dyDescent="0.3">
      <c r="A2064" s="4" t="s">
        <v>47</v>
      </c>
      <c r="B2064" s="6" t="s">
        <v>1436</v>
      </c>
      <c r="C2064">
        <v>299.12341400000003</v>
      </c>
      <c r="D2064">
        <v>291.18191300000001</v>
      </c>
      <c r="E2064">
        <v>1</v>
      </c>
      <c r="F2064">
        <v>1</v>
      </c>
      <c r="G2064">
        <v>0.26100000000000001</v>
      </c>
      <c r="H2064">
        <v>0</v>
      </c>
      <c r="I2064" t="s">
        <v>0</v>
      </c>
      <c r="J2064" t="s">
        <v>59</v>
      </c>
      <c r="K2064">
        <v>0</v>
      </c>
      <c r="L2064" t="s">
        <v>60</v>
      </c>
      <c r="M2064">
        <v>1</v>
      </c>
      <c r="N2064" t="s">
        <v>67</v>
      </c>
      <c r="O2064" s="2">
        <v>0.57708333333333328</v>
      </c>
      <c r="P2064">
        <f>0.0040502852*3600</f>
        <v>14.581026719999999</v>
      </c>
      <c r="Q2064">
        <f>0.0027905599*3600</f>
        <v>10.04601564</v>
      </c>
    </row>
    <row r="2065" spans="1:17" x14ac:dyDescent="0.3">
      <c r="A2065" s="4" t="s">
        <v>47</v>
      </c>
      <c r="B2065" s="6" t="s">
        <v>1437</v>
      </c>
      <c r="C2065">
        <v>299.12363499999998</v>
      </c>
      <c r="D2065">
        <v>291.18187899999998</v>
      </c>
      <c r="E2065">
        <v>1</v>
      </c>
      <c r="F2065">
        <v>1</v>
      </c>
      <c r="G2065">
        <v>0.26100000000000001</v>
      </c>
      <c r="H2065">
        <v>0</v>
      </c>
      <c r="I2065" t="s">
        <v>0</v>
      </c>
      <c r="J2065" t="s">
        <v>59</v>
      </c>
      <c r="K2065">
        <v>0</v>
      </c>
      <c r="L2065" t="s">
        <v>60</v>
      </c>
      <c r="M2065">
        <v>1</v>
      </c>
      <c r="N2065" t="s">
        <v>67</v>
      </c>
      <c r="O2065" s="2">
        <v>0.57708333333333328</v>
      </c>
      <c r="P2065">
        <f>0.0039108797*3600</f>
        <v>14.079166919999999</v>
      </c>
      <c r="Q2065">
        <f>0.0027587665*3600</f>
        <v>9.9315593999999994</v>
      </c>
    </row>
    <row r="2066" spans="1:17" x14ac:dyDescent="0.3">
      <c r="A2066" s="4" t="s">
        <v>47</v>
      </c>
      <c r="B2066" s="6" t="s">
        <v>1438</v>
      </c>
      <c r="C2066">
        <v>299.12449700000002</v>
      </c>
      <c r="D2066">
        <v>291.18194499999998</v>
      </c>
      <c r="E2066">
        <v>1</v>
      </c>
      <c r="F2066">
        <v>1</v>
      </c>
      <c r="G2066">
        <v>0.26100000000000001</v>
      </c>
      <c r="H2066">
        <v>0</v>
      </c>
      <c r="I2066" t="s">
        <v>0</v>
      </c>
      <c r="J2066" t="s">
        <v>59</v>
      </c>
      <c r="K2066">
        <v>0</v>
      </c>
      <c r="L2066" t="s">
        <v>60</v>
      </c>
      <c r="M2066">
        <v>1</v>
      </c>
      <c r="N2066" t="s">
        <v>67</v>
      </c>
      <c r="O2066" s="2">
        <v>0.57708333333333328</v>
      </c>
      <c r="P2066">
        <f>0.0039955964*3600</f>
        <v>14.38414704</v>
      </c>
      <c r="Q2066">
        <f>0.0028123104*3600</f>
        <v>10.124317439999999</v>
      </c>
    </row>
    <row r="2067" spans="1:17" x14ac:dyDescent="0.3">
      <c r="A2067" s="4" t="s">
        <v>47</v>
      </c>
      <c r="B2067" s="6" t="s">
        <v>1439</v>
      </c>
      <c r="C2067">
        <v>299.12309099999999</v>
      </c>
      <c r="D2067">
        <v>291.18188099999998</v>
      </c>
      <c r="E2067">
        <v>1</v>
      </c>
      <c r="F2067">
        <v>1</v>
      </c>
      <c r="G2067">
        <v>0.26100000000000001</v>
      </c>
      <c r="H2067">
        <v>0</v>
      </c>
      <c r="I2067" t="s">
        <v>0</v>
      </c>
      <c r="J2067" t="s">
        <v>59</v>
      </c>
      <c r="K2067">
        <v>0</v>
      </c>
      <c r="L2067" t="s">
        <v>60</v>
      </c>
      <c r="M2067">
        <v>1</v>
      </c>
      <c r="N2067" t="s">
        <v>67</v>
      </c>
      <c r="O2067" s="2">
        <v>0.57708333333333328</v>
      </c>
      <c r="P2067">
        <f>0.0041217407*3600</f>
        <v>14.838266520000001</v>
      </c>
      <c r="Q2067">
        <f>0.0027685377*3600</f>
        <v>9.9667357199999991</v>
      </c>
    </row>
    <row r="2068" spans="1:17" x14ac:dyDescent="0.3">
      <c r="A2068" s="4" t="s">
        <v>47</v>
      </c>
      <c r="B2068" s="6" t="s">
        <v>1440</v>
      </c>
      <c r="C2068">
        <v>299.123378</v>
      </c>
      <c r="D2068">
        <v>291.18193100000002</v>
      </c>
      <c r="E2068">
        <v>1</v>
      </c>
      <c r="F2068">
        <v>1</v>
      </c>
      <c r="G2068">
        <v>0.26100000000000001</v>
      </c>
      <c r="H2068">
        <v>0</v>
      </c>
      <c r="I2068" t="s">
        <v>0</v>
      </c>
      <c r="J2068" t="s">
        <v>59</v>
      </c>
      <c r="K2068">
        <v>0</v>
      </c>
      <c r="L2068" t="s">
        <v>60</v>
      </c>
      <c r="M2068">
        <v>1</v>
      </c>
      <c r="N2068" t="s">
        <v>67</v>
      </c>
      <c r="O2068" s="2">
        <v>0.57708333333333328</v>
      </c>
      <c r="P2068">
        <f>0.0040375591*3600</f>
        <v>14.53521276</v>
      </c>
      <c r="Q2068">
        <f>0.0028061417*3600</f>
        <v>10.102110120000001</v>
      </c>
    </row>
    <row r="2069" spans="1:17" x14ac:dyDescent="0.3">
      <c r="A2069" s="4" t="s">
        <v>47</v>
      </c>
      <c r="B2069" s="6" t="s">
        <v>1441</v>
      </c>
      <c r="C2069">
        <v>299.12352199999998</v>
      </c>
      <c r="D2069">
        <v>291.18162899999999</v>
      </c>
      <c r="E2069">
        <v>1</v>
      </c>
      <c r="F2069">
        <v>1</v>
      </c>
      <c r="G2069">
        <v>0.26100000000000001</v>
      </c>
      <c r="H2069">
        <v>0</v>
      </c>
      <c r="I2069" t="s">
        <v>0</v>
      </c>
      <c r="J2069" t="s">
        <v>59</v>
      </c>
      <c r="K2069">
        <v>0</v>
      </c>
      <c r="L2069" t="s">
        <v>60</v>
      </c>
      <c r="M2069">
        <v>1</v>
      </c>
      <c r="N2069" t="s">
        <v>67</v>
      </c>
      <c r="O2069" s="2">
        <v>0.57708333333333328</v>
      </c>
      <c r="P2069">
        <f>0.0041803915*3600</f>
        <v>15.0494094</v>
      </c>
      <c r="Q2069">
        <f>0.0024886789*3600</f>
        <v>8.9592440399999997</v>
      </c>
    </row>
    <row r="2070" spans="1:17" x14ac:dyDescent="0.3">
      <c r="A2070" s="4" t="s">
        <v>47</v>
      </c>
      <c r="B2070" s="6" t="s">
        <v>1442</v>
      </c>
      <c r="C2070">
        <v>299.123469</v>
      </c>
      <c r="D2070">
        <v>291.18159900000001</v>
      </c>
      <c r="E2070">
        <v>1</v>
      </c>
      <c r="F2070">
        <v>1</v>
      </c>
      <c r="G2070">
        <v>0.26100000000000001</v>
      </c>
      <c r="H2070">
        <v>0</v>
      </c>
      <c r="I2070" t="s">
        <v>0</v>
      </c>
      <c r="J2070" t="s">
        <v>59</v>
      </c>
      <c r="K2070">
        <v>0</v>
      </c>
      <c r="L2070" t="s">
        <v>60</v>
      </c>
      <c r="M2070">
        <v>1</v>
      </c>
      <c r="N2070" t="s">
        <v>67</v>
      </c>
      <c r="O2070" s="2">
        <v>0.57708333333333328</v>
      </c>
      <c r="P2070">
        <f>0.0041072558*3600</f>
        <v>14.78612088</v>
      </c>
      <c r="Q2070">
        <f>0.0024801555*3600</f>
        <v>8.9285598000000004</v>
      </c>
    </row>
    <row r="2071" spans="1:17" x14ac:dyDescent="0.3">
      <c r="A2071" s="4" t="s">
        <v>47</v>
      </c>
      <c r="B2071" s="6" t="s">
        <v>1443</v>
      </c>
      <c r="C2071">
        <v>299.123538</v>
      </c>
      <c r="D2071">
        <v>291.18181600000003</v>
      </c>
      <c r="E2071">
        <v>1</v>
      </c>
      <c r="F2071">
        <v>1</v>
      </c>
      <c r="G2071">
        <v>0.26100000000000001</v>
      </c>
      <c r="H2071">
        <v>0</v>
      </c>
      <c r="I2071" t="s">
        <v>0</v>
      </c>
      <c r="J2071" t="s">
        <v>59</v>
      </c>
      <c r="K2071">
        <v>0</v>
      </c>
      <c r="L2071" t="s">
        <v>60</v>
      </c>
      <c r="M2071">
        <v>1</v>
      </c>
      <c r="N2071" t="s">
        <v>67</v>
      </c>
      <c r="O2071" s="2">
        <v>0.57708333333333328</v>
      </c>
      <c r="P2071">
        <f>0.004112705*3600</f>
        <v>14.805738000000002</v>
      </c>
      <c r="Q2071">
        <f>0.0026481704*3600</f>
        <v>9.5334134400000003</v>
      </c>
    </row>
    <row r="2072" spans="1:17" x14ac:dyDescent="0.3">
      <c r="A2072" s="4" t="s">
        <v>47</v>
      </c>
      <c r="B2072" s="6" t="s">
        <v>1444</v>
      </c>
      <c r="C2072">
        <v>299.12363399999998</v>
      </c>
      <c r="D2072">
        <v>291.18176499999998</v>
      </c>
      <c r="E2072">
        <v>1</v>
      </c>
      <c r="F2072">
        <v>1</v>
      </c>
      <c r="G2072">
        <v>0.26100000000000001</v>
      </c>
      <c r="H2072">
        <v>0</v>
      </c>
      <c r="I2072" t="s">
        <v>0</v>
      </c>
      <c r="J2072" t="s">
        <v>59</v>
      </c>
      <c r="K2072">
        <v>0</v>
      </c>
      <c r="L2072" t="s">
        <v>60</v>
      </c>
      <c r="M2072">
        <v>1</v>
      </c>
      <c r="N2072" t="s">
        <v>67</v>
      </c>
      <c r="O2072" s="2">
        <v>0.57708333333333328</v>
      </c>
      <c r="P2072">
        <f>0.0040405375*3600</f>
        <v>14.545935</v>
      </c>
      <c r="Q2072">
        <f>0.0025924743*3600</f>
        <v>9.3329074800000011</v>
      </c>
    </row>
    <row r="2073" spans="1:17" x14ac:dyDescent="0.3">
      <c r="A2073" s="4" t="s">
        <v>47</v>
      </c>
      <c r="B2073" s="6" t="s">
        <v>1445</v>
      </c>
      <c r="C2073">
        <v>299.12343399999997</v>
      </c>
      <c r="D2073">
        <v>291.18177300000002</v>
      </c>
      <c r="E2073">
        <v>1</v>
      </c>
      <c r="F2073">
        <v>1</v>
      </c>
      <c r="G2073">
        <v>0.26100000000000001</v>
      </c>
      <c r="H2073">
        <v>0</v>
      </c>
      <c r="I2073" t="s">
        <v>0</v>
      </c>
      <c r="J2073" t="s">
        <v>59</v>
      </c>
      <c r="K2073">
        <v>0</v>
      </c>
      <c r="L2073" t="s">
        <v>60</v>
      </c>
      <c r="M2073">
        <v>1</v>
      </c>
      <c r="N2073" t="s">
        <v>67</v>
      </c>
      <c r="O2073" s="2">
        <v>0.57708333333333328</v>
      </c>
      <c r="P2073">
        <f>0.0040775558*3600</f>
        <v>14.679200880000002</v>
      </c>
      <c r="Q2073">
        <f>0.0026012622*3600</f>
        <v>9.3645439200000009</v>
      </c>
    </row>
    <row r="2074" spans="1:17" x14ac:dyDescent="0.3">
      <c r="A2074" s="4" t="s">
        <v>47</v>
      </c>
      <c r="B2074" s="6" t="s">
        <v>1446</v>
      </c>
      <c r="C2074">
        <v>299.123311</v>
      </c>
      <c r="D2074">
        <v>291.18177700000001</v>
      </c>
      <c r="E2074">
        <v>1</v>
      </c>
      <c r="F2074">
        <v>1</v>
      </c>
      <c r="G2074">
        <v>0.26100000000000001</v>
      </c>
      <c r="H2074">
        <v>0</v>
      </c>
      <c r="I2074" t="s">
        <v>0</v>
      </c>
      <c r="J2074" t="s">
        <v>59</v>
      </c>
      <c r="K2074">
        <v>0</v>
      </c>
      <c r="L2074" t="s">
        <v>60</v>
      </c>
      <c r="M2074">
        <v>1</v>
      </c>
      <c r="N2074" t="s">
        <v>67</v>
      </c>
      <c r="O2074" s="2">
        <v>0.57708333333333328</v>
      </c>
      <c r="P2074">
        <f>0.0041286176*3600</f>
        <v>14.863023360000001</v>
      </c>
      <c r="Q2074">
        <f>0.0026125561*3600</f>
        <v>9.4052019599999994</v>
      </c>
    </row>
    <row r="2075" spans="1:17" x14ac:dyDescent="0.3">
      <c r="A2075" s="4" t="s">
        <v>47</v>
      </c>
      <c r="B2075" s="6" t="s">
        <v>1447</v>
      </c>
      <c r="C2075">
        <v>299.12384300000002</v>
      </c>
      <c r="D2075">
        <v>291.181738</v>
      </c>
      <c r="E2075">
        <v>1</v>
      </c>
      <c r="F2075">
        <v>1</v>
      </c>
      <c r="G2075">
        <v>0.26100000000000001</v>
      </c>
      <c r="H2075">
        <v>0</v>
      </c>
      <c r="I2075" t="s">
        <v>0</v>
      </c>
      <c r="J2075" t="s">
        <v>59</v>
      </c>
      <c r="K2075">
        <v>0</v>
      </c>
      <c r="L2075" t="s">
        <v>60</v>
      </c>
      <c r="M2075">
        <v>1</v>
      </c>
      <c r="N2075" t="s">
        <v>67</v>
      </c>
      <c r="O2075" s="2">
        <v>0.57708333333333328</v>
      </c>
      <c r="P2075">
        <f>0.0048450882*3600</f>
        <v>17.44231752</v>
      </c>
      <c r="Q2075">
        <f>0.0025691255*3600</f>
        <v>9.2488518000000006</v>
      </c>
    </row>
    <row r="2076" spans="1:17" x14ac:dyDescent="0.3">
      <c r="A2076" s="4" t="s">
        <v>47</v>
      </c>
      <c r="B2076" s="6" t="s">
        <v>1448</v>
      </c>
      <c r="C2076">
        <v>299.12275499999998</v>
      </c>
      <c r="D2076">
        <v>291.181782</v>
      </c>
      <c r="E2076">
        <v>1</v>
      </c>
      <c r="F2076">
        <v>1</v>
      </c>
      <c r="G2076">
        <v>0.26100000000000001</v>
      </c>
      <c r="H2076">
        <v>0</v>
      </c>
      <c r="I2076" t="s">
        <v>0</v>
      </c>
      <c r="J2076" t="s">
        <v>59</v>
      </c>
      <c r="K2076">
        <v>0</v>
      </c>
      <c r="L2076" t="s">
        <v>60</v>
      </c>
      <c r="M2076">
        <v>1</v>
      </c>
      <c r="N2076" t="s">
        <v>67</v>
      </c>
      <c r="O2076" s="2">
        <v>0.57708333333333328</v>
      </c>
      <c r="P2076">
        <f>0.0047903066*3600</f>
        <v>17.245103759999999</v>
      </c>
      <c r="Q2076">
        <f>0.0025855039*3600</f>
        <v>9.3078140400000002</v>
      </c>
    </row>
    <row r="2077" spans="1:17" x14ac:dyDescent="0.3">
      <c r="A2077" s="4" t="s">
        <v>47</v>
      </c>
      <c r="B2077" s="6" t="s">
        <v>1449</v>
      </c>
      <c r="C2077">
        <v>299.12313999999998</v>
      </c>
      <c r="D2077">
        <v>291.18173400000001</v>
      </c>
      <c r="E2077">
        <v>1</v>
      </c>
      <c r="F2077">
        <v>1</v>
      </c>
      <c r="G2077">
        <v>0.26100000000000001</v>
      </c>
      <c r="H2077">
        <v>0</v>
      </c>
      <c r="I2077" t="s">
        <v>0</v>
      </c>
      <c r="J2077" t="s">
        <v>59</v>
      </c>
      <c r="K2077">
        <v>0</v>
      </c>
      <c r="L2077" t="s">
        <v>60</v>
      </c>
      <c r="M2077">
        <v>1</v>
      </c>
      <c r="N2077" t="s">
        <v>67</v>
      </c>
      <c r="O2077" s="2">
        <v>0.57708333333333328</v>
      </c>
      <c r="P2077">
        <f>0.0047570929*3600</f>
        <v>17.125534439999999</v>
      </c>
      <c r="Q2077">
        <f>0.0025292972*3600</f>
        <v>9.1054699199999991</v>
      </c>
    </row>
    <row r="2078" spans="1:17" x14ac:dyDescent="0.3">
      <c r="A2078" s="4" t="s">
        <v>47</v>
      </c>
      <c r="B2078" s="6" t="s">
        <v>1450</v>
      </c>
      <c r="C2078">
        <v>299.12239099999999</v>
      </c>
      <c r="D2078">
        <v>291.18177400000002</v>
      </c>
      <c r="E2078">
        <v>1</v>
      </c>
      <c r="F2078">
        <v>1</v>
      </c>
      <c r="G2078">
        <v>0.26100000000000001</v>
      </c>
      <c r="H2078">
        <v>0</v>
      </c>
      <c r="I2078" t="s">
        <v>0</v>
      </c>
      <c r="J2078" t="s">
        <v>59</v>
      </c>
      <c r="K2078">
        <v>0</v>
      </c>
      <c r="L2078" t="s">
        <v>60</v>
      </c>
      <c r="M2078">
        <v>1</v>
      </c>
      <c r="N2078" t="s">
        <v>67</v>
      </c>
      <c r="O2078" s="2">
        <v>0.57708333333333328</v>
      </c>
      <c r="P2078">
        <f>0.0043335502*3600</f>
        <v>15.600780720000001</v>
      </c>
      <c r="Q2078">
        <f>0.0026014666*3600</f>
        <v>9.36527976</v>
      </c>
    </row>
    <row r="2079" spans="1:17" x14ac:dyDescent="0.3">
      <c r="A2079" s="4" t="s">
        <v>47</v>
      </c>
      <c r="B2079" s="6" t="s">
        <v>1451</v>
      </c>
      <c r="C2079">
        <v>299.122432</v>
      </c>
      <c r="D2079">
        <v>291.18180799999999</v>
      </c>
      <c r="E2079">
        <v>1</v>
      </c>
      <c r="F2079">
        <v>1</v>
      </c>
      <c r="G2079">
        <v>0.26100000000000001</v>
      </c>
      <c r="H2079">
        <v>0</v>
      </c>
      <c r="I2079" t="s">
        <v>0</v>
      </c>
      <c r="J2079" t="s">
        <v>59</v>
      </c>
      <c r="K2079">
        <v>0</v>
      </c>
      <c r="L2079" t="s">
        <v>60</v>
      </c>
      <c r="M2079">
        <v>1</v>
      </c>
      <c r="N2079" t="s">
        <v>67</v>
      </c>
      <c r="O2079" s="2">
        <v>0.57708333333333328</v>
      </c>
      <c r="P2079">
        <f>0.0042291061*3600</f>
        <v>15.224781960000001</v>
      </c>
      <c r="Q2079">
        <f>0.0026320134*3600</f>
        <v>9.4752482400000009</v>
      </c>
    </row>
    <row r="2080" spans="1:17" x14ac:dyDescent="0.3">
      <c r="A2080" s="4" t="s">
        <v>47</v>
      </c>
      <c r="B2080" s="6" t="s">
        <v>1452</v>
      </c>
      <c r="C2080">
        <v>299.122907</v>
      </c>
      <c r="D2080">
        <v>291.181918</v>
      </c>
      <c r="E2080">
        <v>1</v>
      </c>
      <c r="F2080">
        <v>1</v>
      </c>
      <c r="G2080">
        <v>0.26100000000000001</v>
      </c>
      <c r="H2080">
        <v>0</v>
      </c>
      <c r="I2080" t="s">
        <v>0</v>
      </c>
      <c r="J2080" t="s">
        <v>59</v>
      </c>
      <c r="K2080">
        <v>0</v>
      </c>
      <c r="L2080" t="s">
        <v>60</v>
      </c>
      <c r="M2080">
        <v>1</v>
      </c>
      <c r="N2080" t="s">
        <v>67</v>
      </c>
      <c r="O2080" s="2">
        <v>0.57708333333333328</v>
      </c>
      <c r="P2080">
        <f>0.0041253977*3600</f>
        <v>14.851431720000001</v>
      </c>
      <c r="Q2080">
        <f>0.0026943883*3600</f>
        <v>9.6997978800000002</v>
      </c>
    </row>
    <row r="2081" spans="1:17" x14ac:dyDescent="0.3">
      <c r="A2081" s="4" t="s">
        <v>47</v>
      </c>
      <c r="B2081" s="6" t="s">
        <v>1453</v>
      </c>
      <c r="C2081">
        <v>299.122345</v>
      </c>
      <c r="D2081">
        <v>291.18180100000001</v>
      </c>
      <c r="E2081">
        <v>1</v>
      </c>
      <c r="F2081">
        <v>1</v>
      </c>
      <c r="G2081">
        <v>0.26100000000000001</v>
      </c>
      <c r="H2081">
        <v>0</v>
      </c>
      <c r="I2081" t="s">
        <v>0</v>
      </c>
      <c r="J2081" t="s">
        <v>59</v>
      </c>
      <c r="K2081">
        <v>0</v>
      </c>
      <c r="L2081" t="s">
        <v>60</v>
      </c>
      <c r="M2081">
        <v>1</v>
      </c>
      <c r="N2081" t="s">
        <v>67</v>
      </c>
      <c r="O2081" s="2">
        <v>0.57708333333333328</v>
      </c>
      <c r="P2081">
        <f>0.0042240192*3600</f>
        <v>15.20646912</v>
      </c>
      <c r="Q2081">
        <f>0.0026310769*3600</f>
        <v>9.4718768400000002</v>
      </c>
    </row>
    <row r="2082" spans="1:17" x14ac:dyDescent="0.3">
      <c r="A2082" s="4" t="s">
        <v>47</v>
      </c>
      <c r="B2082" s="6" t="s">
        <v>1454</v>
      </c>
      <c r="C2082">
        <v>299.12280700000002</v>
      </c>
      <c r="D2082">
        <v>291.181782</v>
      </c>
      <c r="E2082">
        <v>1</v>
      </c>
      <c r="F2082">
        <v>1</v>
      </c>
      <c r="G2082">
        <v>0.26100000000000001</v>
      </c>
      <c r="H2082">
        <v>0</v>
      </c>
      <c r="I2082" t="s">
        <v>0</v>
      </c>
      <c r="J2082" t="s">
        <v>59</v>
      </c>
      <c r="K2082">
        <v>0</v>
      </c>
      <c r="L2082" t="s">
        <v>60</v>
      </c>
      <c r="M2082">
        <v>1</v>
      </c>
      <c r="N2082" t="s">
        <v>67</v>
      </c>
      <c r="O2082" s="2">
        <v>0.57708333333333328</v>
      </c>
      <c r="P2082">
        <f>0.0041853921*3600</f>
        <v>15.06741156</v>
      </c>
      <c r="Q2082">
        <f>0.0025972192*3600</f>
        <v>9.34998912</v>
      </c>
    </row>
    <row r="2083" spans="1:17" x14ac:dyDescent="0.3">
      <c r="A2083" s="4" t="s">
        <v>47</v>
      </c>
      <c r="B2083" s="6" t="s">
        <v>1455</v>
      </c>
      <c r="C2083">
        <v>299.122771</v>
      </c>
      <c r="D2083">
        <v>291.18187999999998</v>
      </c>
      <c r="E2083">
        <v>1</v>
      </c>
      <c r="F2083">
        <v>1</v>
      </c>
      <c r="G2083">
        <v>0.26100000000000001</v>
      </c>
      <c r="H2083">
        <v>0</v>
      </c>
      <c r="I2083" t="s">
        <v>0</v>
      </c>
      <c r="J2083" t="s">
        <v>59</v>
      </c>
      <c r="K2083">
        <v>0</v>
      </c>
      <c r="L2083" t="s">
        <v>60</v>
      </c>
      <c r="M2083">
        <v>1</v>
      </c>
      <c r="N2083" t="s">
        <v>67</v>
      </c>
      <c r="O2083" s="2">
        <v>0.57708333333333328</v>
      </c>
      <c r="P2083">
        <f>0.0041257941*3600</f>
        <v>14.85285876</v>
      </c>
      <c r="Q2083">
        <f>0.0026944677*3600</f>
        <v>9.7000837200000003</v>
      </c>
    </row>
    <row r="2084" spans="1:17" x14ac:dyDescent="0.3">
      <c r="A2084" s="4" t="s">
        <v>47</v>
      </c>
      <c r="B2084" s="6" t="s">
        <v>1456</v>
      </c>
      <c r="C2084">
        <v>299.12228699999997</v>
      </c>
      <c r="D2084">
        <v>291.18187</v>
      </c>
      <c r="E2084">
        <v>1</v>
      </c>
      <c r="F2084">
        <v>1</v>
      </c>
      <c r="G2084">
        <v>0.26100000000000001</v>
      </c>
      <c r="H2084">
        <v>0</v>
      </c>
      <c r="I2084" t="s">
        <v>0</v>
      </c>
      <c r="J2084" t="s">
        <v>59</v>
      </c>
      <c r="K2084">
        <v>0</v>
      </c>
      <c r="L2084" t="s">
        <v>60</v>
      </c>
      <c r="M2084">
        <v>1</v>
      </c>
      <c r="N2084" t="s">
        <v>67</v>
      </c>
      <c r="O2084" s="2">
        <v>0.57708333333333328</v>
      </c>
      <c r="P2084">
        <f>0.00419229*3600</f>
        <v>15.092244000000001</v>
      </c>
      <c r="Q2084">
        <f>0.0026806132*3600</f>
        <v>9.6502075200000004</v>
      </c>
    </row>
    <row r="2085" spans="1:17" x14ac:dyDescent="0.3">
      <c r="A2085" s="4" t="s">
        <v>47</v>
      </c>
      <c r="B2085" s="6" t="s">
        <v>1457</v>
      </c>
      <c r="C2085">
        <v>299.12307299999998</v>
      </c>
      <c r="D2085">
        <v>291.181892</v>
      </c>
      <c r="E2085">
        <v>1</v>
      </c>
      <c r="F2085">
        <v>1</v>
      </c>
      <c r="G2085">
        <v>0.26100000000000001</v>
      </c>
      <c r="H2085">
        <v>0</v>
      </c>
      <c r="I2085" t="s">
        <v>0</v>
      </c>
      <c r="J2085" t="s">
        <v>59</v>
      </c>
      <c r="K2085">
        <v>0</v>
      </c>
      <c r="L2085" t="s">
        <v>60</v>
      </c>
      <c r="M2085">
        <v>1</v>
      </c>
      <c r="N2085" t="s">
        <v>67</v>
      </c>
      <c r="O2085" s="2">
        <v>0.57708333333333328</v>
      </c>
      <c r="P2085">
        <f>0.00407584*3600</f>
        <v>14.673024</v>
      </c>
      <c r="Q2085">
        <f>0.0026736924*3600</f>
        <v>9.6252926399999996</v>
      </c>
    </row>
    <row r="2086" spans="1:17" x14ac:dyDescent="0.3">
      <c r="A2086" s="4" t="s">
        <v>47</v>
      </c>
      <c r="B2086" s="6" t="s">
        <v>1458</v>
      </c>
      <c r="C2086">
        <v>299.12347599999998</v>
      </c>
      <c r="D2086">
        <v>291.18183499999998</v>
      </c>
      <c r="E2086">
        <v>1</v>
      </c>
      <c r="F2086">
        <v>1</v>
      </c>
      <c r="G2086">
        <v>0.26100000000000001</v>
      </c>
      <c r="H2086">
        <v>0</v>
      </c>
      <c r="I2086" t="s">
        <v>0</v>
      </c>
      <c r="J2086" t="s">
        <v>59</v>
      </c>
      <c r="K2086">
        <v>0</v>
      </c>
      <c r="L2086" t="s">
        <v>60</v>
      </c>
      <c r="M2086">
        <v>1</v>
      </c>
      <c r="N2086" t="s">
        <v>67</v>
      </c>
      <c r="O2086" s="2">
        <v>0.57708333333333328</v>
      </c>
      <c r="P2086">
        <f>0.0041720733*3600</f>
        <v>15.01946388</v>
      </c>
      <c r="Q2086">
        <f>0.0026266544*3600</f>
        <v>9.4559558399999997</v>
      </c>
    </row>
    <row r="2087" spans="1:17" x14ac:dyDescent="0.3">
      <c r="A2087" s="4" t="s">
        <v>47</v>
      </c>
      <c r="B2087" s="6" t="s">
        <v>1459</v>
      </c>
      <c r="C2087">
        <v>299.12245000000001</v>
      </c>
      <c r="D2087">
        <v>291.18187599999999</v>
      </c>
      <c r="E2087">
        <v>1</v>
      </c>
      <c r="F2087">
        <v>1</v>
      </c>
      <c r="G2087">
        <v>0.26100000000000001</v>
      </c>
      <c r="H2087">
        <v>0</v>
      </c>
      <c r="I2087" t="s">
        <v>0</v>
      </c>
      <c r="J2087" t="s">
        <v>59</v>
      </c>
      <c r="K2087">
        <v>0</v>
      </c>
      <c r="L2087" t="s">
        <v>60</v>
      </c>
      <c r="M2087">
        <v>1</v>
      </c>
      <c r="N2087" t="s">
        <v>67</v>
      </c>
      <c r="O2087" s="2">
        <v>0.57708333333333328</v>
      </c>
      <c r="P2087">
        <f>0.0043441778*3600</f>
        <v>15.639040079999999</v>
      </c>
      <c r="Q2087">
        <f>0.0026936657*3600</f>
        <v>9.6971965199999985</v>
      </c>
    </row>
    <row r="2088" spans="1:17" x14ac:dyDescent="0.3">
      <c r="A2088" s="4" t="s">
        <v>47</v>
      </c>
      <c r="B2088" s="6" t="s">
        <v>1460</v>
      </c>
      <c r="C2088">
        <v>299.12249500000001</v>
      </c>
      <c r="D2088">
        <v>291.18183199999999</v>
      </c>
      <c r="E2088">
        <v>1</v>
      </c>
      <c r="F2088">
        <v>1</v>
      </c>
      <c r="G2088">
        <v>0.26100000000000001</v>
      </c>
      <c r="H2088">
        <v>0</v>
      </c>
      <c r="I2088" t="s">
        <v>0</v>
      </c>
      <c r="J2088" t="s">
        <v>59</v>
      </c>
      <c r="K2088">
        <v>0</v>
      </c>
      <c r="L2088" t="s">
        <v>60</v>
      </c>
      <c r="M2088">
        <v>1</v>
      </c>
      <c r="N2088" t="s">
        <v>67</v>
      </c>
      <c r="O2088" s="2">
        <v>0.57708333333333328</v>
      </c>
      <c r="P2088">
        <f>0.0043723206*3600</f>
        <v>15.740354160000001</v>
      </c>
      <c r="Q2088">
        <f>0.0026616443*3600</f>
        <v>9.5819194799999998</v>
      </c>
    </row>
    <row r="2089" spans="1:17" x14ac:dyDescent="0.3">
      <c r="A2089" s="4" t="s">
        <v>47</v>
      </c>
      <c r="B2089" s="6" t="s">
        <v>1461</v>
      </c>
      <c r="C2089">
        <v>299.122072</v>
      </c>
      <c r="D2089">
        <v>291.181849</v>
      </c>
      <c r="E2089">
        <v>1</v>
      </c>
      <c r="F2089">
        <v>1</v>
      </c>
      <c r="G2089">
        <v>0.26100000000000001</v>
      </c>
      <c r="H2089">
        <v>0</v>
      </c>
      <c r="I2089" t="s">
        <v>0</v>
      </c>
      <c r="J2089" t="s">
        <v>59</v>
      </c>
      <c r="K2089">
        <v>0</v>
      </c>
      <c r="L2089" t="s">
        <v>60</v>
      </c>
      <c r="M2089">
        <v>1</v>
      </c>
      <c r="N2089" t="s">
        <v>67</v>
      </c>
      <c r="O2089" s="2">
        <v>0.57708333333333328</v>
      </c>
      <c r="P2089">
        <f>0.0043891982*3600</f>
        <v>15.801113519999998</v>
      </c>
      <c r="Q2089">
        <f>0.0026578209*3600</f>
        <v>9.5681552399999994</v>
      </c>
    </row>
    <row r="2090" spans="1:17" x14ac:dyDescent="0.3">
      <c r="A2090" s="4" t="s">
        <v>47</v>
      </c>
      <c r="B2090" s="6" t="s">
        <v>1462</v>
      </c>
      <c r="C2090">
        <v>299.12234100000001</v>
      </c>
      <c r="D2090">
        <v>291.18197800000002</v>
      </c>
      <c r="E2090">
        <v>1</v>
      </c>
      <c r="F2090">
        <v>1</v>
      </c>
      <c r="G2090">
        <v>0.26100000000000001</v>
      </c>
      <c r="H2090">
        <v>0</v>
      </c>
      <c r="I2090" t="s">
        <v>0</v>
      </c>
      <c r="J2090" t="s">
        <v>59</v>
      </c>
      <c r="K2090">
        <v>0</v>
      </c>
      <c r="L2090" t="s">
        <v>60</v>
      </c>
      <c r="M2090">
        <v>1</v>
      </c>
      <c r="N2090" t="s">
        <v>67</v>
      </c>
      <c r="O2090" s="2">
        <v>0.57708333333333328</v>
      </c>
      <c r="P2090">
        <f>0.0044063446*3600</f>
        <v>15.862840559999999</v>
      </c>
      <c r="Q2090">
        <f>0.0028043977*3600</f>
        <v>10.09583172</v>
      </c>
    </row>
    <row r="2091" spans="1:17" x14ac:dyDescent="0.3">
      <c r="A2091" s="4" t="s">
        <v>47</v>
      </c>
      <c r="B2091" s="6" t="s">
        <v>1463</v>
      </c>
      <c r="C2091">
        <v>299.12262399999997</v>
      </c>
      <c r="D2091">
        <v>291.18195400000002</v>
      </c>
      <c r="E2091">
        <v>1</v>
      </c>
      <c r="F2091">
        <v>1</v>
      </c>
      <c r="G2091">
        <v>0.26100000000000001</v>
      </c>
      <c r="H2091">
        <v>0</v>
      </c>
      <c r="I2091" t="s">
        <v>0</v>
      </c>
      <c r="J2091" t="s">
        <v>59</v>
      </c>
      <c r="K2091">
        <v>0</v>
      </c>
      <c r="L2091" t="s">
        <v>60</v>
      </c>
      <c r="M2091">
        <v>1</v>
      </c>
      <c r="N2091" t="s">
        <v>67</v>
      </c>
      <c r="O2091" s="2">
        <v>0.57708333333333328</v>
      </c>
      <c r="P2091">
        <f>0.004356608*3600</f>
        <v>15.683788799999999</v>
      </c>
      <c r="Q2091">
        <f>0.0027585021*3600</f>
        <v>9.9306075600000003</v>
      </c>
    </row>
    <row r="2092" spans="1:17" x14ac:dyDescent="0.3">
      <c r="A2092" s="4" t="s">
        <v>47</v>
      </c>
      <c r="B2092" s="6" t="s">
        <v>1464</v>
      </c>
      <c r="C2092">
        <v>299.12239599999998</v>
      </c>
      <c r="D2092">
        <v>291.18191300000001</v>
      </c>
      <c r="E2092">
        <v>1</v>
      </c>
      <c r="F2092">
        <v>1</v>
      </c>
      <c r="G2092">
        <v>0.26100000000000001</v>
      </c>
      <c r="H2092">
        <v>0</v>
      </c>
      <c r="I2092" t="s">
        <v>0</v>
      </c>
      <c r="J2092" t="s">
        <v>59</v>
      </c>
      <c r="K2092">
        <v>0</v>
      </c>
      <c r="L2092" t="s">
        <v>60</v>
      </c>
      <c r="M2092">
        <v>1</v>
      </c>
      <c r="N2092" t="s">
        <v>67</v>
      </c>
      <c r="O2092" s="2">
        <v>0.57708333333333328</v>
      </c>
      <c r="P2092">
        <f>0.0042221297*3600</f>
        <v>15.199666919999999</v>
      </c>
      <c r="Q2092">
        <f>0.0027443774*3600</f>
        <v>9.8797586399999986</v>
      </c>
    </row>
    <row r="2093" spans="1:17" x14ac:dyDescent="0.3">
      <c r="A2093" s="4" t="s">
        <v>47</v>
      </c>
      <c r="B2093" s="6" t="s">
        <v>1465</v>
      </c>
      <c r="C2093">
        <v>299.1234</v>
      </c>
      <c r="D2093">
        <v>291.18201699999997</v>
      </c>
      <c r="E2093">
        <v>1</v>
      </c>
      <c r="F2093">
        <v>1</v>
      </c>
      <c r="G2093">
        <v>0.26100000000000001</v>
      </c>
      <c r="H2093">
        <v>0</v>
      </c>
      <c r="I2093" t="s">
        <v>0</v>
      </c>
      <c r="J2093" t="s">
        <v>59</v>
      </c>
      <c r="K2093">
        <v>0</v>
      </c>
      <c r="L2093" t="s">
        <v>60</v>
      </c>
      <c r="M2093">
        <v>1</v>
      </c>
      <c r="N2093" t="s">
        <v>67</v>
      </c>
      <c r="O2093" s="2">
        <v>0.57708333333333328</v>
      </c>
      <c r="P2093">
        <f>0.0044083245*3600</f>
        <v>15.869968199999999</v>
      </c>
      <c r="Q2093">
        <f>0.0028044985*3600</f>
        <v>10.0961946</v>
      </c>
    </row>
    <row r="2094" spans="1:17" x14ac:dyDescent="0.3">
      <c r="A2094" s="4" t="s">
        <v>47</v>
      </c>
      <c r="B2094" s="6" t="s">
        <v>1466</v>
      </c>
      <c r="C2094">
        <v>299.12196999999998</v>
      </c>
      <c r="D2094">
        <v>291.181828</v>
      </c>
      <c r="E2094">
        <v>1</v>
      </c>
      <c r="F2094">
        <v>1</v>
      </c>
      <c r="G2094">
        <v>0.26100000000000001</v>
      </c>
      <c r="H2094">
        <v>0</v>
      </c>
      <c r="I2094" t="s">
        <v>0</v>
      </c>
      <c r="J2094" t="s">
        <v>59</v>
      </c>
      <c r="K2094">
        <v>0</v>
      </c>
      <c r="L2094" t="s">
        <v>60</v>
      </c>
      <c r="M2094">
        <v>1</v>
      </c>
      <c r="N2094" t="s">
        <v>67</v>
      </c>
      <c r="O2094" s="2">
        <v>0.57708333333333328</v>
      </c>
      <c r="P2094">
        <f>0.0043179314*3600</f>
        <v>15.544553039999998</v>
      </c>
      <c r="Q2094">
        <f>0.002667798*3600</f>
        <v>9.6040727999999991</v>
      </c>
    </row>
    <row r="2095" spans="1:17" x14ac:dyDescent="0.3">
      <c r="A2095" s="4" t="s">
        <v>47</v>
      </c>
      <c r="B2095" s="6" t="s">
        <v>1467</v>
      </c>
      <c r="C2095">
        <v>299.12329399999999</v>
      </c>
      <c r="D2095">
        <v>291.18208299999998</v>
      </c>
      <c r="E2095">
        <v>1</v>
      </c>
      <c r="F2095">
        <v>1</v>
      </c>
      <c r="G2095">
        <v>0.26100000000000001</v>
      </c>
      <c r="H2095">
        <v>0</v>
      </c>
      <c r="I2095" t="s">
        <v>0</v>
      </c>
      <c r="J2095" t="s">
        <v>59</v>
      </c>
      <c r="K2095">
        <v>0</v>
      </c>
      <c r="L2095" t="s">
        <v>60</v>
      </c>
      <c r="M2095">
        <v>1</v>
      </c>
      <c r="N2095" t="s">
        <v>67</v>
      </c>
      <c r="O2095" s="2">
        <v>0.57708333333333328</v>
      </c>
      <c r="P2095">
        <f>0.0042960911*3600</f>
        <v>15.465927959999998</v>
      </c>
      <c r="Q2095">
        <f>0.0028612866*3600</f>
        <v>10.30063176</v>
      </c>
    </row>
    <row r="2096" spans="1:17" x14ac:dyDescent="0.3">
      <c r="A2096" s="4" t="s">
        <v>47</v>
      </c>
      <c r="B2096" s="6" t="s">
        <v>1468</v>
      </c>
      <c r="C2096">
        <v>299.12260600000002</v>
      </c>
      <c r="D2096">
        <v>291.18223399999999</v>
      </c>
      <c r="E2096">
        <v>1</v>
      </c>
      <c r="F2096">
        <v>1</v>
      </c>
      <c r="G2096">
        <v>0.26100000000000001</v>
      </c>
      <c r="H2096">
        <v>0</v>
      </c>
      <c r="I2096" t="s">
        <v>0</v>
      </c>
      <c r="J2096" t="s">
        <v>59</v>
      </c>
      <c r="K2096">
        <v>0</v>
      </c>
      <c r="L2096" t="s">
        <v>60</v>
      </c>
      <c r="M2096">
        <v>1</v>
      </c>
      <c r="N2096" t="s">
        <v>67</v>
      </c>
      <c r="O2096" s="2">
        <v>0.57708333333333328</v>
      </c>
      <c r="P2096">
        <f>0.0040103859*3600</f>
        <v>14.43738924</v>
      </c>
      <c r="Q2096">
        <f>0.0030090161*3600</f>
        <v>10.832457959999999</v>
      </c>
    </row>
    <row r="2097" spans="1:17" x14ac:dyDescent="0.3">
      <c r="A2097" s="4" t="s">
        <v>47</v>
      </c>
      <c r="B2097" s="6" t="s">
        <v>1469</v>
      </c>
      <c r="C2097">
        <v>299.12284299999999</v>
      </c>
      <c r="D2097">
        <v>291.18194799999998</v>
      </c>
      <c r="E2097">
        <v>1</v>
      </c>
      <c r="F2097">
        <v>1</v>
      </c>
      <c r="G2097">
        <v>0.26100000000000001</v>
      </c>
      <c r="H2097">
        <v>0</v>
      </c>
      <c r="I2097" t="s">
        <v>0</v>
      </c>
      <c r="J2097" t="s">
        <v>59</v>
      </c>
      <c r="K2097">
        <v>0</v>
      </c>
      <c r="L2097" t="s">
        <v>60</v>
      </c>
      <c r="M2097">
        <v>1</v>
      </c>
      <c r="N2097" t="s">
        <v>67</v>
      </c>
      <c r="O2097" s="2">
        <v>0.57777777777777783</v>
      </c>
      <c r="P2097">
        <f>0.0042284851*3600</f>
        <v>15.222546360000001</v>
      </c>
      <c r="Q2097">
        <f>0.0027601544*3600</f>
        <v>9.9365558400000005</v>
      </c>
    </row>
    <row r="2098" spans="1:17" x14ac:dyDescent="0.3">
      <c r="A2098" s="4" t="s">
        <v>47</v>
      </c>
      <c r="B2098" s="6" t="s">
        <v>1470</v>
      </c>
      <c r="C2098">
        <v>299.12184300000001</v>
      </c>
      <c r="D2098">
        <v>291.18187399999999</v>
      </c>
      <c r="E2098">
        <v>1</v>
      </c>
      <c r="F2098">
        <v>1</v>
      </c>
      <c r="G2098">
        <v>0.26100000000000001</v>
      </c>
      <c r="H2098">
        <v>0</v>
      </c>
      <c r="I2098" t="s">
        <v>0</v>
      </c>
      <c r="J2098" t="s">
        <v>59</v>
      </c>
      <c r="K2098">
        <v>0</v>
      </c>
      <c r="L2098" t="s">
        <v>60</v>
      </c>
      <c r="M2098">
        <v>1</v>
      </c>
      <c r="N2098" t="s">
        <v>67</v>
      </c>
      <c r="O2098" s="2">
        <v>0.57777777777777783</v>
      </c>
      <c r="P2098">
        <f>0.0041413609*3600</f>
        <v>14.90889924</v>
      </c>
      <c r="Q2098">
        <f>0.0027142188*3600</f>
        <v>9.7711876799999988</v>
      </c>
    </row>
    <row r="2099" spans="1:17" x14ac:dyDescent="0.3">
      <c r="A2099" s="4" t="s">
        <v>47</v>
      </c>
      <c r="B2099" s="6" t="s">
        <v>1471</v>
      </c>
      <c r="C2099">
        <v>299.12227899999999</v>
      </c>
      <c r="D2099">
        <v>291.18194</v>
      </c>
      <c r="E2099">
        <v>1</v>
      </c>
      <c r="F2099">
        <v>1</v>
      </c>
      <c r="G2099">
        <v>0.26100000000000001</v>
      </c>
      <c r="H2099">
        <v>0</v>
      </c>
      <c r="I2099" t="s">
        <v>0</v>
      </c>
      <c r="J2099" t="s">
        <v>59</v>
      </c>
      <c r="K2099">
        <v>0</v>
      </c>
      <c r="L2099" t="s">
        <v>60</v>
      </c>
      <c r="M2099">
        <v>1</v>
      </c>
      <c r="N2099" t="s">
        <v>67</v>
      </c>
      <c r="O2099" s="2">
        <v>0.57777777777777783</v>
      </c>
      <c r="P2099">
        <f>0.0042323177*3600</f>
        <v>15.236343720000001</v>
      </c>
      <c r="Q2099">
        <f>0.0027814311*3600</f>
        <v>10.01315196</v>
      </c>
    </row>
    <row r="2100" spans="1:17" x14ac:dyDescent="0.3">
      <c r="A2100" s="4" t="s">
        <v>47</v>
      </c>
      <c r="B2100" s="6" t="s">
        <v>1472</v>
      </c>
      <c r="C2100">
        <v>299.12271199999998</v>
      </c>
      <c r="D2100">
        <v>291.18204500000002</v>
      </c>
      <c r="E2100">
        <v>1</v>
      </c>
      <c r="F2100">
        <v>1</v>
      </c>
      <c r="G2100">
        <v>0.26100000000000001</v>
      </c>
      <c r="H2100">
        <v>0</v>
      </c>
      <c r="I2100" t="s">
        <v>0</v>
      </c>
      <c r="J2100" t="s">
        <v>59</v>
      </c>
      <c r="K2100">
        <v>0</v>
      </c>
      <c r="L2100" t="s">
        <v>60</v>
      </c>
      <c r="M2100">
        <v>1</v>
      </c>
      <c r="N2100" t="s">
        <v>67</v>
      </c>
      <c r="O2100" s="2">
        <v>0.57777777777777783</v>
      </c>
      <c r="P2100">
        <f>0.0041644808*3600</f>
        <v>14.992130880000001</v>
      </c>
      <c r="Q2100">
        <f>0.0028671256*3600</f>
        <v>10.321652160000001</v>
      </c>
    </row>
    <row r="2101" spans="1:17" x14ac:dyDescent="0.3">
      <c r="A2101" s="4" t="s">
        <v>47</v>
      </c>
      <c r="B2101" s="6" t="s">
        <v>1473</v>
      </c>
      <c r="C2101">
        <v>299.12272899999999</v>
      </c>
      <c r="D2101">
        <v>291.18203999999997</v>
      </c>
      <c r="E2101">
        <v>1</v>
      </c>
      <c r="F2101">
        <v>1</v>
      </c>
      <c r="G2101">
        <v>0.26100000000000001</v>
      </c>
      <c r="H2101">
        <v>0</v>
      </c>
      <c r="I2101" t="s">
        <v>0</v>
      </c>
      <c r="J2101" t="s">
        <v>59</v>
      </c>
      <c r="K2101">
        <v>0</v>
      </c>
      <c r="L2101" t="s">
        <v>60</v>
      </c>
      <c r="M2101">
        <v>1</v>
      </c>
      <c r="N2101" t="s">
        <v>67</v>
      </c>
      <c r="O2101" s="2">
        <v>0.57777777777777783</v>
      </c>
      <c r="P2101">
        <f>0.0041791884*3600</f>
        <v>15.045078239999999</v>
      </c>
      <c r="Q2101">
        <f>0.0028389983*3600</f>
        <v>10.22039388</v>
      </c>
    </row>
    <row r="2102" spans="1:17" x14ac:dyDescent="0.3">
      <c r="A2102" s="4" t="s">
        <v>47</v>
      </c>
      <c r="B2102" s="6" t="s">
        <v>1474</v>
      </c>
      <c r="C2102">
        <v>299.12224700000002</v>
      </c>
      <c r="D2102">
        <v>291.18200999999999</v>
      </c>
      <c r="E2102">
        <v>1</v>
      </c>
      <c r="F2102">
        <v>1</v>
      </c>
      <c r="G2102">
        <v>0.26100000000000001</v>
      </c>
      <c r="H2102">
        <v>0</v>
      </c>
      <c r="I2102" t="s">
        <v>0</v>
      </c>
      <c r="J2102" t="s">
        <v>59</v>
      </c>
      <c r="K2102">
        <v>0</v>
      </c>
      <c r="L2102" t="s">
        <v>60</v>
      </c>
      <c r="M2102">
        <v>1</v>
      </c>
      <c r="N2102" t="s">
        <v>67</v>
      </c>
      <c r="O2102" s="2">
        <v>0.57777777777777783</v>
      </c>
      <c r="P2102">
        <f>0.0041870497*3600</f>
        <v>15.07337892</v>
      </c>
      <c r="Q2102">
        <f>0.0028451074*3600</f>
        <v>10.242386639999999</v>
      </c>
    </row>
    <row r="2103" spans="1:17" x14ac:dyDescent="0.3">
      <c r="A2103" s="4" t="s">
        <v>47</v>
      </c>
      <c r="B2103" s="6" t="s">
        <v>1475</v>
      </c>
      <c r="C2103">
        <v>299.12241899999998</v>
      </c>
      <c r="D2103">
        <v>291.18204500000002</v>
      </c>
      <c r="E2103">
        <v>1</v>
      </c>
      <c r="F2103">
        <v>1</v>
      </c>
      <c r="G2103">
        <v>0.26100000000000001</v>
      </c>
      <c r="H2103">
        <v>0</v>
      </c>
      <c r="I2103" t="s">
        <v>0</v>
      </c>
      <c r="J2103" t="s">
        <v>59</v>
      </c>
      <c r="K2103">
        <v>0</v>
      </c>
      <c r="L2103" t="s">
        <v>60</v>
      </c>
      <c r="M2103">
        <v>1</v>
      </c>
      <c r="N2103" t="s">
        <v>67</v>
      </c>
      <c r="O2103" s="2">
        <v>0.57777777777777783</v>
      </c>
      <c r="P2103">
        <f>0.0041522036*3600</f>
        <v>14.947932960000001</v>
      </c>
      <c r="Q2103">
        <f>0.0028651754*3600</f>
        <v>10.314631439999999</v>
      </c>
    </row>
    <row r="2104" spans="1:17" x14ac:dyDescent="0.3">
      <c r="A2104" s="4" t="s">
        <v>47</v>
      </c>
      <c r="B2104" s="6" t="s">
        <v>1476</v>
      </c>
      <c r="C2104">
        <v>299.123425</v>
      </c>
      <c r="D2104">
        <v>291.182073</v>
      </c>
      <c r="E2104">
        <v>1</v>
      </c>
      <c r="F2104">
        <v>1</v>
      </c>
      <c r="G2104">
        <v>0.26100000000000001</v>
      </c>
      <c r="H2104">
        <v>0</v>
      </c>
      <c r="I2104" t="s">
        <v>0</v>
      </c>
      <c r="J2104" t="s">
        <v>59</v>
      </c>
      <c r="K2104">
        <v>0</v>
      </c>
      <c r="L2104" t="s">
        <v>60</v>
      </c>
      <c r="M2104">
        <v>1</v>
      </c>
      <c r="N2104" t="s">
        <v>67</v>
      </c>
      <c r="O2104" s="2">
        <v>0.57777777777777783</v>
      </c>
      <c r="P2104">
        <f>0.0041504105*3600</f>
        <v>14.941477799999999</v>
      </c>
      <c r="Q2104">
        <f>0.0028485975*3600</f>
        <v>10.254951</v>
      </c>
    </row>
    <row r="2105" spans="1:17" x14ac:dyDescent="0.3">
      <c r="A2105" s="4" t="s">
        <v>47</v>
      </c>
      <c r="B2105" s="6" t="s">
        <v>1477</v>
      </c>
      <c r="C2105">
        <v>299.12290300000001</v>
      </c>
      <c r="D2105">
        <v>291.182143</v>
      </c>
      <c r="E2105">
        <v>1</v>
      </c>
      <c r="F2105">
        <v>1</v>
      </c>
      <c r="G2105">
        <v>0.26100000000000001</v>
      </c>
      <c r="H2105">
        <v>0</v>
      </c>
      <c r="I2105" t="s">
        <v>0</v>
      </c>
      <c r="J2105" t="s">
        <v>59</v>
      </c>
      <c r="K2105">
        <v>0</v>
      </c>
      <c r="L2105" t="s">
        <v>60</v>
      </c>
      <c r="M2105">
        <v>1</v>
      </c>
      <c r="N2105" t="s">
        <v>67</v>
      </c>
      <c r="O2105" s="2">
        <v>0.57777777777777783</v>
      </c>
      <c r="P2105">
        <f>0.0043224997*3600</f>
        <v>15.560998920000001</v>
      </c>
      <c r="Q2105">
        <f>0.002969482*3600</f>
        <v>10.6901352</v>
      </c>
    </row>
    <row r="2106" spans="1:17" x14ac:dyDescent="0.3">
      <c r="A2106" s="4" t="s">
        <v>47</v>
      </c>
      <c r="B2106" s="5" t="s">
        <v>1678</v>
      </c>
      <c r="C2106">
        <v>98.826830999999999</v>
      </c>
      <c r="D2106">
        <v>104.936595</v>
      </c>
      <c r="E2106">
        <v>19.663699999999999</v>
      </c>
      <c r="F2106">
        <v>19.601099999999999</v>
      </c>
      <c r="G2106">
        <v>0.26100000000000001</v>
      </c>
      <c r="H2106">
        <v>0</v>
      </c>
      <c r="I2106" t="s">
        <v>0</v>
      </c>
      <c r="J2106" t="s">
        <v>59</v>
      </c>
      <c r="K2106">
        <v>3.4000000000000002E-2</v>
      </c>
      <c r="L2106" t="s">
        <v>60</v>
      </c>
      <c r="M2106">
        <v>1</v>
      </c>
      <c r="N2106" t="s">
        <v>53</v>
      </c>
      <c r="O2106" s="2">
        <v>0.57847222222222217</v>
      </c>
      <c r="P2106">
        <f>-0.0065540595*3600</f>
        <v>-23.594614199999999</v>
      </c>
      <c r="Q2106">
        <f>-0.0036333796*3600</f>
        <v>-13.08016656</v>
      </c>
    </row>
    <row r="2107" spans="1:17" x14ac:dyDescent="0.3">
      <c r="A2107" s="4" t="s">
        <v>47</v>
      </c>
      <c r="B2107" s="5" t="s">
        <v>1728</v>
      </c>
      <c r="C2107">
        <v>98.826627000000002</v>
      </c>
      <c r="D2107">
        <v>104.88641800000001</v>
      </c>
      <c r="E2107">
        <v>1</v>
      </c>
      <c r="F2107">
        <v>1</v>
      </c>
      <c r="G2107">
        <v>0.26100000000000001</v>
      </c>
      <c r="H2107">
        <v>0</v>
      </c>
      <c r="I2107" t="s">
        <v>0</v>
      </c>
      <c r="J2107" t="s">
        <v>59</v>
      </c>
      <c r="K2107">
        <v>0</v>
      </c>
      <c r="L2107" t="s">
        <v>60</v>
      </c>
      <c r="M2107">
        <v>1</v>
      </c>
      <c r="N2107" t="s">
        <v>67</v>
      </c>
      <c r="O2107" s="2">
        <v>0.57847222222222217</v>
      </c>
      <c r="P2107">
        <f>-0.0064180793*3600</f>
        <v>-23.10508548</v>
      </c>
      <c r="Q2107">
        <f>-0.0031478345*3600</f>
        <v>-11.3322042</v>
      </c>
    </row>
    <row r="2108" spans="1:17" x14ac:dyDescent="0.3">
      <c r="A2108" s="4" t="s">
        <v>47</v>
      </c>
      <c r="B2108" s="5" t="s">
        <v>1729</v>
      </c>
      <c r="C2108">
        <v>98.826210000000003</v>
      </c>
      <c r="D2108">
        <v>104.886234</v>
      </c>
      <c r="E2108">
        <v>1</v>
      </c>
      <c r="F2108">
        <v>1</v>
      </c>
      <c r="G2108">
        <v>0.26100000000000001</v>
      </c>
      <c r="H2108">
        <v>0</v>
      </c>
      <c r="I2108" t="s">
        <v>0</v>
      </c>
      <c r="J2108" t="s">
        <v>59</v>
      </c>
      <c r="K2108">
        <v>0</v>
      </c>
      <c r="L2108" t="s">
        <v>60</v>
      </c>
      <c r="M2108">
        <v>1</v>
      </c>
      <c r="N2108" t="s">
        <v>67</v>
      </c>
      <c r="O2108" s="2">
        <v>0.57847222222222217</v>
      </c>
      <c r="P2108">
        <f>-0.0064389559*3600</f>
        <v>-23.180241240000001</v>
      </c>
      <c r="Q2108">
        <f>-0.0033327677*3600</f>
        <v>-11.997963720000001</v>
      </c>
    </row>
    <row r="2109" spans="1:17" x14ac:dyDescent="0.3">
      <c r="A2109" s="4" t="s">
        <v>47</v>
      </c>
      <c r="B2109" s="5" t="s">
        <v>1730</v>
      </c>
      <c r="C2109">
        <v>98.826785999999998</v>
      </c>
      <c r="D2109">
        <v>104.886441</v>
      </c>
      <c r="E2109">
        <v>1</v>
      </c>
      <c r="F2109">
        <v>1</v>
      </c>
      <c r="G2109">
        <v>0.26100000000000001</v>
      </c>
      <c r="H2109">
        <v>0</v>
      </c>
      <c r="I2109" t="s">
        <v>0</v>
      </c>
      <c r="J2109" t="s">
        <v>59</v>
      </c>
      <c r="K2109">
        <v>0</v>
      </c>
      <c r="L2109" t="s">
        <v>60</v>
      </c>
      <c r="M2109">
        <v>1</v>
      </c>
      <c r="N2109" t="s">
        <v>67</v>
      </c>
      <c r="O2109" s="2">
        <v>0.57847222222222217</v>
      </c>
      <c r="P2109">
        <f>-0.0064358025*3600</f>
        <v>-23.168889</v>
      </c>
      <c r="Q2109">
        <f>-0.003135229*3600</f>
        <v>-11.286824399999999</v>
      </c>
    </row>
    <row r="2110" spans="1:17" x14ac:dyDescent="0.3">
      <c r="A2110" s="4" t="s">
        <v>47</v>
      </c>
      <c r="B2110" s="5" t="s">
        <v>1731</v>
      </c>
      <c r="C2110">
        <v>98.826431999999997</v>
      </c>
      <c r="D2110">
        <v>104.88651</v>
      </c>
      <c r="E2110">
        <v>1</v>
      </c>
      <c r="F2110">
        <v>1</v>
      </c>
      <c r="G2110">
        <v>0.26100000000000001</v>
      </c>
      <c r="H2110">
        <v>0</v>
      </c>
      <c r="I2110" t="s">
        <v>0</v>
      </c>
      <c r="J2110" t="s">
        <v>59</v>
      </c>
      <c r="K2110">
        <v>0</v>
      </c>
      <c r="L2110" t="s">
        <v>60</v>
      </c>
      <c r="M2110">
        <v>1</v>
      </c>
      <c r="N2110" t="s">
        <v>67</v>
      </c>
      <c r="O2110" s="2">
        <v>0.57847222222222217</v>
      </c>
      <c r="P2110">
        <f>-0.006435266*3600</f>
        <v>-23.1669576</v>
      </c>
      <c r="Q2110">
        <f>-0.0030169027*3600</f>
        <v>-10.860849719999999</v>
      </c>
    </row>
    <row r="2111" spans="1:17" x14ac:dyDescent="0.3">
      <c r="A2111" s="4" t="s">
        <v>47</v>
      </c>
      <c r="B2111" s="5" t="s">
        <v>1732</v>
      </c>
      <c r="C2111">
        <v>98.826830000000001</v>
      </c>
      <c r="D2111">
        <v>104.886403</v>
      </c>
      <c r="E2111">
        <v>1</v>
      </c>
      <c r="F2111">
        <v>1</v>
      </c>
      <c r="G2111">
        <v>0.26100000000000001</v>
      </c>
      <c r="H2111">
        <v>0</v>
      </c>
      <c r="I2111" t="s">
        <v>0</v>
      </c>
      <c r="J2111" t="s">
        <v>59</v>
      </c>
      <c r="K2111">
        <v>0</v>
      </c>
      <c r="L2111" t="s">
        <v>60</v>
      </c>
      <c r="M2111">
        <v>1</v>
      </c>
      <c r="N2111" t="s">
        <v>67</v>
      </c>
      <c r="O2111" s="2">
        <v>0.57847222222222217</v>
      </c>
      <c r="P2111">
        <f>-0.0064669148*3600</f>
        <v>-23.280893280000001</v>
      </c>
      <c r="Q2111">
        <f>-0.0031287304*3600</f>
        <v>-11.263429439999999</v>
      </c>
    </row>
    <row r="2112" spans="1:17" x14ac:dyDescent="0.3">
      <c r="A2112" s="4" t="s">
        <v>47</v>
      </c>
      <c r="B2112" s="5" t="s">
        <v>1733</v>
      </c>
      <c r="C2112">
        <v>98.826279999999997</v>
      </c>
      <c r="D2112">
        <v>104.886336</v>
      </c>
      <c r="E2112">
        <v>1</v>
      </c>
      <c r="F2112">
        <v>1</v>
      </c>
      <c r="G2112">
        <v>0.26100000000000001</v>
      </c>
      <c r="H2112">
        <v>0</v>
      </c>
      <c r="I2112" t="s">
        <v>0</v>
      </c>
      <c r="J2112" t="s">
        <v>59</v>
      </c>
      <c r="K2112">
        <v>0</v>
      </c>
      <c r="L2112" t="s">
        <v>60</v>
      </c>
      <c r="M2112">
        <v>1</v>
      </c>
      <c r="N2112" t="s">
        <v>67</v>
      </c>
      <c r="O2112" s="2">
        <v>0.57847222222222217</v>
      </c>
      <c r="P2112">
        <f>-0.0063723644*3600</f>
        <v>-22.940511840000003</v>
      </c>
      <c r="Q2112">
        <f>-0.0031454124*3600</f>
        <v>-11.32348464</v>
      </c>
    </row>
    <row r="2113" spans="1:17" x14ac:dyDescent="0.3">
      <c r="A2113" s="4" t="s">
        <v>47</v>
      </c>
      <c r="B2113" s="5" t="s">
        <v>1734</v>
      </c>
      <c r="C2113">
        <v>98.826611999999997</v>
      </c>
      <c r="D2113">
        <v>104.88672800000001</v>
      </c>
      <c r="E2113">
        <v>1</v>
      </c>
      <c r="F2113">
        <v>1</v>
      </c>
      <c r="G2113">
        <v>0.26100000000000001</v>
      </c>
      <c r="H2113">
        <v>0</v>
      </c>
      <c r="I2113" t="s">
        <v>0</v>
      </c>
      <c r="J2113" t="s">
        <v>59</v>
      </c>
      <c r="K2113">
        <v>0</v>
      </c>
      <c r="L2113" t="s">
        <v>60</v>
      </c>
      <c r="M2113">
        <v>1</v>
      </c>
      <c r="N2113" t="s">
        <v>67</v>
      </c>
      <c r="O2113" s="2">
        <v>0.57847222222222217</v>
      </c>
      <c r="P2113">
        <f>-0.0064744021*3600</f>
        <v>-23.307847560000003</v>
      </c>
      <c r="Q2113">
        <f>-0.0027746793*3600</f>
        <v>-9.9888454800000002</v>
      </c>
    </row>
    <row r="2114" spans="1:17" x14ac:dyDescent="0.3">
      <c r="A2114" s="4" t="s">
        <v>47</v>
      </c>
      <c r="B2114" s="5" t="s">
        <v>1735</v>
      </c>
      <c r="C2114">
        <v>98.826554000000002</v>
      </c>
      <c r="D2114">
        <v>104.886579</v>
      </c>
      <c r="E2114">
        <v>1</v>
      </c>
      <c r="F2114">
        <v>1</v>
      </c>
      <c r="G2114">
        <v>0.26100000000000001</v>
      </c>
      <c r="H2114">
        <v>0</v>
      </c>
      <c r="I2114" t="s">
        <v>0</v>
      </c>
      <c r="J2114" t="s">
        <v>59</v>
      </c>
      <c r="K2114">
        <v>0</v>
      </c>
      <c r="L2114" t="s">
        <v>60</v>
      </c>
      <c r="M2114">
        <v>1</v>
      </c>
      <c r="N2114" t="s">
        <v>67</v>
      </c>
      <c r="O2114" s="2">
        <v>0.57847222222222217</v>
      </c>
      <c r="P2114">
        <f>-0.0063457841*3600</f>
        <v>-22.84482276</v>
      </c>
      <c r="Q2114">
        <f>-0.0029159454*3600</f>
        <v>-10.497403439999999</v>
      </c>
    </row>
    <row r="2115" spans="1:17" x14ac:dyDescent="0.3">
      <c r="A2115" s="4" t="s">
        <v>47</v>
      </c>
      <c r="B2115" s="5" t="s">
        <v>1736</v>
      </c>
      <c r="C2115">
        <v>98.826463000000004</v>
      </c>
      <c r="D2115">
        <v>104.886408</v>
      </c>
      <c r="E2115">
        <v>1</v>
      </c>
      <c r="F2115">
        <v>1</v>
      </c>
      <c r="G2115">
        <v>0.26100000000000001</v>
      </c>
      <c r="H2115">
        <v>0</v>
      </c>
      <c r="I2115" t="s">
        <v>0</v>
      </c>
      <c r="J2115" t="s">
        <v>59</v>
      </c>
      <c r="K2115">
        <v>0</v>
      </c>
      <c r="L2115" t="s">
        <v>60</v>
      </c>
      <c r="M2115">
        <v>1</v>
      </c>
      <c r="N2115" t="s">
        <v>67</v>
      </c>
      <c r="O2115" s="2">
        <v>0.57847222222222217</v>
      </c>
      <c r="P2115">
        <f>-0.0067658032*3600</f>
        <v>-24.356891520000001</v>
      </c>
      <c r="Q2115">
        <f>-0.0030349371*3600</f>
        <v>-10.925773560000001</v>
      </c>
    </row>
    <row r="2116" spans="1:17" x14ac:dyDescent="0.3">
      <c r="A2116" s="4" t="s">
        <v>47</v>
      </c>
      <c r="B2116" s="5" t="s">
        <v>1737</v>
      </c>
      <c r="C2116">
        <v>98.827156000000002</v>
      </c>
      <c r="D2116">
        <v>104.886329</v>
      </c>
      <c r="E2116">
        <v>1</v>
      </c>
      <c r="F2116">
        <v>1</v>
      </c>
      <c r="G2116">
        <v>0.26100000000000001</v>
      </c>
      <c r="H2116">
        <v>0</v>
      </c>
      <c r="I2116" t="s">
        <v>0</v>
      </c>
      <c r="J2116" t="s">
        <v>59</v>
      </c>
      <c r="K2116">
        <v>0</v>
      </c>
      <c r="L2116" t="s">
        <v>60</v>
      </c>
      <c r="M2116">
        <v>1</v>
      </c>
      <c r="N2116" t="s">
        <v>67</v>
      </c>
      <c r="O2116" s="2">
        <v>0.57847222222222217</v>
      </c>
      <c r="P2116">
        <f>-0.0065616036*3600</f>
        <v>-23.621772960000001</v>
      </c>
      <c r="Q2116">
        <f>-0.0029633732*3600</f>
        <v>-10.668143520000001</v>
      </c>
    </row>
    <row r="2117" spans="1:17" x14ac:dyDescent="0.3">
      <c r="A2117" s="4" t="s">
        <v>47</v>
      </c>
      <c r="B2117" s="5" t="s">
        <v>1738</v>
      </c>
      <c r="C2117">
        <v>98.826228</v>
      </c>
      <c r="D2117">
        <v>104.88637</v>
      </c>
      <c r="E2117">
        <v>1</v>
      </c>
      <c r="F2117">
        <v>1</v>
      </c>
      <c r="G2117">
        <v>0.26100000000000001</v>
      </c>
      <c r="H2117">
        <v>0</v>
      </c>
      <c r="I2117" t="s">
        <v>0</v>
      </c>
      <c r="J2117" t="s">
        <v>59</v>
      </c>
      <c r="K2117">
        <v>0</v>
      </c>
      <c r="L2117" t="s">
        <v>60</v>
      </c>
      <c r="M2117">
        <v>1</v>
      </c>
      <c r="N2117" t="s">
        <v>67</v>
      </c>
      <c r="O2117" s="2">
        <v>0.57847222222222217</v>
      </c>
      <c r="P2117">
        <f>-0.0067486059*3600</f>
        <v>-24.294981240000002</v>
      </c>
      <c r="Q2117">
        <f>-0.0028725785*3600</f>
        <v>-10.3412826</v>
      </c>
    </row>
    <row r="2118" spans="1:17" x14ac:dyDescent="0.3">
      <c r="A2118" s="4" t="s">
        <v>47</v>
      </c>
      <c r="B2118" s="5" t="s">
        <v>1739</v>
      </c>
      <c r="C2118">
        <v>98.826628999999997</v>
      </c>
      <c r="D2118">
        <v>104.88623699999999</v>
      </c>
      <c r="E2118">
        <v>1</v>
      </c>
      <c r="F2118">
        <v>1</v>
      </c>
      <c r="G2118">
        <v>0.26100000000000001</v>
      </c>
      <c r="H2118">
        <v>0</v>
      </c>
      <c r="I2118" t="s">
        <v>0</v>
      </c>
      <c r="J2118" t="s">
        <v>59</v>
      </c>
      <c r="K2118">
        <v>0</v>
      </c>
      <c r="L2118" t="s">
        <v>60</v>
      </c>
      <c r="M2118">
        <v>1</v>
      </c>
      <c r="N2118" t="s">
        <v>67</v>
      </c>
      <c r="O2118" s="2">
        <v>0.57847222222222217</v>
      </c>
      <c r="P2118">
        <f>-0.0067802758*3600</f>
        <v>-24.40899288</v>
      </c>
      <c r="Q2118">
        <f>-0.0030429562*3600</f>
        <v>-10.95464232</v>
      </c>
    </row>
    <row r="2119" spans="1:17" x14ac:dyDescent="0.3">
      <c r="A2119" s="4" t="s">
        <v>47</v>
      </c>
      <c r="B2119" s="5" t="s">
        <v>1740</v>
      </c>
      <c r="C2119">
        <v>98.826977999999997</v>
      </c>
      <c r="D2119">
        <v>104.886054</v>
      </c>
      <c r="E2119">
        <v>1</v>
      </c>
      <c r="F2119">
        <v>1</v>
      </c>
      <c r="G2119">
        <v>0.26100000000000001</v>
      </c>
      <c r="H2119">
        <v>0</v>
      </c>
      <c r="I2119" t="s">
        <v>0</v>
      </c>
      <c r="J2119" t="s">
        <v>59</v>
      </c>
      <c r="K2119">
        <v>0</v>
      </c>
      <c r="L2119" t="s">
        <v>60</v>
      </c>
      <c r="M2119">
        <v>1</v>
      </c>
      <c r="N2119" t="s">
        <v>67</v>
      </c>
      <c r="O2119" s="2">
        <v>0.57847222222222217</v>
      </c>
      <c r="P2119">
        <f>-0.006668962*3600</f>
        <v>-24.008263199999998</v>
      </c>
      <c r="Q2119">
        <f>-0.0031885804*3600</f>
        <v>-11.47888944</v>
      </c>
    </row>
    <row r="2120" spans="1:17" x14ac:dyDescent="0.3">
      <c r="A2120" s="4" t="s">
        <v>47</v>
      </c>
      <c r="B2120" s="5" t="s">
        <v>1741</v>
      </c>
      <c r="C2120">
        <v>98.826517999999993</v>
      </c>
      <c r="D2120">
        <v>104.88614</v>
      </c>
      <c r="E2120">
        <v>1</v>
      </c>
      <c r="F2120">
        <v>1</v>
      </c>
      <c r="G2120">
        <v>0.26100000000000001</v>
      </c>
      <c r="H2120">
        <v>0</v>
      </c>
      <c r="I2120" t="s">
        <v>0</v>
      </c>
      <c r="J2120" t="s">
        <v>59</v>
      </c>
      <c r="K2120">
        <v>0</v>
      </c>
      <c r="L2120" t="s">
        <v>60</v>
      </c>
      <c r="M2120">
        <v>1</v>
      </c>
      <c r="N2120" t="s">
        <v>67</v>
      </c>
      <c r="O2120" s="2">
        <v>0.57847222222222217</v>
      </c>
      <c r="P2120">
        <f>-0.0067565275*3600</f>
        <v>-24.323498999999998</v>
      </c>
      <c r="Q2120">
        <f>-0.003071615*3600</f>
        <v>-11.057814</v>
      </c>
    </row>
    <row r="2121" spans="1:17" x14ac:dyDescent="0.3">
      <c r="A2121" s="4" t="s">
        <v>47</v>
      </c>
      <c r="B2121" s="5" t="s">
        <v>1742</v>
      </c>
      <c r="C2121">
        <v>98.826575000000005</v>
      </c>
      <c r="D2121">
        <v>104.88600599999999</v>
      </c>
      <c r="E2121">
        <v>1</v>
      </c>
      <c r="F2121">
        <v>1</v>
      </c>
      <c r="G2121">
        <v>0.26100000000000001</v>
      </c>
      <c r="H2121">
        <v>0</v>
      </c>
      <c r="I2121" t="s">
        <v>0</v>
      </c>
      <c r="J2121" t="s">
        <v>59</v>
      </c>
      <c r="K2121">
        <v>0</v>
      </c>
      <c r="L2121" t="s">
        <v>60</v>
      </c>
      <c r="M2121">
        <v>1</v>
      </c>
      <c r="N2121" t="s">
        <v>67</v>
      </c>
      <c r="O2121" s="2">
        <v>0.57847222222222217</v>
      </c>
      <c r="P2121">
        <f>-0.0065825829*3600</f>
        <v>-23.697298440000001</v>
      </c>
      <c r="Q2121">
        <f>-0.0031987325*3600</f>
        <v>-11.515437</v>
      </c>
    </row>
    <row r="2122" spans="1:17" x14ac:dyDescent="0.3">
      <c r="A2122" s="4" t="s">
        <v>47</v>
      </c>
      <c r="B2122" s="5" t="s">
        <v>1743</v>
      </c>
      <c r="C2122">
        <v>98.826435000000004</v>
      </c>
      <c r="D2122">
        <v>104.88620899999999</v>
      </c>
      <c r="E2122">
        <v>1</v>
      </c>
      <c r="F2122">
        <v>1</v>
      </c>
      <c r="G2122">
        <v>0.26100000000000001</v>
      </c>
      <c r="H2122">
        <v>0</v>
      </c>
      <c r="I2122" t="s">
        <v>0</v>
      </c>
      <c r="J2122" t="s">
        <v>59</v>
      </c>
      <c r="K2122">
        <v>0</v>
      </c>
      <c r="L2122" t="s">
        <v>60</v>
      </c>
      <c r="M2122">
        <v>1</v>
      </c>
      <c r="N2122" t="s">
        <v>67</v>
      </c>
      <c r="O2122" s="2">
        <v>0.57847222222222217</v>
      </c>
      <c r="P2122">
        <f>-0.0067828203*3600</f>
        <v>-24.41815308</v>
      </c>
      <c r="Q2122">
        <f>-0.0029811262*3600</f>
        <v>-10.73205432</v>
      </c>
    </row>
    <row r="2123" spans="1:17" x14ac:dyDescent="0.3">
      <c r="A2123" s="4" t="s">
        <v>47</v>
      </c>
      <c r="B2123" s="5" t="s">
        <v>1744</v>
      </c>
      <c r="C2123">
        <v>98.826738000000006</v>
      </c>
      <c r="D2123">
        <v>104.886109</v>
      </c>
      <c r="E2123">
        <v>1</v>
      </c>
      <c r="F2123">
        <v>1</v>
      </c>
      <c r="G2123">
        <v>0.26100000000000001</v>
      </c>
      <c r="H2123">
        <v>0</v>
      </c>
      <c r="I2123" t="s">
        <v>0</v>
      </c>
      <c r="J2123" t="s">
        <v>59</v>
      </c>
      <c r="K2123">
        <v>0</v>
      </c>
      <c r="L2123" t="s">
        <v>60</v>
      </c>
      <c r="M2123">
        <v>1</v>
      </c>
      <c r="N2123" t="s">
        <v>67</v>
      </c>
      <c r="O2123" s="2">
        <v>0.57847222222222217</v>
      </c>
      <c r="P2123">
        <f>-0.0066732991*3600</f>
        <v>-24.02387676</v>
      </c>
      <c r="Q2123">
        <f>-0.003071656*3600</f>
        <v>-11.057961599999999</v>
      </c>
    </row>
    <row r="2124" spans="1:17" x14ac:dyDescent="0.3">
      <c r="A2124" s="4" t="s">
        <v>47</v>
      </c>
      <c r="B2124" s="5" t="s">
        <v>1745</v>
      </c>
      <c r="C2124">
        <v>98.826294000000004</v>
      </c>
      <c r="D2124">
        <v>104.885893</v>
      </c>
      <c r="E2124">
        <v>1</v>
      </c>
      <c r="F2124">
        <v>1</v>
      </c>
      <c r="G2124">
        <v>0.26100000000000001</v>
      </c>
      <c r="H2124">
        <v>0</v>
      </c>
      <c r="I2124" t="s">
        <v>0</v>
      </c>
      <c r="J2124" t="s">
        <v>59</v>
      </c>
      <c r="K2124">
        <v>0</v>
      </c>
      <c r="L2124" t="s">
        <v>60</v>
      </c>
      <c r="M2124">
        <v>1</v>
      </c>
      <c r="N2124" t="s">
        <v>67</v>
      </c>
      <c r="O2124" s="2">
        <v>0.57847222222222217</v>
      </c>
      <c r="P2124">
        <f>-0.0066026985*3600</f>
        <v>-23.7697146</v>
      </c>
      <c r="Q2124">
        <f>-0.0032201006*3600</f>
        <v>-11.592362159999999</v>
      </c>
    </row>
    <row r="2125" spans="1:17" x14ac:dyDescent="0.3">
      <c r="A2125" s="4" t="s">
        <v>47</v>
      </c>
      <c r="B2125" s="5" t="s">
        <v>1746</v>
      </c>
      <c r="C2125">
        <v>98.826091000000005</v>
      </c>
      <c r="D2125">
        <v>104.885976</v>
      </c>
      <c r="E2125">
        <v>1</v>
      </c>
      <c r="F2125">
        <v>1</v>
      </c>
      <c r="G2125">
        <v>0.26100000000000001</v>
      </c>
      <c r="H2125">
        <v>0</v>
      </c>
      <c r="I2125" t="s">
        <v>0</v>
      </c>
      <c r="J2125" t="s">
        <v>59</v>
      </c>
      <c r="K2125">
        <v>0</v>
      </c>
      <c r="L2125" t="s">
        <v>60</v>
      </c>
      <c r="M2125">
        <v>1</v>
      </c>
      <c r="N2125" t="s">
        <v>67</v>
      </c>
      <c r="O2125" s="2">
        <v>0.57847222222222217</v>
      </c>
      <c r="P2125">
        <f>-0.0067110083*3600</f>
        <v>-24.159629880000001</v>
      </c>
      <c r="Q2125">
        <f>-0.0031211581*3600</f>
        <v>-11.236169160000001</v>
      </c>
    </row>
    <row r="2126" spans="1:17" x14ac:dyDescent="0.3">
      <c r="A2126" s="4" t="s">
        <v>47</v>
      </c>
      <c r="B2126" s="5" t="s">
        <v>1747</v>
      </c>
      <c r="C2126">
        <v>98.826521</v>
      </c>
      <c r="D2126">
        <v>104.885908</v>
      </c>
      <c r="E2126">
        <v>1</v>
      </c>
      <c r="F2126">
        <v>1</v>
      </c>
      <c r="G2126">
        <v>0.26100000000000001</v>
      </c>
      <c r="H2126">
        <v>0</v>
      </c>
      <c r="I2126" t="s">
        <v>0</v>
      </c>
      <c r="J2126" t="s">
        <v>59</v>
      </c>
      <c r="K2126">
        <v>0</v>
      </c>
      <c r="L2126" t="s">
        <v>60</v>
      </c>
      <c r="M2126">
        <v>1</v>
      </c>
      <c r="N2126" t="s">
        <v>67</v>
      </c>
      <c r="O2126" s="2">
        <v>0.57847222222222217</v>
      </c>
      <c r="P2126">
        <f>-0.0065659947*3600</f>
        <v>-23.637580920000001</v>
      </c>
      <c r="Q2126">
        <f>-0.0032235897*3600</f>
        <v>-11.60492292</v>
      </c>
    </row>
    <row r="2127" spans="1:17" x14ac:dyDescent="0.3">
      <c r="A2127" s="4" t="s">
        <v>47</v>
      </c>
      <c r="B2127" s="5" t="s">
        <v>1748</v>
      </c>
      <c r="C2127">
        <v>98.826105999999996</v>
      </c>
      <c r="D2127">
        <v>104.88616399999999</v>
      </c>
      <c r="E2127">
        <v>1</v>
      </c>
      <c r="F2127">
        <v>1</v>
      </c>
      <c r="G2127">
        <v>0.26100000000000001</v>
      </c>
      <c r="H2127">
        <v>0</v>
      </c>
      <c r="I2127" t="s">
        <v>0</v>
      </c>
      <c r="J2127" t="s">
        <v>59</v>
      </c>
      <c r="K2127">
        <v>0</v>
      </c>
      <c r="L2127" t="s">
        <v>60</v>
      </c>
      <c r="M2127">
        <v>1</v>
      </c>
      <c r="N2127" t="s">
        <v>67</v>
      </c>
      <c r="O2127" s="2">
        <v>0.57847222222222217</v>
      </c>
      <c r="P2127">
        <f>-0.0064476309*3600</f>
        <v>-23.211471240000002</v>
      </c>
      <c r="Q2127">
        <f>-0.0029685983*3600</f>
        <v>-10.686953879999999</v>
      </c>
    </row>
    <row r="2128" spans="1:17" x14ac:dyDescent="0.3">
      <c r="A2128" s="4" t="s">
        <v>47</v>
      </c>
      <c r="B2128" s="5" t="s">
        <v>1749</v>
      </c>
      <c r="C2128">
        <v>98.826729</v>
      </c>
      <c r="D2128">
        <v>104.88635499999999</v>
      </c>
      <c r="E2128">
        <v>1</v>
      </c>
      <c r="F2128">
        <v>1</v>
      </c>
      <c r="G2128">
        <v>0.26100000000000001</v>
      </c>
      <c r="H2128">
        <v>0</v>
      </c>
      <c r="I2128" t="s">
        <v>0</v>
      </c>
      <c r="J2128" t="s">
        <v>59</v>
      </c>
      <c r="K2128">
        <v>0</v>
      </c>
      <c r="L2128" t="s">
        <v>60</v>
      </c>
      <c r="M2128">
        <v>1</v>
      </c>
      <c r="N2128" t="s">
        <v>67</v>
      </c>
      <c r="O2128" s="2">
        <v>0.57847222222222217</v>
      </c>
      <c r="P2128">
        <f>-0.0064411538*3600</f>
        <v>-23.188153679999999</v>
      </c>
      <c r="Q2128">
        <f>-0.002795051*3600</f>
        <v>-10.062183599999999</v>
      </c>
    </row>
    <row r="2129" spans="1:17" x14ac:dyDescent="0.3">
      <c r="A2129" s="4" t="s">
        <v>47</v>
      </c>
      <c r="B2129" s="5" t="s">
        <v>1750</v>
      </c>
      <c r="C2129">
        <v>98.826919000000004</v>
      </c>
      <c r="D2129">
        <v>104.88637300000001</v>
      </c>
      <c r="E2129">
        <v>1</v>
      </c>
      <c r="F2129">
        <v>1</v>
      </c>
      <c r="G2129">
        <v>0.26100000000000001</v>
      </c>
      <c r="H2129">
        <v>0</v>
      </c>
      <c r="I2129" t="s">
        <v>0</v>
      </c>
      <c r="J2129" t="s">
        <v>59</v>
      </c>
      <c r="K2129">
        <v>0</v>
      </c>
      <c r="L2129" t="s">
        <v>60</v>
      </c>
      <c r="M2129">
        <v>1</v>
      </c>
      <c r="N2129" t="s">
        <v>67</v>
      </c>
      <c r="O2129" s="2">
        <v>0.57847222222222217</v>
      </c>
      <c r="P2129">
        <f>-0.0065647834*3600</f>
        <v>-23.63322024</v>
      </c>
      <c r="Q2129">
        <f>-0.0027582468*3600</f>
        <v>-9.9296884799999994</v>
      </c>
    </row>
    <row r="2130" spans="1:17" x14ac:dyDescent="0.3">
      <c r="A2130" s="4" t="s">
        <v>47</v>
      </c>
      <c r="B2130" s="5" t="s">
        <v>1751</v>
      </c>
      <c r="C2130">
        <v>98.826365999999993</v>
      </c>
      <c r="D2130">
        <v>104.886214</v>
      </c>
      <c r="E2130">
        <v>1</v>
      </c>
      <c r="F2130">
        <v>1</v>
      </c>
      <c r="G2130">
        <v>0.26100000000000001</v>
      </c>
      <c r="H2130">
        <v>0</v>
      </c>
      <c r="I2130" t="s">
        <v>0</v>
      </c>
      <c r="J2130" t="s">
        <v>59</v>
      </c>
      <c r="K2130">
        <v>0</v>
      </c>
      <c r="L2130" t="s">
        <v>60</v>
      </c>
      <c r="M2130">
        <v>1</v>
      </c>
      <c r="N2130" t="s">
        <v>67</v>
      </c>
      <c r="O2130" s="2">
        <v>0.57847222222222217</v>
      </c>
      <c r="P2130">
        <f>-0.0066047571*3600</f>
        <v>-23.777125559999998</v>
      </c>
      <c r="Q2130">
        <f>-0.0028953552*3600</f>
        <v>-10.423278720000001</v>
      </c>
    </row>
    <row r="2131" spans="1:17" x14ac:dyDescent="0.3">
      <c r="A2131" s="4" t="s">
        <v>47</v>
      </c>
      <c r="B2131" s="5" t="s">
        <v>1752</v>
      </c>
      <c r="C2131">
        <v>98.826356000000004</v>
      </c>
      <c r="D2131">
        <v>104.88627099999999</v>
      </c>
      <c r="E2131">
        <v>1</v>
      </c>
      <c r="F2131">
        <v>1</v>
      </c>
      <c r="G2131">
        <v>0.26100000000000001</v>
      </c>
      <c r="H2131">
        <v>0</v>
      </c>
      <c r="I2131" t="s">
        <v>0</v>
      </c>
      <c r="J2131" t="s">
        <v>59</v>
      </c>
      <c r="K2131">
        <v>0</v>
      </c>
      <c r="L2131" t="s">
        <v>60</v>
      </c>
      <c r="M2131">
        <v>1</v>
      </c>
      <c r="N2131" t="s">
        <v>67</v>
      </c>
      <c r="O2131" s="2">
        <v>0.57847222222222217</v>
      </c>
      <c r="P2131">
        <f>-0.0066666635*3600</f>
        <v>-23.999988600000002</v>
      </c>
      <c r="Q2131">
        <f>-0.00284191*3600</f>
        <v>-10.230876</v>
      </c>
    </row>
    <row r="2132" spans="1:17" x14ac:dyDescent="0.3">
      <c r="A2132" s="4" t="s">
        <v>47</v>
      </c>
      <c r="B2132" s="5" t="s">
        <v>1753</v>
      </c>
      <c r="C2132">
        <v>98.826590999999993</v>
      </c>
      <c r="D2132">
        <v>104.88634500000001</v>
      </c>
      <c r="E2132">
        <v>1</v>
      </c>
      <c r="F2132">
        <v>1</v>
      </c>
      <c r="G2132">
        <v>0.26100000000000001</v>
      </c>
      <c r="H2132">
        <v>0</v>
      </c>
      <c r="I2132" t="s">
        <v>0</v>
      </c>
      <c r="J2132" t="s">
        <v>59</v>
      </c>
      <c r="K2132">
        <v>0</v>
      </c>
      <c r="L2132" t="s">
        <v>60</v>
      </c>
      <c r="M2132">
        <v>1</v>
      </c>
      <c r="N2132" t="s">
        <v>67</v>
      </c>
      <c r="O2132" s="2">
        <v>0.57847222222222217</v>
      </c>
      <c r="P2132">
        <f>-0.0066123096*3600</f>
        <v>-23.804314559999998</v>
      </c>
      <c r="Q2132">
        <f>-0.0028273502*3600</f>
        <v>-10.178460719999999</v>
      </c>
    </row>
    <row r="2133" spans="1:17" x14ac:dyDescent="0.3">
      <c r="A2133" s="4" t="s">
        <v>47</v>
      </c>
      <c r="B2133" s="5" t="s">
        <v>1754</v>
      </c>
      <c r="C2133">
        <v>98.826820999999995</v>
      </c>
      <c r="D2133">
        <v>104.88609599999999</v>
      </c>
      <c r="E2133">
        <v>1</v>
      </c>
      <c r="F2133">
        <v>1</v>
      </c>
      <c r="G2133">
        <v>0.26100000000000001</v>
      </c>
      <c r="H2133">
        <v>0</v>
      </c>
      <c r="I2133" t="s">
        <v>0</v>
      </c>
      <c r="J2133" t="s">
        <v>59</v>
      </c>
      <c r="K2133">
        <v>0</v>
      </c>
      <c r="L2133" t="s">
        <v>60</v>
      </c>
      <c r="M2133">
        <v>1</v>
      </c>
      <c r="N2133" t="s">
        <v>67</v>
      </c>
      <c r="O2133" s="2">
        <v>0.57847222222222217</v>
      </c>
      <c r="P2133">
        <f>-0.0066697117*3600</f>
        <v>-24.010962119999999</v>
      </c>
      <c r="Q2133">
        <f>-0.0030566599*3600</f>
        <v>-11.00397564</v>
      </c>
    </row>
    <row r="2134" spans="1:17" x14ac:dyDescent="0.3">
      <c r="A2134" s="4" t="s">
        <v>47</v>
      </c>
      <c r="B2134" s="5" t="s">
        <v>1755</v>
      </c>
      <c r="C2134">
        <v>98.826846000000003</v>
      </c>
      <c r="D2134">
        <v>104.886252</v>
      </c>
      <c r="E2134">
        <v>1</v>
      </c>
      <c r="F2134">
        <v>1</v>
      </c>
      <c r="G2134">
        <v>0.26100000000000001</v>
      </c>
      <c r="H2134">
        <v>0</v>
      </c>
      <c r="I2134" t="s">
        <v>0</v>
      </c>
      <c r="J2134" t="s">
        <v>59</v>
      </c>
      <c r="K2134">
        <v>0</v>
      </c>
      <c r="L2134" t="s">
        <v>60</v>
      </c>
      <c r="M2134">
        <v>1</v>
      </c>
      <c r="N2134" t="s">
        <v>67</v>
      </c>
      <c r="O2134" s="2">
        <v>0.57847222222222217</v>
      </c>
      <c r="P2134">
        <f>-0.0066828455*3600</f>
        <v>-24.0582438</v>
      </c>
      <c r="Q2134">
        <f>-0.0028252723*3600</f>
        <v>-10.17098028</v>
      </c>
    </row>
    <row r="2135" spans="1:17" x14ac:dyDescent="0.3">
      <c r="A2135" s="4" t="s">
        <v>47</v>
      </c>
      <c r="B2135" s="5" t="s">
        <v>1756</v>
      </c>
      <c r="C2135">
        <v>98.827089999999998</v>
      </c>
      <c r="D2135">
        <v>104.886128</v>
      </c>
      <c r="E2135">
        <v>1</v>
      </c>
      <c r="F2135">
        <v>1</v>
      </c>
      <c r="G2135">
        <v>0.26100000000000001</v>
      </c>
      <c r="H2135">
        <v>0</v>
      </c>
      <c r="I2135" t="s">
        <v>0</v>
      </c>
      <c r="J2135" t="s">
        <v>59</v>
      </c>
      <c r="K2135">
        <v>0</v>
      </c>
      <c r="L2135" t="s">
        <v>60</v>
      </c>
      <c r="M2135">
        <v>1</v>
      </c>
      <c r="N2135" t="s">
        <v>67</v>
      </c>
      <c r="O2135" s="2">
        <v>0.57847222222222217</v>
      </c>
      <c r="P2135">
        <f>-0.0067493656*3600</f>
        <v>-24.29771616</v>
      </c>
      <c r="Q2135">
        <f>-0.0028973117*3600</f>
        <v>-10.43032212</v>
      </c>
    </row>
    <row r="2136" spans="1:17" x14ac:dyDescent="0.3">
      <c r="A2136" s="4" t="s">
        <v>47</v>
      </c>
      <c r="B2136" s="5" t="s">
        <v>1757</v>
      </c>
      <c r="C2136">
        <v>98.826707999999996</v>
      </c>
      <c r="D2136">
        <v>104.886219</v>
      </c>
      <c r="E2136">
        <v>1</v>
      </c>
      <c r="F2136">
        <v>1</v>
      </c>
      <c r="G2136">
        <v>0.26100000000000001</v>
      </c>
      <c r="H2136">
        <v>0</v>
      </c>
      <c r="I2136" t="s">
        <v>0</v>
      </c>
      <c r="J2136" t="s">
        <v>59</v>
      </c>
      <c r="K2136">
        <v>0</v>
      </c>
      <c r="L2136" t="s">
        <v>60</v>
      </c>
      <c r="M2136">
        <v>1</v>
      </c>
      <c r="N2136" t="s">
        <v>67</v>
      </c>
      <c r="O2136" s="2">
        <v>0.57847222222222217</v>
      </c>
      <c r="P2136">
        <f>-0.0067978396*3600</f>
        <v>-24.472222560000002</v>
      </c>
      <c r="Q2136">
        <f>-0.0027976932*3600</f>
        <v>-10.07169552</v>
      </c>
    </row>
    <row r="2137" spans="1:17" x14ac:dyDescent="0.3">
      <c r="A2137" s="4" t="s">
        <v>47</v>
      </c>
      <c r="B2137" s="5" t="s">
        <v>1758</v>
      </c>
      <c r="C2137">
        <v>98.826533999999995</v>
      </c>
      <c r="D2137">
        <v>104.88618</v>
      </c>
      <c r="E2137">
        <v>1</v>
      </c>
      <c r="F2137">
        <v>1</v>
      </c>
      <c r="G2137">
        <v>0.26100000000000001</v>
      </c>
      <c r="H2137">
        <v>0</v>
      </c>
      <c r="I2137" t="s">
        <v>0</v>
      </c>
      <c r="J2137" t="s">
        <v>59</v>
      </c>
      <c r="K2137">
        <v>0</v>
      </c>
      <c r="L2137" t="s">
        <v>60</v>
      </c>
      <c r="M2137">
        <v>1</v>
      </c>
      <c r="N2137" t="s">
        <v>67</v>
      </c>
      <c r="O2137" s="2">
        <v>0.57847222222222217</v>
      </c>
      <c r="P2137">
        <f>-0.006766602*3600</f>
        <v>-24.3597672</v>
      </c>
      <c r="Q2137">
        <f>-0.0028236414*3600</f>
        <v>-10.165109040000001</v>
      </c>
    </row>
    <row r="2138" spans="1:17" x14ac:dyDescent="0.3">
      <c r="A2138" s="4" t="s">
        <v>47</v>
      </c>
      <c r="B2138" s="5" t="s">
        <v>1759</v>
      </c>
      <c r="C2138">
        <v>98.827044999999998</v>
      </c>
      <c r="D2138">
        <v>104.886135</v>
      </c>
      <c r="E2138">
        <v>1</v>
      </c>
      <c r="F2138">
        <v>1</v>
      </c>
      <c r="G2138">
        <v>0.26100000000000001</v>
      </c>
      <c r="H2138">
        <v>0</v>
      </c>
      <c r="I2138" t="s">
        <v>0</v>
      </c>
      <c r="J2138" t="s">
        <v>59</v>
      </c>
      <c r="K2138">
        <v>0</v>
      </c>
      <c r="L2138" t="s">
        <v>60</v>
      </c>
      <c r="M2138">
        <v>1</v>
      </c>
      <c r="N2138" t="s">
        <v>67</v>
      </c>
      <c r="O2138" s="2">
        <v>0.57847222222222217</v>
      </c>
      <c r="P2138">
        <f>-0.0067610871*3600</f>
        <v>-24.339913559999999</v>
      </c>
      <c r="Q2138">
        <f>-0.0028613865*3600</f>
        <v>-10.300991399999999</v>
      </c>
    </row>
    <row r="2139" spans="1:17" x14ac:dyDescent="0.3">
      <c r="A2139" s="4" t="s">
        <v>47</v>
      </c>
      <c r="B2139" s="5" t="s">
        <v>1760</v>
      </c>
      <c r="C2139">
        <v>98.826601999999994</v>
      </c>
      <c r="D2139">
        <v>104.885963</v>
      </c>
      <c r="E2139">
        <v>1</v>
      </c>
      <c r="F2139">
        <v>1</v>
      </c>
      <c r="G2139">
        <v>0.26100000000000001</v>
      </c>
      <c r="H2139">
        <v>0</v>
      </c>
      <c r="I2139" t="s">
        <v>0</v>
      </c>
      <c r="J2139" t="s">
        <v>59</v>
      </c>
      <c r="K2139">
        <v>0</v>
      </c>
      <c r="L2139" t="s">
        <v>60</v>
      </c>
      <c r="M2139">
        <v>1</v>
      </c>
      <c r="N2139" t="s">
        <v>67</v>
      </c>
      <c r="O2139" s="2">
        <v>0.57847222222222217</v>
      </c>
      <c r="P2139">
        <f>-0.0068474295*3600</f>
        <v>-24.6507462</v>
      </c>
      <c r="Q2139">
        <f>-0.0030198483*3600</f>
        <v>-10.871453880000001</v>
      </c>
    </row>
    <row r="2140" spans="1:17" x14ac:dyDescent="0.3">
      <c r="A2140" s="4" t="s">
        <v>47</v>
      </c>
      <c r="B2140" s="5" t="s">
        <v>1761</v>
      </c>
      <c r="C2140">
        <v>98.826464999999999</v>
      </c>
      <c r="D2140">
        <v>104.88600700000001</v>
      </c>
      <c r="E2140">
        <v>1</v>
      </c>
      <c r="F2140">
        <v>1</v>
      </c>
      <c r="G2140">
        <v>0.26100000000000001</v>
      </c>
      <c r="H2140">
        <v>0</v>
      </c>
      <c r="I2140" t="s">
        <v>0</v>
      </c>
      <c r="J2140" t="s">
        <v>59</v>
      </c>
      <c r="K2140">
        <v>0</v>
      </c>
      <c r="L2140" t="s">
        <v>60</v>
      </c>
      <c r="M2140">
        <v>1</v>
      </c>
      <c r="N2140" t="s">
        <v>67</v>
      </c>
      <c r="O2140" s="2">
        <v>0.57847222222222217</v>
      </c>
      <c r="P2140">
        <f>-0.0068837623*3600</f>
        <v>-24.781544280000002</v>
      </c>
      <c r="Q2140">
        <f>-0.0029040351*3600</f>
        <v>-10.454526360000001</v>
      </c>
    </row>
    <row r="2141" spans="1:17" x14ac:dyDescent="0.3">
      <c r="A2141" s="4" t="s">
        <v>47</v>
      </c>
      <c r="B2141" s="5" t="s">
        <v>1762</v>
      </c>
      <c r="C2141">
        <v>98.826783000000006</v>
      </c>
      <c r="D2141">
        <v>104.88604100000001</v>
      </c>
      <c r="E2141">
        <v>1</v>
      </c>
      <c r="F2141">
        <v>1</v>
      </c>
      <c r="G2141">
        <v>0.26100000000000001</v>
      </c>
      <c r="H2141">
        <v>0</v>
      </c>
      <c r="I2141" t="s">
        <v>0</v>
      </c>
      <c r="J2141" t="s">
        <v>59</v>
      </c>
      <c r="K2141">
        <v>0</v>
      </c>
      <c r="L2141" t="s">
        <v>60</v>
      </c>
      <c r="M2141">
        <v>1</v>
      </c>
      <c r="N2141" t="s">
        <v>67</v>
      </c>
      <c r="O2141" s="2">
        <v>0.57847222222222217</v>
      </c>
      <c r="P2141">
        <f>-0.0068051221*3600</f>
        <v>-24.498439559999998</v>
      </c>
      <c r="Q2141">
        <f>-0.0028455377*3600</f>
        <v>-10.24393572</v>
      </c>
    </row>
    <row r="2142" spans="1:17" x14ac:dyDescent="0.3">
      <c r="A2142" s="4" t="s">
        <v>47</v>
      </c>
      <c r="B2142" s="5" t="s">
        <v>1763</v>
      </c>
      <c r="C2142">
        <v>98.826494999999994</v>
      </c>
      <c r="D2142">
        <v>104.88609099999999</v>
      </c>
      <c r="E2142">
        <v>1</v>
      </c>
      <c r="F2142">
        <v>1</v>
      </c>
      <c r="G2142">
        <v>0.26100000000000001</v>
      </c>
      <c r="H2142">
        <v>0</v>
      </c>
      <c r="I2142" t="s">
        <v>0</v>
      </c>
      <c r="J2142" t="s">
        <v>59</v>
      </c>
      <c r="K2142">
        <v>0</v>
      </c>
      <c r="L2142" t="s">
        <v>60</v>
      </c>
      <c r="M2142">
        <v>1</v>
      </c>
      <c r="N2142" t="s">
        <v>67</v>
      </c>
      <c r="O2142" s="2">
        <v>0.57847222222222217</v>
      </c>
      <c r="P2142">
        <f>-0.0067577193*3600</f>
        <v>-24.32778948</v>
      </c>
      <c r="Q2142">
        <f>-0.0027778386*3600</f>
        <v>-10.00021896</v>
      </c>
    </row>
    <row r="2143" spans="1:17" x14ac:dyDescent="0.3">
      <c r="A2143" s="4" t="s">
        <v>47</v>
      </c>
      <c r="B2143" s="5" t="s">
        <v>1764</v>
      </c>
      <c r="C2143">
        <v>98.826762000000002</v>
      </c>
      <c r="D2143">
        <v>104.886189</v>
      </c>
      <c r="E2143">
        <v>1</v>
      </c>
      <c r="F2143">
        <v>1</v>
      </c>
      <c r="G2143">
        <v>0.26100000000000001</v>
      </c>
      <c r="H2143">
        <v>0</v>
      </c>
      <c r="I2143" t="s">
        <v>0</v>
      </c>
      <c r="J2143" t="s">
        <v>59</v>
      </c>
      <c r="K2143">
        <v>0</v>
      </c>
      <c r="L2143" t="s">
        <v>60</v>
      </c>
      <c r="M2143">
        <v>1</v>
      </c>
      <c r="N2143" t="s">
        <v>67</v>
      </c>
      <c r="O2143" s="2">
        <v>0.57847222222222217</v>
      </c>
      <c r="P2143">
        <f>-0.0067239317*3600</f>
        <v>-24.206154119999997</v>
      </c>
      <c r="Q2143">
        <f>-0.0026727539*3600</f>
        <v>-9.6219140400000001</v>
      </c>
    </row>
    <row r="2144" spans="1:17" x14ac:dyDescent="0.3">
      <c r="A2144" s="4" t="s">
        <v>47</v>
      </c>
      <c r="B2144" s="5" t="s">
        <v>1765</v>
      </c>
      <c r="C2144">
        <v>98.826652999999993</v>
      </c>
      <c r="D2144">
        <v>104.886071</v>
      </c>
      <c r="E2144">
        <v>1</v>
      </c>
      <c r="F2144">
        <v>1</v>
      </c>
      <c r="G2144">
        <v>0.26100000000000001</v>
      </c>
      <c r="H2144">
        <v>0</v>
      </c>
      <c r="I2144" t="s">
        <v>0</v>
      </c>
      <c r="J2144" t="s">
        <v>59</v>
      </c>
      <c r="K2144">
        <v>0</v>
      </c>
      <c r="L2144" t="s">
        <v>60</v>
      </c>
      <c r="M2144">
        <v>1</v>
      </c>
      <c r="N2144" t="s">
        <v>67</v>
      </c>
      <c r="O2144" s="2">
        <v>0.57847222222222217</v>
      </c>
      <c r="P2144">
        <f>-0.0068009981*3600</f>
        <v>-24.483593160000002</v>
      </c>
      <c r="Q2144">
        <f>-0.0027619679*3600</f>
        <v>-9.9430844399999998</v>
      </c>
    </row>
    <row r="2145" spans="1:17" x14ac:dyDescent="0.3">
      <c r="A2145" s="4" t="s">
        <v>47</v>
      </c>
      <c r="B2145" s="5" t="s">
        <v>1766</v>
      </c>
      <c r="C2145">
        <v>98.826372000000006</v>
      </c>
      <c r="D2145">
        <v>104.885865</v>
      </c>
      <c r="E2145">
        <v>1</v>
      </c>
      <c r="F2145">
        <v>1</v>
      </c>
      <c r="G2145">
        <v>0.26100000000000001</v>
      </c>
      <c r="H2145">
        <v>0</v>
      </c>
      <c r="I2145" t="s">
        <v>0</v>
      </c>
      <c r="J2145" t="s">
        <v>59</v>
      </c>
      <c r="K2145">
        <v>0</v>
      </c>
      <c r="L2145" t="s">
        <v>60</v>
      </c>
      <c r="M2145">
        <v>1</v>
      </c>
      <c r="N2145" t="s">
        <v>67</v>
      </c>
      <c r="O2145" s="2">
        <v>0.57847222222222217</v>
      </c>
      <c r="P2145">
        <f>-0.0068156798*3600</f>
        <v>-24.536447280000001</v>
      </c>
      <c r="Q2145">
        <f>-0.0028914574*3600</f>
        <v>-10.409246640000001</v>
      </c>
    </row>
    <row r="2146" spans="1:17" x14ac:dyDescent="0.3">
      <c r="A2146" s="4" t="s">
        <v>47</v>
      </c>
      <c r="B2146" s="5" t="s">
        <v>1767</v>
      </c>
      <c r="C2146">
        <v>98.826654000000005</v>
      </c>
      <c r="D2146">
        <v>104.885746</v>
      </c>
      <c r="E2146">
        <v>1</v>
      </c>
      <c r="F2146">
        <v>1</v>
      </c>
      <c r="G2146">
        <v>0.26100000000000001</v>
      </c>
      <c r="H2146">
        <v>0</v>
      </c>
      <c r="I2146" t="s">
        <v>0</v>
      </c>
      <c r="J2146" t="s">
        <v>59</v>
      </c>
      <c r="K2146">
        <v>0</v>
      </c>
      <c r="L2146" t="s">
        <v>60</v>
      </c>
      <c r="M2146">
        <v>1</v>
      </c>
      <c r="N2146" t="s">
        <v>67</v>
      </c>
      <c r="O2146" s="2">
        <v>0.57847222222222217</v>
      </c>
      <c r="P2146">
        <f>-0.0068095101*3600</f>
        <v>-24.514236360000002</v>
      </c>
      <c r="Q2146">
        <f>-0.0030003514*3600</f>
        <v>-10.801265040000001</v>
      </c>
    </row>
    <row r="2147" spans="1:17" x14ac:dyDescent="0.3">
      <c r="A2147" s="4" t="s">
        <v>47</v>
      </c>
      <c r="B2147" s="5" t="s">
        <v>1768</v>
      </c>
      <c r="C2147">
        <v>98.826497000000003</v>
      </c>
      <c r="D2147">
        <v>104.885846</v>
      </c>
      <c r="E2147">
        <v>1</v>
      </c>
      <c r="F2147">
        <v>1</v>
      </c>
      <c r="G2147">
        <v>0.26100000000000001</v>
      </c>
      <c r="H2147">
        <v>0</v>
      </c>
      <c r="I2147" t="s">
        <v>0</v>
      </c>
      <c r="J2147" t="s">
        <v>59</v>
      </c>
      <c r="K2147">
        <v>0</v>
      </c>
      <c r="L2147" t="s">
        <v>60</v>
      </c>
      <c r="M2147">
        <v>1</v>
      </c>
      <c r="N2147" t="s">
        <v>67</v>
      </c>
      <c r="O2147" s="2">
        <v>0.57847222222222217</v>
      </c>
      <c r="P2147">
        <f>-0.0068046419*3600</f>
        <v>-24.496710839999999</v>
      </c>
      <c r="Q2147">
        <f>-0.0029241265*3600</f>
        <v>-10.526855400000001</v>
      </c>
    </row>
    <row r="2148" spans="1:17" x14ac:dyDescent="0.3">
      <c r="A2148" s="4" t="s">
        <v>47</v>
      </c>
      <c r="B2148" s="5" t="s">
        <v>1769</v>
      </c>
      <c r="C2148">
        <v>98.826662999999996</v>
      </c>
      <c r="D2148">
        <v>104.88584299999999</v>
      </c>
      <c r="E2148">
        <v>1</v>
      </c>
      <c r="F2148">
        <v>1</v>
      </c>
      <c r="G2148">
        <v>0.26100000000000001</v>
      </c>
      <c r="H2148">
        <v>0</v>
      </c>
      <c r="I2148" t="s">
        <v>0</v>
      </c>
      <c r="J2148" t="s">
        <v>59</v>
      </c>
      <c r="K2148">
        <v>0</v>
      </c>
      <c r="L2148" t="s">
        <v>60</v>
      </c>
      <c r="M2148">
        <v>1</v>
      </c>
      <c r="N2148" t="s">
        <v>67</v>
      </c>
      <c r="O2148" s="2">
        <v>0.57847222222222217</v>
      </c>
      <c r="P2148">
        <f>-0.0069222274*3600</f>
        <v>-24.920018639999999</v>
      </c>
      <c r="Q2148">
        <f>-0.0029253058*3600</f>
        <v>-10.53110088</v>
      </c>
    </row>
    <row r="2149" spans="1:17" x14ac:dyDescent="0.3">
      <c r="A2149" s="4" t="s">
        <v>47</v>
      </c>
      <c r="B2149" s="5" t="s">
        <v>1770</v>
      </c>
      <c r="C2149">
        <v>98.826491000000004</v>
      </c>
      <c r="D2149">
        <v>104.88602899999999</v>
      </c>
      <c r="E2149">
        <v>1</v>
      </c>
      <c r="F2149">
        <v>1</v>
      </c>
      <c r="G2149">
        <v>0.26100000000000001</v>
      </c>
      <c r="H2149">
        <v>0</v>
      </c>
      <c r="I2149" t="s">
        <v>0</v>
      </c>
      <c r="J2149" t="s">
        <v>59</v>
      </c>
      <c r="K2149">
        <v>0</v>
      </c>
      <c r="L2149" t="s">
        <v>60</v>
      </c>
      <c r="M2149">
        <v>1</v>
      </c>
      <c r="N2149" t="s">
        <v>67</v>
      </c>
      <c r="O2149" s="2">
        <v>0.57847222222222217</v>
      </c>
      <c r="P2149">
        <f>-0.0068237969*3600</f>
        <v>-24.565668840000001</v>
      </c>
      <c r="Q2149">
        <f>-0.0027285638*3600</f>
        <v>-9.8228296799999999</v>
      </c>
    </row>
    <row r="2150" spans="1:17" x14ac:dyDescent="0.3">
      <c r="A2150" s="4" t="s">
        <v>47</v>
      </c>
      <c r="B2150" s="5" t="s">
        <v>1771</v>
      </c>
      <c r="C2150">
        <v>98.826650000000001</v>
      </c>
      <c r="D2150">
        <v>104.886078</v>
      </c>
      <c r="E2150">
        <v>1</v>
      </c>
      <c r="F2150">
        <v>1</v>
      </c>
      <c r="G2150">
        <v>0.26100000000000001</v>
      </c>
      <c r="H2150">
        <v>0</v>
      </c>
      <c r="I2150" t="s">
        <v>0</v>
      </c>
      <c r="J2150" t="s">
        <v>59</v>
      </c>
      <c r="K2150">
        <v>0</v>
      </c>
      <c r="L2150" t="s">
        <v>60</v>
      </c>
      <c r="M2150">
        <v>1</v>
      </c>
      <c r="N2150" t="s">
        <v>67</v>
      </c>
      <c r="O2150" s="2">
        <v>0.57847222222222217</v>
      </c>
      <c r="P2150">
        <f>-0.0067603477*3600</f>
        <v>-24.337251719999998</v>
      </c>
      <c r="Q2150">
        <f>-0.0026603422*3600</f>
        <v>-9.5772319200000009</v>
      </c>
    </row>
    <row r="2151" spans="1:17" x14ac:dyDescent="0.3">
      <c r="A2151" s="4" t="s">
        <v>47</v>
      </c>
      <c r="B2151" s="5" t="s">
        <v>1772</v>
      </c>
      <c r="C2151">
        <v>98.826312000000001</v>
      </c>
      <c r="D2151">
        <v>104.886088</v>
      </c>
      <c r="E2151">
        <v>1</v>
      </c>
      <c r="F2151">
        <v>1</v>
      </c>
      <c r="G2151">
        <v>0.26100000000000001</v>
      </c>
      <c r="H2151">
        <v>0</v>
      </c>
      <c r="I2151" t="s">
        <v>0</v>
      </c>
      <c r="J2151" t="s">
        <v>59</v>
      </c>
      <c r="K2151">
        <v>0</v>
      </c>
      <c r="L2151" t="s">
        <v>60</v>
      </c>
      <c r="M2151">
        <v>1</v>
      </c>
      <c r="N2151" t="s">
        <v>67</v>
      </c>
      <c r="O2151" s="2">
        <v>0.57847222222222217</v>
      </c>
      <c r="P2151">
        <f>-0.0068100155*3600</f>
        <v>-24.5160558</v>
      </c>
      <c r="Q2151">
        <f>-0.0026647869*3600</f>
        <v>-9.5932328400000006</v>
      </c>
    </row>
    <row r="2152" spans="1:17" x14ac:dyDescent="0.3">
      <c r="A2152" s="4" t="s">
        <v>47</v>
      </c>
      <c r="B2152" s="5" t="s">
        <v>1773</v>
      </c>
      <c r="C2152">
        <v>98.826650000000001</v>
      </c>
      <c r="D2152">
        <v>104.885884</v>
      </c>
      <c r="E2152">
        <v>1</v>
      </c>
      <c r="F2152">
        <v>1</v>
      </c>
      <c r="G2152">
        <v>0.26100000000000001</v>
      </c>
      <c r="H2152">
        <v>0</v>
      </c>
      <c r="I2152" t="s">
        <v>0</v>
      </c>
      <c r="J2152" t="s">
        <v>59</v>
      </c>
      <c r="K2152">
        <v>0</v>
      </c>
      <c r="L2152" t="s">
        <v>60</v>
      </c>
      <c r="M2152">
        <v>1</v>
      </c>
      <c r="N2152" t="s">
        <v>67</v>
      </c>
      <c r="O2152" s="2">
        <v>0.57847222222222217</v>
      </c>
      <c r="P2152">
        <f>-0.0068195632*3600</f>
        <v>-24.55042752</v>
      </c>
      <c r="Q2152">
        <f>-0.0027675271*3600</f>
        <v>-9.9630975600000014</v>
      </c>
    </row>
    <row r="2153" spans="1:17" x14ac:dyDescent="0.3">
      <c r="A2153" s="4" t="s">
        <v>47</v>
      </c>
      <c r="B2153" s="5" t="s">
        <v>1774</v>
      </c>
      <c r="C2153">
        <v>98.826588000000001</v>
      </c>
      <c r="D2153">
        <v>104.885699</v>
      </c>
      <c r="E2153">
        <v>1</v>
      </c>
      <c r="F2153">
        <v>1</v>
      </c>
      <c r="G2153">
        <v>0.26100000000000001</v>
      </c>
      <c r="H2153">
        <v>0</v>
      </c>
      <c r="I2153" t="s">
        <v>0</v>
      </c>
      <c r="J2153" t="s">
        <v>59</v>
      </c>
      <c r="K2153">
        <v>0</v>
      </c>
      <c r="L2153" t="s">
        <v>60</v>
      </c>
      <c r="M2153">
        <v>1</v>
      </c>
      <c r="N2153" t="s">
        <v>67</v>
      </c>
      <c r="O2153" s="2">
        <v>0.57847222222222217</v>
      </c>
      <c r="P2153">
        <f>-0.0067355274*3600</f>
        <v>-24.247898639999999</v>
      </c>
      <c r="Q2153">
        <f>-0.0029663496*3600</f>
        <v>-10.67885856</v>
      </c>
    </row>
    <row r="2154" spans="1:17" x14ac:dyDescent="0.3">
      <c r="A2154" s="4" t="s">
        <v>47</v>
      </c>
      <c r="B2154" s="5" t="s">
        <v>1775</v>
      </c>
      <c r="C2154">
        <v>98.826455999999993</v>
      </c>
      <c r="D2154">
        <v>104.886201</v>
      </c>
      <c r="E2154">
        <v>1</v>
      </c>
      <c r="F2154">
        <v>1</v>
      </c>
      <c r="G2154">
        <v>0.26100000000000001</v>
      </c>
      <c r="H2154">
        <v>0</v>
      </c>
      <c r="I2154" t="s">
        <v>0</v>
      </c>
      <c r="J2154" t="s">
        <v>59</v>
      </c>
      <c r="K2154">
        <v>0</v>
      </c>
      <c r="L2154" t="s">
        <v>60</v>
      </c>
      <c r="M2154">
        <v>1</v>
      </c>
      <c r="N2154" t="s">
        <v>67</v>
      </c>
      <c r="O2154" s="2">
        <v>0.57847222222222217</v>
      </c>
      <c r="P2154">
        <f>-0.0066643582*3600</f>
        <v>-23.991689519999998</v>
      </c>
      <c r="Q2154">
        <f>-0.0024946453*3600</f>
        <v>-8.9807230799999989</v>
      </c>
    </row>
    <row r="2155" spans="1:17" x14ac:dyDescent="0.3">
      <c r="A2155" s="4" t="s">
        <v>47</v>
      </c>
      <c r="B2155" s="5" t="s">
        <v>1776</v>
      </c>
      <c r="C2155">
        <v>98.826240999999996</v>
      </c>
      <c r="D2155">
        <v>104.88581600000001</v>
      </c>
      <c r="E2155">
        <v>1</v>
      </c>
      <c r="F2155">
        <v>1</v>
      </c>
      <c r="G2155">
        <v>0.26100000000000001</v>
      </c>
      <c r="H2155">
        <v>0</v>
      </c>
      <c r="I2155" t="s">
        <v>0</v>
      </c>
      <c r="J2155" t="s">
        <v>59</v>
      </c>
      <c r="K2155">
        <v>0</v>
      </c>
      <c r="L2155" t="s">
        <v>60</v>
      </c>
      <c r="M2155">
        <v>1</v>
      </c>
      <c r="N2155" t="s">
        <v>67</v>
      </c>
      <c r="O2155" s="2">
        <v>0.57847222222222217</v>
      </c>
      <c r="P2155">
        <f>-0.0068079434*3600</f>
        <v>-24.508596239999999</v>
      </c>
      <c r="Q2155">
        <f>-0.0028253727*3600</f>
        <v>-10.171341719999999</v>
      </c>
    </row>
    <row r="2156" spans="1:17" x14ac:dyDescent="0.3">
      <c r="A2156" s="4" t="s">
        <v>47</v>
      </c>
      <c r="B2156" s="6" t="s">
        <v>1777</v>
      </c>
      <c r="C2156">
        <v>298.82547</v>
      </c>
      <c r="D2156">
        <v>295.065178</v>
      </c>
      <c r="E2156">
        <v>19.663599999999999</v>
      </c>
      <c r="F2156">
        <v>19.601099999999999</v>
      </c>
      <c r="G2156">
        <v>0.26100000000000001</v>
      </c>
      <c r="H2156">
        <v>0</v>
      </c>
      <c r="I2156" t="s">
        <v>0</v>
      </c>
      <c r="J2156" t="s">
        <v>59</v>
      </c>
      <c r="K2156">
        <v>3.4000000000000002E-2</v>
      </c>
      <c r="L2156" t="s">
        <v>60</v>
      </c>
      <c r="M2156">
        <v>1</v>
      </c>
      <c r="N2156" t="s">
        <v>53</v>
      </c>
      <c r="O2156" s="2">
        <v>0.57916666666666672</v>
      </c>
      <c r="P2156">
        <f>0.0039336712*3600</f>
        <v>14.161216319999999</v>
      </c>
      <c r="Q2156">
        <f>0.0031360616*3600</f>
        <v>11.289821760000001</v>
      </c>
    </row>
    <row r="2157" spans="1:17" x14ac:dyDescent="0.3">
      <c r="A2157" s="4" t="s">
        <v>47</v>
      </c>
      <c r="B2157" s="6" t="s">
        <v>1679</v>
      </c>
      <c r="C2157">
        <v>298.82582200000002</v>
      </c>
      <c r="D2157">
        <v>295.11672299999998</v>
      </c>
      <c r="E2157">
        <v>1</v>
      </c>
      <c r="F2157">
        <v>1</v>
      </c>
      <c r="G2157">
        <v>0.26100000000000001</v>
      </c>
      <c r="H2157">
        <v>0</v>
      </c>
      <c r="I2157" t="s">
        <v>0</v>
      </c>
      <c r="J2157" t="s">
        <v>59</v>
      </c>
      <c r="K2157">
        <v>0</v>
      </c>
      <c r="L2157" t="s">
        <v>60</v>
      </c>
      <c r="M2157">
        <v>1</v>
      </c>
      <c r="N2157" t="s">
        <v>67</v>
      </c>
      <c r="O2157" s="2">
        <v>0.57916666666666672</v>
      </c>
      <c r="P2157">
        <f>0.0039381471*3600</f>
        <v>14.17732956</v>
      </c>
      <c r="Q2157">
        <f>0.0031331806*3600</f>
        <v>11.27945016</v>
      </c>
    </row>
    <row r="2158" spans="1:17" x14ac:dyDescent="0.3">
      <c r="A2158" s="4" t="s">
        <v>47</v>
      </c>
      <c r="B2158" s="6" t="s">
        <v>1680</v>
      </c>
      <c r="C2158">
        <v>298.82591200000002</v>
      </c>
      <c r="D2158">
        <v>295.11661600000002</v>
      </c>
      <c r="E2158">
        <v>1</v>
      </c>
      <c r="F2158">
        <v>1</v>
      </c>
      <c r="G2158">
        <v>0.26100000000000001</v>
      </c>
      <c r="H2158">
        <v>0</v>
      </c>
      <c r="I2158" t="s">
        <v>0</v>
      </c>
      <c r="J2158" t="s">
        <v>59</v>
      </c>
      <c r="K2158">
        <v>0</v>
      </c>
      <c r="L2158" t="s">
        <v>60</v>
      </c>
      <c r="M2158">
        <v>1</v>
      </c>
      <c r="N2158" t="s">
        <v>67</v>
      </c>
      <c r="O2158" s="2">
        <v>0.57916666666666672</v>
      </c>
      <c r="P2158">
        <f>0.0040821548*3600</f>
        <v>14.695757279999999</v>
      </c>
      <c r="Q2158">
        <f>0.0030512003*3600</f>
        <v>10.984321080000001</v>
      </c>
    </row>
    <row r="2159" spans="1:17" x14ac:dyDescent="0.3">
      <c r="A2159" s="4" t="s">
        <v>47</v>
      </c>
      <c r="B2159" s="6" t="s">
        <v>1681</v>
      </c>
      <c r="C2159">
        <v>298.82565899999997</v>
      </c>
      <c r="D2159">
        <v>295.11675500000001</v>
      </c>
      <c r="E2159">
        <v>1</v>
      </c>
      <c r="F2159">
        <v>1</v>
      </c>
      <c r="G2159">
        <v>0.26100000000000001</v>
      </c>
      <c r="H2159">
        <v>0</v>
      </c>
      <c r="I2159" t="s">
        <v>0</v>
      </c>
      <c r="J2159" t="s">
        <v>59</v>
      </c>
      <c r="K2159">
        <v>0</v>
      </c>
      <c r="L2159" t="s">
        <v>60</v>
      </c>
      <c r="M2159">
        <v>1</v>
      </c>
      <c r="N2159" t="s">
        <v>67</v>
      </c>
      <c r="O2159" s="2">
        <v>0.57916666666666672</v>
      </c>
      <c r="P2159">
        <f>0.0040796855*3600</f>
        <v>14.6868678</v>
      </c>
      <c r="Q2159">
        <f>0.003174784*3600</f>
        <v>11.4292224</v>
      </c>
    </row>
    <row r="2160" spans="1:17" x14ac:dyDescent="0.3">
      <c r="A2160" s="4" t="s">
        <v>47</v>
      </c>
      <c r="B2160" s="6" t="s">
        <v>1682</v>
      </c>
      <c r="C2160">
        <v>298.82577600000002</v>
      </c>
      <c r="D2160">
        <v>295.11669999999998</v>
      </c>
      <c r="E2160">
        <v>1</v>
      </c>
      <c r="F2160">
        <v>1</v>
      </c>
      <c r="G2160">
        <v>0.26100000000000001</v>
      </c>
      <c r="H2160">
        <v>0</v>
      </c>
      <c r="I2160" t="s">
        <v>0</v>
      </c>
      <c r="J2160" t="s">
        <v>59</v>
      </c>
      <c r="K2160">
        <v>0</v>
      </c>
      <c r="L2160" t="s">
        <v>60</v>
      </c>
      <c r="M2160">
        <v>1</v>
      </c>
      <c r="N2160" t="s">
        <v>67</v>
      </c>
      <c r="O2160" s="2">
        <v>0.57916666666666672</v>
      </c>
      <c r="P2160">
        <f>0.0040418603*3600</f>
        <v>14.550697080000001</v>
      </c>
      <c r="Q2160">
        <f>0.0031376444*3600</f>
        <v>11.295519839999999</v>
      </c>
    </row>
    <row r="2161" spans="1:17" x14ac:dyDescent="0.3">
      <c r="A2161" s="4" t="s">
        <v>47</v>
      </c>
      <c r="B2161" s="6" t="s">
        <v>1683</v>
      </c>
      <c r="C2161">
        <v>298.82679300000001</v>
      </c>
      <c r="D2161">
        <v>295.11676599999998</v>
      </c>
      <c r="E2161">
        <v>1</v>
      </c>
      <c r="F2161">
        <v>1</v>
      </c>
      <c r="G2161">
        <v>0.26100000000000001</v>
      </c>
      <c r="H2161">
        <v>0</v>
      </c>
      <c r="I2161" t="s">
        <v>0</v>
      </c>
      <c r="J2161" t="s">
        <v>59</v>
      </c>
      <c r="K2161">
        <v>0</v>
      </c>
      <c r="L2161" t="s">
        <v>60</v>
      </c>
      <c r="M2161">
        <v>1</v>
      </c>
      <c r="N2161" t="s">
        <v>67</v>
      </c>
      <c r="O2161" s="2">
        <v>0.57916666666666672</v>
      </c>
      <c r="P2161">
        <f>0.0045729519*3600</f>
        <v>16.462626840000002</v>
      </c>
      <c r="Q2161">
        <f>0.003222616*3600</f>
        <v>11.601417600000001</v>
      </c>
    </row>
    <row r="2162" spans="1:17" x14ac:dyDescent="0.3">
      <c r="A2162" s="4" t="s">
        <v>47</v>
      </c>
      <c r="B2162" s="6" t="s">
        <v>1684</v>
      </c>
      <c r="C2162">
        <v>298.82666499999999</v>
      </c>
      <c r="D2162">
        <v>295.11679400000003</v>
      </c>
      <c r="E2162">
        <v>1</v>
      </c>
      <c r="F2162">
        <v>1</v>
      </c>
      <c r="G2162">
        <v>0.26100000000000001</v>
      </c>
      <c r="H2162">
        <v>0</v>
      </c>
      <c r="I2162" t="s">
        <v>0</v>
      </c>
      <c r="J2162" t="s">
        <v>59</v>
      </c>
      <c r="K2162">
        <v>0</v>
      </c>
      <c r="L2162" t="s">
        <v>60</v>
      </c>
      <c r="M2162">
        <v>1</v>
      </c>
      <c r="N2162" t="s">
        <v>67</v>
      </c>
      <c r="O2162" s="2">
        <v>0.57916666666666672</v>
      </c>
      <c r="P2162">
        <f>0.0049052257*3600</f>
        <v>17.658812519999998</v>
      </c>
      <c r="Q2162">
        <f>0.0032559415*3600</f>
        <v>11.721389400000001</v>
      </c>
    </row>
    <row r="2163" spans="1:17" x14ac:dyDescent="0.3">
      <c r="A2163" s="4" t="s">
        <v>47</v>
      </c>
      <c r="B2163" s="6" t="s">
        <v>1685</v>
      </c>
      <c r="C2163">
        <v>298.82639799999998</v>
      </c>
      <c r="D2163">
        <v>295.116648</v>
      </c>
      <c r="E2163">
        <v>1</v>
      </c>
      <c r="F2163">
        <v>1</v>
      </c>
      <c r="G2163">
        <v>0.26100000000000001</v>
      </c>
      <c r="H2163">
        <v>0</v>
      </c>
      <c r="I2163" t="s">
        <v>0</v>
      </c>
      <c r="J2163" t="s">
        <v>59</v>
      </c>
      <c r="K2163">
        <v>0</v>
      </c>
      <c r="L2163" t="s">
        <v>60</v>
      </c>
      <c r="M2163">
        <v>1</v>
      </c>
      <c r="N2163" t="s">
        <v>67</v>
      </c>
      <c r="O2163" s="2">
        <v>0.57916666666666672</v>
      </c>
      <c r="P2163">
        <f>0.0037294002*3600</f>
        <v>13.42584072</v>
      </c>
      <c r="Q2163">
        <f>0.0031203924*3600</f>
        <v>11.233412640000001</v>
      </c>
    </row>
    <row r="2164" spans="1:17" x14ac:dyDescent="0.3">
      <c r="A2164" s="4" t="s">
        <v>47</v>
      </c>
      <c r="B2164" s="6" t="s">
        <v>1686</v>
      </c>
      <c r="C2164">
        <v>298.82660399999997</v>
      </c>
      <c r="D2164">
        <v>295.11666000000002</v>
      </c>
      <c r="E2164">
        <v>1</v>
      </c>
      <c r="F2164">
        <v>1</v>
      </c>
      <c r="G2164">
        <v>0.26100000000000001</v>
      </c>
      <c r="H2164">
        <v>0</v>
      </c>
      <c r="I2164" t="s">
        <v>0</v>
      </c>
      <c r="J2164" t="s">
        <v>59</v>
      </c>
      <c r="K2164">
        <v>0</v>
      </c>
      <c r="L2164" t="s">
        <v>60</v>
      </c>
      <c r="M2164">
        <v>1</v>
      </c>
      <c r="N2164" t="s">
        <v>67</v>
      </c>
      <c r="O2164" s="2">
        <v>0.57916666666666672</v>
      </c>
      <c r="P2164">
        <f>0.0039345682*3600</f>
        <v>14.164445520000001</v>
      </c>
      <c r="Q2164">
        <f>0.0031664033*3600</f>
        <v>11.39905188</v>
      </c>
    </row>
    <row r="2165" spans="1:17" x14ac:dyDescent="0.3">
      <c r="A2165" s="4" t="s">
        <v>47</v>
      </c>
      <c r="B2165" s="6" t="s">
        <v>1687</v>
      </c>
      <c r="C2165">
        <v>298.82648799999998</v>
      </c>
      <c r="D2165">
        <v>295.11663900000002</v>
      </c>
      <c r="E2165">
        <v>1</v>
      </c>
      <c r="F2165">
        <v>1</v>
      </c>
      <c r="G2165">
        <v>0.26100000000000001</v>
      </c>
      <c r="H2165">
        <v>0</v>
      </c>
      <c r="I2165" t="s">
        <v>0</v>
      </c>
      <c r="J2165" t="s">
        <v>59</v>
      </c>
      <c r="K2165">
        <v>0</v>
      </c>
      <c r="L2165" t="s">
        <v>60</v>
      </c>
      <c r="M2165">
        <v>1</v>
      </c>
      <c r="N2165" t="s">
        <v>67</v>
      </c>
      <c r="O2165" s="2">
        <v>0.57916666666666672</v>
      </c>
      <c r="P2165">
        <f>0.0039597473*3600</f>
        <v>14.255090280000001</v>
      </c>
      <c r="Q2165">
        <f>0.0031426571*3600</f>
        <v>11.313565560000001</v>
      </c>
    </row>
    <row r="2166" spans="1:17" x14ac:dyDescent="0.3">
      <c r="A2166" s="4" t="s">
        <v>47</v>
      </c>
      <c r="B2166" s="6" t="s">
        <v>1688</v>
      </c>
      <c r="C2166">
        <v>298.826572</v>
      </c>
      <c r="D2166">
        <v>295.116668</v>
      </c>
      <c r="E2166">
        <v>1</v>
      </c>
      <c r="F2166">
        <v>1</v>
      </c>
      <c r="G2166">
        <v>0.26100000000000001</v>
      </c>
      <c r="H2166">
        <v>0</v>
      </c>
      <c r="I2166" t="s">
        <v>0</v>
      </c>
      <c r="J2166" t="s">
        <v>59</v>
      </c>
      <c r="K2166">
        <v>0</v>
      </c>
      <c r="L2166" t="s">
        <v>60</v>
      </c>
      <c r="M2166">
        <v>1</v>
      </c>
      <c r="N2166" t="s">
        <v>67</v>
      </c>
      <c r="O2166" s="2">
        <v>0.57916666666666672</v>
      </c>
      <c r="P2166">
        <f>0.0039190932*3600</f>
        <v>14.108735520000002</v>
      </c>
      <c r="Q2166">
        <f>0.0031514705*3600</f>
        <v>11.3452938</v>
      </c>
    </row>
    <row r="2167" spans="1:17" x14ac:dyDescent="0.3">
      <c r="A2167" s="4" t="s">
        <v>47</v>
      </c>
      <c r="B2167" s="6" t="s">
        <v>1689</v>
      </c>
      <c r="C2167">
        <v>298.82699700000001</v>
      </c>
      <c r="D2167">
        <v>295.11666700000001</v>
      </c>
      <c r="E2167">
        <v>1</v>
      </c>
      <c r="F2167">
        <v>1</v>
      </c>
      <c r="G2167">
        <v>0.26100000000000001</v>
      </c>
      <c r="H2167">
        <v>0</v>
      </c>
      <c r="I2167" t="s">
        <v>0</v>
      </c>
      <c r="J2167" t="s">
        <v>59</v>
      </c>
      <c r="K2167">
        <v>0</v>
      </c>
      <c r="L2167" t="s">
        <v>60</v>
      </c>
      <c r="M2167">
        <v>1</v>
      </c>
      <c r="N2167" t="s">
        <v>67</v>
      </c>
      <c r="O2167" s="2">
        <v>0.57916666666666672</v>
      </c>
      <c r="P2167">
        <f>0.0040724917*3600</f>
        <v>14.66097012</v>
      </c>
      <c r="Q2167">
        <f>0.0031567042*3600</f>
        <v>11.36413512</v>
      </c>
    </row>
    <row r="2168" spans="1:17" x14ac:dyDescent="0.3">
      <c r="A2168" s="4" t="s">
        <v>47</v>
      </c>
      <c r="B2168" s="6" t="s">
        <v>1690</v>
      </c>
      <c r="C2168">
        <v>298.82648499999999</v>
      </c>
      <c r="D2168">
        <v>295.11668800000001</v>
      </c>
      <c r="E2168">
        <v>1</v>
      </c>
      <c r="F2168">
        <v>1</v>
      </c>
      <c r="G2168">
        <v>0.26100000000000001</v>
      </c>
      <c r="H2168">
        <v>0</v>
      </c>
      <c r="I2168" t="s">
        <v>0</v>
      </c>
      <c r="J2168" t="s">
        <v>59</v>
      </c>
      <c r="K2168">
        <v>0</v>
      </c>
      <c r="L2168" t="s">
        <v>60</v>
      </c>
      <c r="M2168">
        <v>1</v>
      </c>
      <c r="N2168" t="s">
        <v>67</v>
      </c>
      <c r="O2168" s="2">
        <v>0.57916666666666672</v>
      </c>
      <c r="P2168">
        <f>0.0040341236*3600</f>
        <v>14.52284496</v>
      </c>
      <c r="Q2168">
        <f>0.0031711311*3600</f>
        <v>11.41607196</v>
      </c>
    </row>
    <row r="2169" spans="1:17" x14ac:dyDescent="0.3">
      <c r="A2169" s="4" t="s">
        <v>47</v>
      </c>
      <c r="B2169" s="6" t="s">
        <v>1691</v>
      </c>
      <c r="C2169">
        <v>298.82652200000001</v>
      </c>
      <c r="D2169">
        <v>295.11663199999998</v>
      </c>
      <c r="E2169">
        <v>1</v>
      </c>
      <c r="F2169">
        <v>1</v>
      </c>
      <c r="G2169">
        <v>0.26100000000000001</v>
      </c>
      <c r="H2169">
        <v>0</v>
      </c>
      <c r="I2169" t="s">
        <v>0</v>
      </c>
      <c r="J2169" t="s">
        <v>59</v>
      </c>
      <c r="K2169">
        <v>0</v>
      </c>
      <c r="L2169" t="s">
        <v>60</v>
      </c>
      <c r="M2169">
        <v>1</v>
      </c>
      <c r="N2169" t="s">
        <v>67</v>
      </c>
      <c r="O2169" s="2">
        <v>0.57916666666666672</v>
      </c>
      <c r="P2169">
        <f>0.0040679959*3600</f>
        <v>14.644785240000001</v>
      </c>
      <c r="Q2169">
        <f>0.0031416294*3600</f>
        <v>11.309865840000001</v>
      </c>
    </row>
    <row r="2170" spans="1:17" x14ac:dyDescent="0.3">
      <c r="A2170" s="4" t="s">
        <v>47</v>
      </c>
      <c r="B2170" s="6" t="s">
        <v>1692</v>
      </c>
      <c r="C2170">
        <v>298.82648399999999</v>
      </c>
      <c r="D2170">
        <v>295.116623</v>
      </c>
      <c r="E2170">
        <v>1</v>
      </c>
      <c r="F2170">
        <v>1</v>
      </c>
      <c r="G2170">
        <v>0.26100000000000001</v>
      </c>
      <c r="H2170">
        <v>0</v>
      </c>
      <c r="I2170" t="s">
        <v>0</v>
      </c>
      <c r="J2170" t="s">
        <v>59</v>
      </c>
      <c r="K2170">
        <v>0</v>
      </c>
      <c r="L2170" t="s">
        <v>60</v>
      </c>
      <c r="M2170">
        <v>1</v>
      </c>
      <c r="N2170" t="s">
        <v>67</v>
      </c>
      <c r="O2170" s="2">
        <v>0.57916666666666672</v>
      </c>
      <c r="P2170">
        <f>0.0039804394*3600</f>
        <v>14.329581839999999</v>
      </c>
      <c r="Q2170">
        <f>0.0031414026*3600</f>
        <v>11.309049359999999</v>
      </c>
    </row>
    <row r="2171" spans="1:17" x14ac:dyDescent="0.3">
      <c r="A2171" s="4" t="s">
        <v>47</v>
      </c>
      <c r="B2171" s="6" t="s">
        <v>1693</v>
      </c>
      <c r="C2171">
        <v>298.82611600000001</v>
      </c>
      <c r="D2171">
        <v>295.11659800000001</v>
      </c>
      <c r="E2171">
        <v>1</v>
      </c>
      <c r="F2171">
        <v>1</v>
      </c>
      <c r="G2171">
        <v>0.26100000000000001</v>
      </c>
      <c r="H2171">
        <v>0</v>
      </c>
      <c r="I2171" t="s">
        <v>0</v>
      </c>
      <c r="J2171" t="s">
        <v>59</v>
      </c>
      <c r="K2171">
        <v>0</v>
      </c>
      <c r="L2171" t="s">
        <v>60</v>
      </c>
      <c r="M2171">
        <v>1</v>
      </c>
      <c r="N2171" t="s">
        <v>67</v>
      </c>
      <c r="O2171" s="2">
        <v>0.57916666666666672</v>
      </c>
      <c r="P2171">
        <f>0.0040369821*3600</f>
        <v>14.53313556</v>
      </c>
      <c r="Q2171">
        <f>0.0031253389*3600</f>
        <v>11.25122004</v>
      </c>
    </row>
    <row r="2172" spans="1:17" x14ac:dyDescent="0.3">
      <c r="A2172" s="4" t="s">
        <v>47</v>
      </c>
      <c r="B2172" s="6" t="s">
        <v>1694</v>
      </c>
      <c r="C2172">
        <v>298.82611600000001</v>
      </c>
      <c r="D2172">
        <v>295.11668800000001</v>
      </c>
      <c r="E2172">
        <v>1</v>
      </c>
      <c r="F2172">
        <v>1</v>
      </c>
      <c r="G2172">
        <v>0.26100000000000001</v>
      </c>
      <c r="H2172">
        <v>0</v>
      </c>
      <c r="I2172" t="s">
        <v>0</v>
      </c>
      <c r="J2172" t="s">
        <v>59</v>
      </c>
      <c r="K2172">
        <v>0</v>
      </c>
      <c r="L2172" t="s">
        <v>60</v>
      </c>
      <c r="M2172">
        <v>1</v>
      </c>
      <c r="N2172" t="s">
        <v>67</v>
      </c>
      <c r="O2172" s="2">
        <v>0.57916666666666672</v>
      </c>
      <c r="P2172">
        <f>0.0040225104*3600</f>
        <v>14.48103744</v>
      </c>
      <c r="Q2172">
        <f>0.003198534*3600</f>
        <v>11.5147224</v>
      </c>
    </row>
    <row r="2173" spans="1:17" x14ac:dyDescent="0.3">
      <c r="A2173" s="4" t="s">
        <v>47</v>
      </c>
      <c r="B2173" s="6" t="s">
        <v>1695</v>
      </c>
      <c r="C2173">
        <v>298.82646399999999</v>
      </c>
      <c r="D2173">
        <v>295.11665199999999</v>
      </c>
      <c r="E2173">
        <v>1</v>
      </c>
      <c r="F2173">
        <v>1</v>
      </c>
      <c r="G2173">
        <v>0.26100000000000001</v>
      </c>
      <c r="H2173">
        <v>0</v>
      </c>
      <c r="I2173" t="s">
        <v>0</v>
      </c>
      <c r="J2173" t="s">
        <v>59</v>
      </c>
      <c r="K2173">
        <v>0</v>
      </c>
      <c r="L2173" t="s">
        <v>60</v>
      </c>
      <c r="M2173">
        <v>1</v>
      </c>
      <c r="N2173" t="s">
        <v>67</v>
      </c>
      <c r="O2173" s="2">
        <v>0.57916666666666672</v>
      </c>
      <c r="P2173">
        <f>0.004064515*3600</f>
        <v>14.632254000000001</v>
      </c>
      <c r="Q2173">
        <f>0.0031535225*3600</f>
        <v>11.352681</v>
      </c>
    </row>
    <row r="2174" spans="1:17" x14ac:dyDescent="0.3">
      <c r="A2174" s="4" t="s">
        <v>47</v>
      </c>
      <c r="B2174" s="6" t="s">
        <v>1696</v>
      </c>
      <c r="C2174">
        <v>298.82631700000002</v>
      </c>
      <c r="D2174">
        <v>295.11674699999998</v>
      </c>
      <c r="E2174">
        <v>1</v>
      </c>
      <c r="F2174">
        <v>1</v>
      </c>
      <c r="G2174">
        <v>0.26100000000000001</v>
      </c>
      <c r="H2174">
        <v>0</v>
      </c>
      <c r="I2174" t="s">
        <v>0</v>
      </c>
      <c r="J2174" t="s">
        <v>59</v>
      </c>
      <c r="K2174">
        <v>0</v>
      </c>
      <c r="L2174" t="s">
        <v>60</v>
      </c>
      <c r="M2174">
        <v>1</v>
      </c>
      <c r="N2174" t="s">
        <v>67</v>
      </c>
      <c r="O2174" s="2">
        <v>0.57916666666666672</v>
      </c>
      <c r="P2174">
        <f>0.0041721545*3600</f>
        <v>15.0197562</v>
      </c>
      <c r="Q2174">
        <f>0.0032779933*3600</f>
        <v>11.80077588</v>
      </c>
    </row>
    <row r="2175" spans="1:17" x14ac:dyDescent="0.3">
      <c r="A2175" s="4" t="s">
        <v>47</v>
      </c>
      <c r="B2175" s="6" t="s">
        <v>1697</v>
      </c>
      <c r="C2175">
        <v>298.82629100000003</v>
      </c>
      <c r="D2175">
        <v>295.11661700000002</v>
      </c>
      <c r="E2175">
        <v>1</v>
      </c>
      <c r="F2175">
        <v>1</v>
      </c>
      <c r="G2175">
        <v>0.26100000000000001</v>
      </c>
      <c r="H2175">
        <v>0</v>
      </c>
      <c r="I2175" t="s">
        <v>0</v>
      </c>
      <c r="J2175" t="s">
        <v>59</v>
      </c>
      <c r="K2175">
        <v>0</v>
      </c>
      <c r="L2175" t="s">
        <v>60</v>
      </c>
      <c r="M2175">
        <v>1</v>
      </c>
      <c r="N2175" t="s">
        <v>67</v>
      </c>
      <c r="O2175" s="2">
        <v>0.57916666666666672</v>
      </c>
      <c r="P2175">
        <f>0.0040237887*3600</f>
        <v>14.485639320000001</v>
      </c>
      <c r="Q2175">
        <f>0.0031491151*3600</f>
        <v>11.33681436</v>
      </c>
    </row>
    <row r="2176" spans="1:17" x14ac:dyDescent="0.3">
      <c r="A2176" s="4" t="s">
        <v>47</v>
      </c>
      <c r="B2176" s="6" t="s">
        <v>1698</v>
      </c>
      <c r="C2176">
        <v>298.82624399999997</v>
      </c>
      <c r="D2176">
        <v>295.11660899999998</v>
      </c>
      <c r="E2176">
        <v>1</v>
      </c>
      <c r="F2176">
        <v>1</v>
      </c>
      <c r="G2176">
        <v>0.26100000000000001</v>
      </c>
      <c r="H2176">
        <v>0</v>
      </c>
      <c r="I2176" t="s">
        <v>0</v>
      </c>
      <c r="J2176" t="s">
        <v>59</v>
      </c>
      <c r="K2176">
        <v>0</v>
      </c>
      <c r="L2176" t="s">
        <v>60</v>
      </c>
      <c r="M2176">
        <v>1</v>
      </c>
      <c r="N2176" t="s">
        <v>67</v>
      </c>
      <c r="O2176" s="2">
        <v>0.57916666666666672</v>
      </c>
      <c r="P2176">
        <f>0.0039896159*3600</f>
        <v>14.362617240000001</v>
      </c>
      <c r="Q2176">
        <f>0.0031543753*3600</f>
        <v>11.355751080000001</v>
      </c>
    </row>
    <row r="2177" spans="1:17" x14ac:dyDescent="0.3">
      <c r="A2177" s="4" t="s">
        <v>47</v>
      </c>
      <c r="B2177" s="6" t="s">
        <v>1699</v>
      </c>
      <c r="C2177">
        <v>298.82610299999999</v>
      </c>
      <c r="D2177">
        <v>295.11666400000001</v>
      </c>
      <c r="E2177">
        <v>1</v>
      </c>
      <c r="F2177">
        <v>1</v>
      </c>
      <c r="G2177">
        <v>0.26100000000000001</v>
      </c>
      <c r="H2177">
        <v>0</v>
      </c>
      <c r="I2177" t="s">
        <v>0</v>
      </c>
      <c r="J2177" t="s">
        <v>59</v>
      </c>
      <c r="K2177">
        <v>0</v>
      </c>
      <c r="L2177" t="s">
        <v>60</v>
      </c>
      <c r="M2177">
        <v>1</v>
      </c>
      <c r="N2177" t="s">
        <v>67</v>
      </c>
      <c r="O2177" s="2">
        <v>0.57916666666666672</v>
      </c>
      <c r="P2177">
        <f>0.0040709768*3600</f>
        <v>14.655516479999999</v>
      </c>
      <c r="Q2177">
        <f>0.0032240568*3600</f>
        <v>11.606604480000001</v>
      </c>
    </row>
    <row r="2178" spans="1:17" x14ac:dyDescent="0.3">
      <c r="A2178" s="4" t="s">
        <v>47</v>
      </c>
      <c r="B2178" s="6" t="s">
        <v>1700</v>
      </c>
      <c r="C2178">
        <v>298.82624199999998</v>
      </c>
      <c r="D2178">
        <v>295.116737</v>
      </c>
      <c r="E2178">
        <v>1</v>
      </c>
      <c r="F2178">
        <v>1</v>
      </c>
      <c r="G2178">
        <v>0.26100000000000001</v>
      </c>
      <c r="H2178">
        <v>0</v>
      </c>
      <c r="I2178" t="s">
        <v>0</v>
      </c>
      <c r="J2178" t="s">
        <v>59</v>
      </c>
      <c r="K2178">
        <v>0</v>
      </c>
      <c r="L2178" t="s">
        <v>60</v>
      </c>
      <c r="M2178">
        <v>1</v>
      </c>
      <c r="N2178" t="s">
        <v>67</v>
      </c>
      <c r="O2178" s="2">
        <v>0.57916666666666672</v>
      </c>
      <c r="P2178">
        <f>0.004091477*3600</f>
        <v>14.729317199999999</v>
      </c>
      <c r="Q2178">
        <f>0.0032717271*3600</f>
        <v>11.77821756</v>
      </c>
    </row>
    <row r="2179" spans="1:17" x14ac:dyDescent="0.3">
      <c r="A2179" s="4" t="s">
        <v>47</v>
      </c>
      <c r="B2179" s="6" t="s">
        <v>1701</v>
      </c>
      <c r="C2179">
        <v>298.826279</v>
      </c>
      <c r="D2179">
        <v>295.11667599999998</v>
      </c>
      <c r="E2179">
        <v>1</v>
      </c>
      <c r="F2179">
        <v>1</v>
      </c>
      <c r="G2179">
        <v>0.26100000000000001</v>
      </c>
      <c r="H2179">
        <v>0</v>
      </c>
      <c r="I2179" t="s">
        <v>0</v>
      </c>
      <c r="J2179" t="s">
        <v>59</v>
      </c>
      <c r="K2179">
        <v>0</v>
      </c>
      <c r="L2179" t="s">
        <v>60</v>
      </c>
      <c r="M2179">
        <v>1</v>
      </c>
      <c r="N2179" t="s">
        <v>67</v>
      </c>
      <c r="O2179" s="2">
        <v>0.57916666666666672</v>
      </c>
      <c r="P2179">
        <f>0.0040395362*3600</f>
        <v>14.54233032</v>
      </c>
      <c r="Q2179">
        <f>0.0032426256*3600</f>
        <v>11.67345216</v>
      </c>
    </row>
    <row r="2180" spans="1:17" x14ac:dyDescent="0.3">
      <c r="A2180" s="4" t="s">
        <v>47</v>
      </c>
      <c r="B2180" s="6" t="s">
        <v>1702</v>
      </c>
      <c r="C2180">
        <v>298.82591200000002</v>
      </c>
      <c r="D2180">
        <v>295.116649</v>
      </c>
      <c r="E2180">
        <v>1</v>
      </c>
      <c r="F2180">
        <v>1</v>
      </c>
      <c r="G2180">
        <v>0.26100000000000001</v>
      </c>
      <c r="H2180">
        <v>0</v>
      </c>
      <c r="I2180" t="s">
        <v>0</v>
      </c>
      <c r="J2180" t="s">
        <v>59</v>
      </c>
      <c r="K2180">
        <v>0</v>
      </c>
      <c r="L2180" t="s">
        <v>60</v>
      </c>
      <c r="M2180">
        <v>1</v>
      </c>
      <c r="N2180" t="s">
        <v>67</v>
      </c>
      <c r="O2180" s="2">
        <v>0.57916666666666672</v>
      </c>
      <c r="P2180">
        <f>0.0040548131*3600</f>
        <v>14.597327159999999</v>
      </c>
      <c r="Q2180">
        <f>0.0032312815*3600</f>
        <v>11.6326134</v>
      </c>
    </row>
    <row r="2181" spans="1:17" x14ac:dyDescent="0.3">
      <c r="A2181" s="4" t="s">
        <v>47</v>
      </c>
      <c r="B2181" s="6" t="s">
        <v>1703</v>
      </c>
      <c r="C2181">
        <v>298.82603999999998</v>
      </c>
      <c r="D2181">
        <v>295.11667899999998</v>
      </c>
      <c r="E2181">
        <v>1</v>
      </c>
      <c r="F2181">
        <v>1</v>
      </c>
      <c r="G2181">
        <v>0.26100000000000001</v>
      </c>
      <c r="H2181">
        <v>0</v>
      </c>
      <c r="I2181" t="s">
        <v>0</v>
      </c>
      <c r="J2181" t="s">
        <v>59</v>
      </c>
      <c r="K2181">
        <v>0</v>
      </c>
      <c r="L2181" t="s">
        <v>60</v>
      </c>
      <c r="M2181">
        <v>1</v>
      </c>
      <c r="N2181" t="s">
        <v>67</v>
      </c>
      <c r="O2181" s="2">
        <v>0.57916666666666672</v>
      </c>
      <c r="P2181">
        <f>0.004060495*3600</f>
        <v>14.617782</v>
      </c>
      <c r="Q2181">
        <f>0.0032355191*3600</f>
        <v>11.64786876</v>
      </c>
    </row>
    <row r="2182" spans="1:17" x14ac:dyDescent="0.3">
      <c r="A2182" s="4" t="s">
        <v>47</v>
      </c>
      <c r="B2182" s="6" t="s">
        <v>1704</v>
      </c>
      <c r="C2182">
        <v>298.82619</v>
      </c>
      <c r="D2182">
        <v>295.11661600000002</v>
      </c>
      <c r="E2182">
        <v>1</v>
      </c>
      <c r="F2182">
        <v>1</v>
      </c>
      <c r="G2182">
        <v>0.26100000000000001</v>
      </c>
      <c r="H2182">
        <v>0</v>
      </c>
      <c r="I2182" t="s">
        <v>0</v>
      </c>
      <c r="J2182" t="s">
        <v>59</v>
      </c>
      <c r="K2182">
        <v>0</v>
      </c>
      <c r="L2182" t="s">
        <v>60</v>
      </c>
      <c r="M2182">
        <v>1</v>
      </c>
      <c r="N2182" t="s">
        <v>67</v>
      </c>
      <c r="O2182" s="2">
        <v>0.57916666666666672</v>
      </c>
      <c r="P2182">
        <f>0.004016913*3600</f>
        <v>14.460886800000001</v>
      </c>
      <c r="Q2182">
        <f>0.0031982252*3600</f>
        <v>11.513610719999999</v>
      </c>
    </row>
    <row r="2183" spans="1:17" x14ac:dyDescent="0.3">
      <c r="A2183" s="4" t="s">
        <v>47</v>
      </c>
      <c r="B2183" s="6" t="s">
        <v>1705</v>
      </c>
      <c r="C2183">
        <v>298.82604400000002</v>
      </c>
      <c r="D2183">
        <v>295.11651799999999</v>
      </c>
      <c r="E2183">
        <v>1</v>
      </c>
      <c r="F2183">
        <v>1</v>
      </c>
      <c r="G2183">
        <v>0.26100000000000001</v>
      </c>
      <c r="H2183">
        <v>0</v>
      </c>
      <c r="I2183" t="s">
        <v>0</v>
      </c>
      <c r="J2183" t="s">
        <v>59</v>
      </c>
      <c r="K2183">
        <v>0</v>
      </c>
      <c r="L2183" t="s">
        <v>60</v>
      </c>
      <c r="M2183">
        <v>1</v>
      </c>
      <c r="N2183" t="s">
        <v>67</v>
      </c>
      <c r="O2183" s="2">
        <v>0.57916666666666672</v>
      </c>
      <c r="P2183">
        <f>0.0040223008*3600</f>
        <v>14.480282879999999</v>
      </c>
      <c r="Q2183">
        <f>0.0031129958*3600</f>
        <v>11.206784880000001</v>
      </c>
    </row>
    <row r="2184" spans="1:17" x14ac:dyDescent="0.3">
      <c r="A2184" s="4" t="s">
        <v>47</v>
      </c>
      <c r="B2184" s="6" t="s">
        <v>1706</v>
      </c>
      <c r="C2184">
        <v>298.82583099999999</v>
      </c>
      <c r="D2184">
        <v>295.11654299999998</v>
      </c>
      <c r="E2184">
        <v>1</v>
      </c>
      <c r="F2184">
        <v>1</v>
      </c>
      <c r="G2184">
        <v>0.26100000000000001</v>
      </c>
      <c r="H2184">
        <v>0</v>
      </c>
      <c r="I2184" t="s">
        <v>0</v>
      </c>
      <c r="J2184" t="s">
        <v>59</v>
      </c>
      <c r="K2184">
        <v>0</v>
      </c>
      <c r="L2184" t="s">
        <v>60</v>
      </c>
      <c r="M2184">
        <v>1</v>
      </c>
      <c r="N2184" t="s">
        <v>67</v>
      </c>
      <c r="O2184" s="2">
        <v>0.57916666666666672</v>
      </c>
      <c r="P2184">
        <f>0.0040526736*3600</f>
        <v>14.58962496</v>
      </c>
      <c r="Q2184">
        <f>0.0031206504*3600</f>
        <v>11.23434144</v>
      </c>
    </row>
    <row r="2185" spans="1:17" x14ac:dyDescent="0.3">
      <c r="A2185" s="4" t="s">
        <v>47</v>
      </c>
      <c r="B2185" s="6" t="s">
        <v>1707</v>
      </c>
      <c r="C2185">
        <v>298.826122</v>
      </c>
      <c r="D2185">
        <v>295.11657100000002</v>
      </c>
      <c r="E2185">
        <v>1</v>
      </c>
      <c r="F2185">
        <v>1</v>
      </c>
      <c r="G2185">
        <v>0.26100000000000001</v>
      </c>
      <c r="H2185">
        <v>0</v>
      </c>
      <c r="I2185" t="s">
        <v>0</v>
      </c>
      <c r="J2185" t="s">
        <v>59</v>
      </c>
      <c r="K2185">
        <v>0</v>
      </c>
      <c r="L2185" t="s">
        <v>60</v>
      </c>
      <c r="M2185">
        <v>1</v>
      </c>
      <c r="N2185" t="s">
        <v>67</v>
      </c>
      <c r="O2185" s="2">
        <v>0.57916666666666672</v>
      </c>
      <c r="P2185">
        <f>0.0039788221*3600</f>
        <v>14.323759560000001</v>
      </c>
      <c r="Q2185">
        <f>0.0031549506*3600</f>
        <v>11.35782216</v>
      </c>
    </row>
    <row r="2186" spans="1:17" x14ac:dyDescent="0.3">
      <c r="A2186" s="4" t="s">
        <v>47</v>
      </c>
      <c r="B2186" s="6" t="s">
        <v>1708</v>
      </c>
      <c r="C2186">
        <v>298.82658300000003</v>
      </c>
      <c r="D2186">
        <v>295.11649499999999</v>
      </c>
      <c r="E2186">
        <v>1</v>
      </c>
      <c r="F2186">
        <v>1</v>
      </c>
      <c r="G2186">
        <v>0.26100000000000001</v>
      </c>
      <c r="H2186">
        <v>0</v>
      </c>
      <c r="I2186" t="s">
        <v>0</v>
      </c>
      <c r="J2186" t="s">
        <v>59</v>
      </c>
      <c r="K2186">
        <v>0</v>
      </c>
      <c r="L2186" t="s">
        <v>60</v>
      </c>
      <c r="M2186">
        <v>1</v>
      </c>
      <c r="N2186" t="s">
        <v>67</v>
      </c>
      <c r="O2186" s="2">
        <v>0.57916666666666672</v>
      </c>
      <c r="P2186">
        <f>0.0039687517*3600</f>
        <v>14.287506120000002</v>
      </c>
      <c r="Q2186">
        <f>0.0030718878*3600</f>
        <v>11.05879608</v>
      </c>
    </row>
    <row r="2187" spans="1:17" x14ac:dyDescent="0.3">
      <c r="A2187" s="4" t="s">
        <v>47</v>
      </c>
      <c r="B2187" s="6" t="s">
        <v>1709</v>
      </c>
      <c r="C2187">
        <v>298.82620600000001</v>
      </c>
      <c r="D2187">
        <v>295.11647099999999</v>
      </c>
      <c r="E2187">
        <v>1</v>
      </c>
      <c r="F2187">
        <v>1</v>
      </c>
      <c r="G2187">
        <v>0.26100000000000001</v>
      </c>
      <c r="H2187">
        <v>0</v>
      </c>
      <c r="I2187" t="s">
        <v>0</v>
      </c>
      <c r="J2187" t="s">
        <v>59</v>
      </c>
      <c r="K2187">
        <v>0</v>
      </c>
      <c r="L2187" t="s">
        <v>60</v>
      </c>
      <c r="M2187">
        <v>1</v>
      </c>
      <c r="N2187" t="s">
        <v>67</v>
      </c>
      <c r="O2187" s="2">
        <v>0.57916666666666672</v>
      </c>
      <c r="P2187">
        <f>0.0039706881*3600</f>
        <v>14.294477159999998</v>
      </c>
      <c r="Q2187">
        <f>0.0030949302*3600</f>
        <v>11.141748720000001</v>
      </c>
    </row>
    <row r="2188" spans="1:17" x14ac:dyDescent="0.3">
      <c r="A2188" s="4" t="s">
        <v>47</v>
      </c>
      <c r="B2188" s="6" t="s">
        <v>1710</v>
      </c>
      <c r="C2188">
        <v>298.82668999999999</v>
      </c>
      <c r="D2188">
        <v>295.116422</v>
      </c>
      <c r="E2188">
        <v>1</v>
      </c>
      <c r="F2188">
        <v>1</v>
      </c>
      <c r="G2188">
        <v>0.26100000000000001</v>
      </c>
      <c r="H2188">
        <v>0</v>
      </c>
      <c r="I2188" t="s">
        <v>0</v>
      </c>
      <c r="J2188" t="s">
        <v>59</v>
      </c>
      <c r="K2188">
        <v>0</v>
      </c>
      <c r="L2188" t="s">
        <v>60</v>
      </c>
      <c r="M2188">
        <v>1</v>
      </c>
      <c r="N2188" t="s">
        <v>67</v>
      </c>
      <c r="O2188" s="2">
        <v>0.57916666666666672</v>
      </c>
      <c r="P2188">
        <f>0.0040920518*3600</f>
        <v>14.731386479999999</v>
      </c>
      <c r="Q2188">
        <f>0.0030560165*3600</f>
        <v>11.001659400000001</v>
      </c>
    </row>
    <row r="2189" spans="1:17" x14ac:dyDescent="0.3">
      <c r="A2189" s="4" t="s">
        <v>47</v>
      </c>
      <c r="B2189" s="6" t="s">
        <v>1711</v>
      </c>
      <c r="C2189">
        <v>298.82633800000002</v>
      </c>
      <c r="D2189">
        <v>295.11623800000001</v>
      </c>
      <c r="E2189">
        <v>1</v>
      </c>
      <c r="F2189">
        <v>1</v>
      </c>
      <c r="G2189">
        <v>0.26100000000000001</v>
      </c>
      <c r="H2189">
        <v>0</v>
      </c>
      <c r="I2189" t="s">
        <v>0</v>
      </c>
      <c r="J2189" t="s">
        <v>59</v>
      </c>
      <c r="K2189">
        <v>0</v>
      </c>
      <c r="L2189" t="s">
        <v>60</v>
      </c>
      <c r="M2189">
        <v>1</v>
      </c>
      <c r="N2189" t="s">
        <v>67</v>
      </c>
      <c r="O2189" s="2">
        <v>0.57986111111111105</v>
      </c>
      <c r="P2189">
        <f>0.0038974195*3600</f>
        <v>14.0307102</v>
      </c>
      <c r="Q2189">
        <f>0.0029042968*3600</f>
        <v>10.45546848</v>
      </c>
    </row>
    <row r="2190" spans="1:17" x14ac:dyDescent="0.3">
      <c r="A2190" s="4" t="s">
        <v>47</v>
      </c>
      <c r="B2190" s="6" t="s">
        <v>1712</v>
      </c>
      <c r="C2190">
        <v>298.82613800000001</v>
      </c>
      <c r="D2190">
        <v>295.11624499999999</v>
      </c>
      <c r="E2190">
        <v>1</v>
      </c>
      <c r="F2190">
        <v>1</v>
      </c>
      <c r="G2190">
        <v>0.26100000000000001</v>
      </c>
      <c r="H2190">
        <v>0</v>
      </c>
      <c r="I2190" t="s">
        <v>0</v>
      </c>
      <c r="J2190" t="s">
        <v>59</v>
      </c>
      <c r="K2190">
        <v>0</v>
      </c>
      <c r="L2190" t="s">
        <v>60</v>
      </c>
      <c r="M2190">
        <v>1</v>
      </c>
      <c r="N2190" t="s">
        <v>67</v>
      </c>
      <c r="O2190" s="2">
        <v>0.57986111111111105</v>
      </c>
      <c r="P2190">
        <f>0.0039407553*3600</f>
        <v>14.186719080000001</v>
      </c>
      <c r="Q2190">
        <f>0.0029123623*3600</f>
        <v>10.484504279999999</v>
      </c>
    </row>
    <row r="2191" spans="1:17" x14ac:dyDescent="0.3">
      <c r="A2191" s="4" t="s">
        <v>47</v>
      </c>
      <c r="B2191" s="6" t="s">
        <v>1713</v>
      </c>
      <c r="C2191">
        <v>298.82649400000003</v>
      </c>
      <c r="D2191">
        <v>295.11630100000002</v>
      </c>
      <c r="E2191">
        <v>1</v>
      </c>
      <c r="F2191">
        <v>1</v>
      </c>
      <c r="G2191">
        <v>0.26100000000000001</v>
      </c>
      <c r="H2191">
        <v>0</v>
      </c>
      <c r="I2191" t="s">
        <v>0</v>
      </c>
      <c r="J2191" t="s">
        <v>59</v>
      </c>
      <c r="K2191">
        <v>0</v>
      </c>
      <c r="L2191" t="s">
        <v>60</v>
      </c>
      <c r="M2191">
        <v>1</v>
      </c>
      <c r="N2191" t="s">
        <v>67</v>
      </c>
      <c r="O2191" s="2">
        <v>0.57986111111111105</v>
      </c>
      <c r="P2191">
        <f>0.003974211*3600</f>
        <v>14.3071596</v>
      </c>
      <c r="Q2191">
        <f>0.0029630143*3600</f>
        <v>10.66685148</v>
      </c>
    </row>
    <row r="2192" spans="1:17" x14ac:dyDescent="0.3">
      <c r="A2192" s="4" t="s">
        <v>47</v>
      </c>
      <c r="B2192" s="6" t="s">
        <v>1714</v>
      </c>
      <c r="C2192">
        <v>298.82640099999998</v>
      </c>
      <c r="D2192">
        <v>295.11651000000001</v>
      </c>
      <c r="E2192">
        <v>1</v>
      </c>
      <c r="F2192">
        <v>1</v>
      </c>
      <c r="G2192">
        <v>0.26100000000000001</v>
      </c>
      <c r="H2192">
        <v>0</v>
      </c>
      <c r="I2192" t="s">
        <v>0</v>
      </c>
      <c r="J2192" t="s">
        <v>59</v>
      </c>
      <c r="K2192">
        <v>0</v>
      </c>
      <c r="L2192" t="s">
        <v>60</v>
      </c>
      <c r="M2192">
        <v>1</v>
      </c>
      <c r="N2192" t="s">
        <v>67</v>
      </c>
      <c r="O2192" s="2">
        <v>0.57986111111111105</v>
      </c>
      <c r="P2192">
        <f>0.0039873937*3600</f>
        <v>14.354617320000001</v>
      </c>
      <c r="Q2192">
        <f>0.0031912317*3600</f>
        <v>11.488434119999999</v>
      </c>
    </row>
    <row r="2193" spans="1:18" x14ac:dyDescent="0.3">
      <c r="A2193" s="4" t="s">
        <v>47</v>
      </c>
      <c r="B2193" s="6" t="s">
        <v>1715</v>
      </c>
      <c r="C2193">
        <v>298.82619</v>
      </c>
      <c r="D2193">
        <v>295.11640199999999</v>
      </c>
      <c r="E2193">
        <v>1</v>
      </c>
      <c r="F2193">
        <v>1</v>
      </c>
      <c r="G2193">
        <v>0.26100000000000001</v>
      </c>
      <c r="H2193">
        <v>0</v>
      </c>
      <c r="I2193" t="s">
        <v>0</v>
      </c>
      <c r="J2193" t="s">
        <v>59</v>
      </c>
      <c r="K2193">
        <v>0</v>
      </c>
      <c r="L2193" t="s">
        <v>60</v>
      </c>
      <c r="M2193">
        <v>1</v>
      </c>
      <c r="N2193" t="s">
        <v>67</v>
      </c>
      <c r="O2193" s="2">
        <v>0.57986111111111105</v>
      </c>
      <c r="P2193">
        <f>0.0040089933*3600</f>
        <v>14.43237588</v>
      </c>
      <c r="Q2193">
        <f>0.0030819075*3600</f>
        <v>11.094866999999999</v>
      </c>
    </row>
    <row r="2194" spans="1:18" x14ac:dyDescent="0.3">
      <c r="A2194" s="4" t="s">
        <v>47</v>
      </c>
      <c r="B2194" s="6" t="s">
        <v>1716</v>
      </c>
      <c r="C2194">
        <v>298.82624499999997</v>
      </c>
      <c r="D2194">
        <v>295.11639000000002</v>
      </c>
      <c r="E2194">
        <v>1</v>
      </c>
      <c r="F2194">
        <v>1</v>
      </c>
      <c r="G2194">
        <v>0.26100000000000001</v>
      </c>
      <c r="H2194">
        <v>0</v>
      </c>
      <c r="I2194" t="s">
        <v>0</v>
      </c>
      <c r="J2194" t="s">
        <v>59</v>
      </c>
      <c r="K2194">
        <v>0</v>
      </c>
      <c r="L2194" t="s">
        <v>60</v>
      </c>
      <c r="M2194">
        <v>1</v>
      </c>
      <c r="N2194" t="s">
        <v>67</v>
      </c>
      <c r="O2194" s="2">
        <v>0.57986111111111105</v>
      </c>
      <c r="P2194">
        <f>0.0039380108*3600</f>
        <v>14.17683888</v>
      </c>
      <c r="Q2194">
        <f>0.0030728761*3600</f>
        <v>11.062353959999999</v>
      </c>
    </row>
    <row r="2195" spans="1:18" x14ac:dyDescent="0.3">
      <c r="A2195" s="4" t="s">
        <v>47</v>
      </c>
      <c r="B2195" s="6" t="s">
        <v>1717</v>
      </c>
      <c r="C2195">
        <v>298.82596899999999</v>
      </c>
      <c r="D2195">
        <v>295.11659500000002</v>
      </c>
      <c r="E2195">
        <v>1</v>
      </c>
      <c r="F2195">
        <v>1</v>
      </c>
      <c r="G2195">
        <v>0.26100000000000001</v>
      </c>
      <c r="H2195">
        <v>0</v>
      </c>
      <c r="I2195" t="s">
        <v>0</v>
      </c>
      <c r="J2195" t="s">
        <v>59</v>
      </c>
      <c r="K2195">
        <v>0</v>
      </c>
      <c r="L2195" t="s">
        <v>60</v>
      </c>
      <c r="M2195">
        <v>1</v>
      </c>
      <c r="N2195" t="s">
        <v>67</v>
      </c>
      <c r="O2195" s="2">
        <v>0.57986111111111105</v>
      </c>
      <c r="P2195">
        <f>0.0040326394*3600</f>
        <v>14.517501840000001</v>
      </c>
      <c r="Q2195">
        <f>0.0033026003*3600</f>
        <v>11.889361079999999</v>
      </c>
    </row>
    <row r="2196" spans="1:18" x14ac:dyDescent="0.3">
      <c r="A2196" s="4" t="s">
        <v>47</v>
      </c>
      <c r="B2196" s="6" t="s">
        <v>1718</v>
      </c>
      <c r="C2196">
        <v>298.82626099999999</v>
      </c>
      <c r="D2196">
        <v>295.11652299999997</v>
      </c>
      <c r="E2196">
        <v>1</v>
      </c>
      <c r="F2196">
        <v>1</v>
      </c>
      <c r="G2196">
        <v>0.26100000000000001</v>
      </c>
      <c r="H2196">
        <v>0</v>
      </c>
      <c r="I2196" t="s">
        <v>0</v>
      </c>
      <c r="J2196" t="s">
        <v>59</v>
      </c>
      <c r="K2196">
        <v>0</v>
      </c>
      <c r="L2196" t="s">
        <v>60</v>
      </c>
      <c r="M2196">
        <v>1</v>
      </c>
      <c r="N2196" t="s">
        <v>67</v>
      </c>
      <c r="O2196" s="2">
        <v>0.57986111111111105</v>
      </c>
      <c r="P2196">
        <f>0.0039517909*3600</f>
        <v>14.226447240000001</v>
      </c>
      <c r="Q2196">
        <f>0.0031889965*3600</f>
        <v>11.4803874</v>
      </c>
    </row>
    <row r="2197" spans="1:18" x14ac:dyDescent="0.3">
      <c r="A2197" s="4" t="s">
        <v>47</v>
      </c>
      <c r="B2197" s="6" t="s">
        <v>1719</v>
      </c>
      <c r="C2197">
        <v>298.82595900000001</v>
      </c>
      <c r="D2197">
        <v>295.11625199999997</v>
      </c>
      <c r="E2197">
        <v>1</v>
      </c>
      <c r="F2197">
        <v>1</v>
      </c>
      <c r="G2197">
        <v>0.26100000000000001</v>
      </c>
      <c r="H2197">
        <v>0</v>
      </c>
      <c r="I2197" t="s">
        <v>0</v>
      </c>
      <c r="J2197" t="s">
        <v>59</v>
      </c>
      <c r="K2197">
        <v>0</v>
      </c>
      <c r="L2197" t="s">
        <v>60</v>
      </c>
      <c r="M2197">
        <v>1</v>
      </c>
      <c r="N2197" t="s">
        <v>67</v>
      </c>
      <c r="O2197" s="2">
        <v>0.57986111111111105</v>
      </c>
      <c r="P2197">
        <f>0.0039323428*3600</f>
        <v>14.156434080000002</v>
      </c>
      <c r="Q2197">
        <f>0.0029583529*3600</f>
        <v>10.65007044</v>
      </c>
    </row>
    <row r="2198" spans="1:18" x14ac:dyDescent="0.3">
      <c r="A2198" s="4" t="s">
        <v>47</v>
      </c>
      <c r="B2198" s="6" t="s">
        <v>1720</v>
      </c>
      <c r="C2198">
        <v>298.82627500000001</v>
      </c>
      <c r="D2198">
        <v>295.11650500000002</v>
      </c>
      <c r="E2198">
        <v>1</v>
      </c>
      <c r="F2198">
        <v>1</v>
      </c>
      <c r="G2198">
        <v>0.26100000000000001</v>
      </c>
      <c r="H2198">
        <v>0</v>
      </c>
      <c r="I2198" t="s">
        <v>0</v>
      </c>
      <c r="J2198" t="s">
        <v>59</v>
      </c>
      <c r="K2198">
        <v>0</v>
      </c>
      <c r="L2198" t="s">
        <v>60</v>
      </c>
      <c r="M2198">
        <v>1</v>
      </c>
      <c r="N2198" t="s">
        <v>67</v>
      </c>
      <c r="O2198" s="2">
        <v>0.57986111111111105</v>
      </c>
      <c r="P2198">
        <f>0.0041298725*3600</f>
        <v>14.867541000000001</v>
      </c>
      <c r="Q2198">
        <f>0.0031898634*3600</f>
        <v>11.483508239999999</v>
      </c>
    </row>
    <row r="2199" spans="1:18" x14ac:dyDescent="0.3">
      <c r="A2199" s="4" t="s">
        <v>47</v>
      </c>
      <c r="B2199" s="6" t="s">
        <v>1721</v>
      </c>
      <c r="C2199">
        <v>298.82674400000002</v>
      </c>
      <c r="D2199">
        <v>295.11637400000001</v>
      </c>
      <c r="E2199">
        <v>1</v>
      </c>
      <c r="F2199">
        <v>1</v>
      </c>
      <c r="G2199">
        <v>0.26100000000000001</v>
      </c>
      <c r="H2199">
        <v>0</v>
      </c>
      <c r="I2199" t="s">
        <v>0</v>
      </c>
      <c r="J2199" t="s">
        <v>59</v>
      </c>
      <c r="K2199">
        <v>0</v>
      </c>
      <c r="L2199" t="s">
        <v>60</v>
      </c>
      <c r="M2199">
        <v>1</v>
      </c>
      <c r="N2199" t="s">
        <v>67</v>
      </c>
      <c r="O2199" s="2">
        <v>0.57986111111111105</v>
      </c>
      <c r="P2199">
        <f>0.0039577558*3600</f>
        <v>14.247920879999999</v>
      </c>
      <c r="Q2199">
        <f>0.0030678992*3600</f>
        <v>11.04443712</v>
      </c>
    </row>
    <row r="2200" spans="1:18" x14ac:dyDescent="0.3">
      <c r="A2200" s="4" t="s">
        <v>47</v>
      </c>
      <c r="B2200" s="6" t="s">
        <v>1722</v>
      </c>
      <c r="C2200">
        <v>298.82660399999997</v>
      </c>
      <c r="D2200">
        <v>295.11613299999999</v>
      </c>
      <c r="E2200">
        <v>1</v>
      </c>
      <c r="F2200">
        <v>1</v>
      </c>
      <c r="G2200">
        <v>0.26100000000000001</v>
      </c>
      <c r="H2200">
        <v>0</v>
      </c>
      <c r="I2200" t="s">
        <v>0</v>
      </c>
      <c r="J2200" t="s">
        <v>59</v>
      </c>
      <c r="K2200">
        <v>0</v>
      </c>
      <c r="L2200" t="s">
        <v>60</v>
      </c>
      <c r="M2200">
        <v>1</v>
      </c>
      <c r="N2200" t="s">
        <v>67</v>
      </c>
      <c r="O2200" s="2">
        <v>0.57986111111111105</v>
      </c>
      <c r="P2200">
        <f>0.0038242981*3600</f>
        <v>13.76747316</v>
      </c>
      <c r="Q2200">
        <f>0.0028385556*3600</f>
        <v>10.218800160000001</v>
      </c>
    </row>
    <row r="2201" spans="1:18" x14ac:dyDescent="0.3">
      <c r="A2201" s="4" t="s">
        <v>47</v>
      </c>
      <c r="B2201" s="6" t="s">
        <v>1723</v>
      </c>
      <c r="C2201">
        <v>298.82675799999998</v>
      </c>
      <c r="D2201">
        <v>295.11625600000002</v>
      </c>
      <c r="E2201">
        <v>1</v>
      </c>
      <c r="F2201">
        <v>1</v>
      </c>
      <c r="G2201">
        <v>0.26100000000000001</v>
      </c>
      <c r="H2201">
        <v>0</v>
      </c>
      <c r="I2201" t="s">
        <v>0</v>
      </c>
      <c r="J2201" t="s">
        <v>59</v>
      </c>
      <c r="K2201">
        <v>0</v>
      </c>
      <c r="L2201" t="s">
        <v>60</v>
      </c>
      <c r="M2201">
        <v>1</v>
      </c>
      <c r="N2201" t="s">
        <v>67</v>
      </c>
      <c r="O2201" s="2">
        <v>0.57986111111111105</v>
      </c>
      <c r="P2201">
        <f>0.003983459*3600</f>
        <v>14.3404524</v>
      </c>
      <c r="Q2201">
        <f>0.0029128582*3600</f>
        <v>10.48628952</v>
      </c>
    </row>
    <row r="2202" spans="1:18" x14ac:dyDescent="0.3">
      <c r="A2202" s="4" t="s">
        <v>47</v>
      </c>
      <c r="B2202" s="6" t="s">
        <v>1724</v>
      </c>
      <c r="C2202">
        <v>298.82673299999999</v>
      </c>
      <c r="D2202">
        <v>295.11619000000002</v>
      </c>
      <c r="E2202">
        <v>1</v>
      </c>
      <c r="F2202">
        <v>1</v>
      </c>
      <c r="G2202">
        <v>0.26100000000000001</v>
      </c>
      <c r="H2202">
        <v>0</v>
      </c>
      <c r="I2202" t="s">
        <v>0</v>
      </c>
      <c r="J2202" t="s">
        <v>59</v>
      </c>
      <c r="K2202">
        <v>0</v>
      </c>
      <c r="L2202" t="s">
        <v>60</v>
      </c>
      <c r="M2202">
        <v>1</v>
      </c>
      <c r="N2202" t="s">
        <v>67</v>
      </c>
      <c r="O2202" s="2">
        <v>0.57986111111111105</v>
      </c>
      <c r="P2202">
        <f>0.0040490477*3600</f>
        <v>14.576571719999999</v>
      </c>
      <c r="Q2202">
        <f>0.0029049772*3600</f>
        <v>10.45791792</v>
      </c>
    </row>
    <row r="2203" spans="1:18" x14ac:dyDescent="0.3">
      <c r="A2203" s="4" t="s">
        <v>47</v>
      </c>
      <c r="B2203" s="6" t="s">
        <v>1725</v>
      </c>
      <c r="C2203">
        <v>298.82655999999997</v>
      </c>
      <c r="D2203">
        <v>295.11620399999998</v>
      </c>
      <c r="E2203">
        <v>1</v>
      </c>
      <c r="F2203">
        <v>1</v>
      </c>
      <c r="G2203">
        <v>0.26100000000000001</v>
      </c>
      <c r="H2203">
        <v>0</v>
      </c>
      <c r="I2203" t="s">
        <v>0</v>
      </c>
      <c r="J2203" t="s">
        <v>59</v>
      </c>
      <c r="K2203">
        <v>0</v>
      </c>
      <c r="L2203" t="s">
        <v>60</v>
      </c>
      <c r="M2203">
        <v>1</v>
      </c>
      <c r="N2203" t="s">
        <v>67</v>
      </c>
      <c r="O2203" s="2">
        <v>0.57986111111111105</v>
      </c>
      <c r="P2203">
        <f>0.004034295*3600</f>
        <v>14.523462</v>
      </c>
      <c r="Q2203">
        <f>0.0028988972*3600</f>
        <v>10.436029920000001</v>
      </c>
    </row>
    <row r="2204" spans="1:18" x14ac:dyDescent="0.3">
      <c r="A2204" s="4" t="s">
        <v>47</v>
      </c>
      <c r="B2204" s="6" t="s">
        <v>1726</v>
      </c>
      <c r="C2204">
        <v>298.82646499999998</v>
      </c>
      <c r="D2204">
        <v>295.11618600000003</v>
      </c>
      <c r="E2204">
        <v>1</v>
      </c>
      <c r="F2204">
        <v>1</v>
      </c>
      <c r="G2204">
        <v>0.26100000000000001</v>
      </c>
      <c r="H2204">
        <v>0</v>
      </c>
      <c r="I2204" t="s">
        <v>0</v>
      </c>
      <c r="J2204" t="s">
        <v>59</v>
      </c>
      <c r="K2204">
        <v>0</v>
      </c>
      <c r="L2204" t="s">
        <v>60</v>
      </c>
      <c r="M2204">
        <v>1</v>
      </c>
      <c r="N2204" t="s">
        <v>67</v>
      </c>
      <c r="O2204" s="2">
        <v>0.57986111111111105</v>
      </c>
      <c r="P2204">
        <f>0.0040330453*3600</f>
        <v>14.518963080000001</v>
      </c>
      <c r="Q2204">
        <f>0.0028970499*3600</f>
        <v>10.429379640000001</v>
      </c>
    </row>
    <row r="2205" spans="1:18" x14ac:dyDescent="0.3">
      <c r="A2205" s="4" t="s">
        <v>47</v>
      </c>
      <c r="B2205" s="6" t="s">
        <v>1727</v>
      </c>
      <c r="C2205">
        <v>298.82670899999999</v>
      </c>
      <c r="D2205">
        <v>295.11616600000002</v>
      </c>
      <c r="E2205">
        <v>1</v>
      </c>
      <c r="F2205">
        <v>1</v>
      </c>
      <c r="G2205">
        <v>0.26100000000000001</v>
      </c>
      <c r="H2205">
        <v>0</v>
      </c>
      <c r="I2205" t="s">
        <v>0</v>
      </c>
      <c r="J2205" t="s">
        <v>59</v>
      </c>
      <c r="K2205">
        <v>0</v>
      </c>
      <c r="L2205" t="s">
        <v>60</v>
      </c>
      <c r="M2205">
        <v>1</v>
      </c>
      <c r="N2205" t="s">
        <v>67</v>
      </c>
      <c r="O2205" s="2">
        <v>0.57986111111111105</v>
      </c>
      <c r="P2205">
        <f>0.0038608895*3600</f>
        <v>13.8992022</v>
      </c>
      <c r="Q2205">
        <f>0.0028678991*3600</f>
        <v>10.324436760000001</v>
      </c>
    </row>
    <row r="2206" spans="1:18" x14ac:dyDescent="0.3">
      <c r="A2206" s="4" t="s">
        <v>47</v>
      </c>
      <c r="B2206" s="5" t="s">
        <v>49</v>
      </c>
      <c r="C2206">
        <v>202.349187</v>
      </c>
      <c r="D2206">
        <v>99.290631000000005</v>
      </c>
      <c r="E2206">
        <v>502.99829999999997</v>
      </c>
      <c r="F2206">
        <v>502.87670000000003</v>
      </c>
      <c r="G2206">
        <v>0.26100000000000001</v>
      </c>
      <c r="H2206">
        <v>1.746</v>
      </c>
      <c r="I2206" t="s">
        <v>0</v>
      </c>
      <c r="J2206" t="s">
        <v>50</v>
      </c>
      <c r="K2206" t="s">
        <v>51</v>
      </c>
      <c r="L2206">
        <v>0</v>
      </c>
      <c r="M2206" t="s">
        <v>52</v>
      </c>
      <c r="N2206">
        <v>1</v>
      </c>
      <c r="O2206" t="s">
        <v>53</v>
      </c>
      <c r="P2206" s="2">
        <v>0.58194444444444449</v>
      </c>
      <c r="Q2206">
        <f>-0.0007375474*3600</f>
        <v>-2.6551706400000001</v>
      </c>
      <c r="R2206">
        <f>-0.0007653854*3600</f>
        <v>-2.7553874399999998</v>
      </c>
    </row>
    <row r="2207" spans="1:18" x14ac:dyDescent="0.3">
      <c r="A2207" s="4"/>
      <c r="B2207" s="6"/>
      <c r="P2207" s="2"/>
    </row>
    <row r="2208" spans="1:18" x14ac:dyDescent="0.3">
      <c r="A2208" s="4" t="s">
        <v>47</v>
      </c>
      <c r="B2208" s="5" t="s">
        <v>57</v>
      </c>
      <c r="C2208">
        <v>1.285236</v>
      </c>
      <c r="D2208">
        <v>99.158760000000001</v>
      </c>
      <c r="E2208">
        <v>37.385899999999999</v>
      </c>
      <c r="F2208">
        <v>37.375900000000001</v>
      </c>
      <c r="G2208">
        <v>0.26100000000000001</v>
      </c>
      <c r="H2208">
        <v>0</v>
      </c>
      <c r="I2208" t="s">
        <v>0</v>
      </c>
      <c r="J2208" t="s">
        <v>50</v>
      </c>
      <c r="K2208" t="s">
        <v>51</v>
      </c>
      <c r="L2208">
        <v>0</v>
      </c>
      <c r="M2208" t="s">
        <v>52</v>
      </c>
      <c r="N2208">
        <v>1</v>
      </c>
      <c r="O2208" t="s">
        <v>53</v>
      </c>
      <c r="P2208" s="2">
        <v>0.58194444444444449</v>
      </c>
      <c r="Q2208">
        <f>-0.0009918863*3600</f>
        <v>-3.5707906800000004</v>
      </c>
      <c r="R2208">
        <f>-0.0008286917*3600</f>
        <v>-2.9832901199999999</v>
      </c>
    </row>
    <row r="2209" spans="1:16" x14ac:dyDescent="0.3">
      <c r="A2209" s="4"/>
      <c r="B2209" s="6"/>
      <c r="P2209" s="2"/>
    </row>
    <row r="2210" spans="1:16" x14ac:dyDescent="0.3">
      <c r="A2210" s="4" t="s">
        <v>47</v>
      </c>
      <c r="B2210">
        <v>19</v>
      </c>
      <c r="C2210" t="s">
        <v>30</v>
      </c>
      <c r="D2210" s="3">
        <v>0.7</v>
      </c>
      <c r="E2210" t="s">
        <v>31</v>
      </c>
      <c r="F2210" t="s">
        <v>32</v>
      </c>
      <c r="G2210" t="s">
        <v>33</v>
      </c>
      <c r="H2210" t="s">
        <v>34</v>
      </c>
    </row>
    <row r="2211" spans="1:16" x14ac:dyDescent="0.3">
      <c r="A2211" s="4" t="s">
        <v>47</v>
      </c>
      <c r="B2211" t="s">
        <v>55</v>
      </c>
      <c r="C2211" t="s">
        <v>35</v>
      </c>
      <c r="D2211" t="s">
        <v>56</v>
      </c>
    </row>
    <row r="2212" spans="1:16" x14ac:dyDescent="0.3">
      <c r="A2212" s="4" t="s">
        <v>47</v>
      </c>
      <c r="B2212" t="s">
        <v>39</v>
      </c>
      <c r="C2212">
        <v>0.13</v>
      </c>
    </row>
    <row r="2214" spans="1:16" x14ac:dyDescent="0.3">
      <c r="A2214" t="s">
        <v>1</v>
      </c>
    </row>
  </sheetData>
  <sortState xmlns:xlrd2="http://schemas.microsoft.com/office/spreadsheetml/2017/richdata2" ref="A369:R448">
    <sortCondition ref="B369:B44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210911JF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Flottweg, Jurgen</dc:creator>
  <cp:lastModifiedBy>Flottweg, Jurgen</cp:lastModifiedBy>
  <dcterms:created xsi:type="dcterms:W3CDTF">2021-09-13T07:42:36Z</dcterms:created>
  <dcterms:modified xsi:type="dcterms:W3CDTF">2021-09-13T07:42:36Z</dcterms:modified>
</cp:coreProperties>
</file>