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 Projects\09 TBM\10 KA_Wire drop\"/>
    </mc:Choice>
  </mc:AlternateContent>
  <xr:revisionPtr revIDLastSave="0" documentId="13_ncr:1_{90E9D930-576F-4D38-8041-958E797AF166}" xr6:coauthVersionLast="46" xr6:coauthVersionMax="46" xr10:uidLastSave="{00000000-0000-0000-0000-000000000000}"/>
  <bookViews>
    <workbookView xWindow="14895" yWindow="-16350" windowWidth="29040" windowHeight="15840" xr2:uid="{00000000-000D-0000-FFFF-FFFF00000000}"/>
  </bookViews>
  <sheets>
    <sheet name="210911TK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09" i="1" l="1"/>
  <c r="I1210" i="1"/>
  <c r="I1211" i="1"/>
  <c r="I1212" i="1"/>
  <c r="I1213" i="1"/>
  <c r="I1214" i="1"/>
  <c r="I1215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66" i="1"/>
  <c r="I1167" i="1"/>
  <c r="I1168" i="1"/>
  <c r="I1169" i="1"/>
  <c r="I1170" i="1"/>
  <c r="I1171" i="1"/>
  <c r="I1172" i="1"/>
  <c r="I1173" i="1"/>
  <c r="I1174" i="1"/>
  <c r="I1175" i="1"/>
  <c r="I1155" i="1"/>
  <c r="I1156" i="1"/>
  <c r="I1157" i="1"/>
  <c r="I1158" i="1"/>
  <c r="I1159" i="1"/>
  <c r="I1160" i="1"/>
  <c r="I1161" i="1"/>
  <c r="I1162" i="1"/>
  <c r="I1163" i="1"/>
  <c r="I1164" i="1"/>
  <c r="I1165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36" i="1"/>
  <c r="R25" i="1" l="1"/>
  <c r="S25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R475" i="1"/>
  <c r="S475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R600" i="1"/>
  <c r="S600" i="1"/>
  <c r="R601" i="1"/>
  <c r="S601" i="1"/>
  <c r="R602" i="1"/>
  <c r="S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R713" i="1"/>
  <c r="S713" i="1"/>
  <c r="R714" i="1"/>
  <c r="S714" i="1"/>
  <c r="R715" i="1"/>
  <c r="S715" i="1"/>
  <c r="R723" i="1"/>
  <c r="S723" i="1"/>
  <c r="R737" i="1"/>
  <c r="S737" i="1"/>
  <c r="R738" i="1"/>
  <c r="S738" i="1"/>
  <c r="R739" i="1"/>
  <c r="S739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40" i="1"/>
  <c r="S740" i="1"/>
  <c r="R741" i="1"/>
  <c r="S741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R908" i="1"/>
  <c r="S908" i="1"/>
  <c r="R909" i="1"/>
  <c r="S909" i="1"/>
  <c r="R910" i="1"/>
  <c r="S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R742" i="1"/>
  <c r="S742" i="1"/>
  <c r="R743" i="1"/>
  <c r="S743" i="1"/>
  <c r="R744" i="1"/>
  <c r="S744" i="1"/>
  <c r="R734" i="1"/>
  <c r="S734" i="1"/>
  <c r="R735" i="1"/>
  <c r="S735" i="1"/>
  <c r="R736" i="1"/>
  <c r="S736" i="1"/>
  <c r="R1091" i="1"/>
  <c r="S1091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R1642" i="1"/>
  <c r="S1642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7" i="1"/>
  <c r="S1667" i="1"/>
  <c r="R1668" i="1"/>
  <c r="S1668" i="1"/>
  <c r="R1669" i="1"/>
  <c r="S1669" i="1"/>
  <c r="R1670" i="1"/>
  <c r="S1670" i="1"/>
  <c r="R1666" i="1"/>
  <c r="S1666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702" i="1"/>
  <c r="S1702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20" i="1"/>
  <c r="S1720" i="1"/>
  <c r="R1721" i="1"/>
  <c r="S1721" i="1"/>
  <c r="R1722" i="1"/>
  <c r="S1722" i="1"/>
  <c r="R1719" i="1"/>
  <c r="S1719" i="1"/>
  <c r="R1723" i="1"/>
  <c r="S1723" i="1"/>
  <c r="R1724" i="1"/>
  <c r="S1724" i="1"/>
  <c r="R1725" i="1"/>
  <c r="S1725" i="1"/>
  <c r="R1726" i="1"/>
  <c r="S1726" i="1"/>
  <c r="R1728" i="1"/>
  <c r="S1728" i="1"/>
  <c r="R1729" i="1"/>
  <c r="S1729" i="1"/>
  <c r="R1730" i="1"/>
  <c r="S1730" i="1"/>
  <c r="R1727" i="1"/>
  <c r="S1727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54" i="1"/>
  <c r="S1754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</calcChain>
</file>

<file path=xl/sharedStrings.xml><?xml version="1.0" encoding="utf-8"?>
<sst xmlns="http://schemas.openxmlformats.org/spreadsheetml/2006/main" count="10304" uniqueCount="364">
  <si>
    <t>#</t>
  </si>
  <si>
    <t>DE</t>
  </si>
  <si>
    <t>Starnet</t>
  </si>
  <si>
    <t>Traverse</t>
  </si>
  <si>
    <t>JobFile:</t>
  </si>
  <si>
    <t>210911TK</t>
  </si>
  <si>
    <t>Date:</t>
  </si>
  <si>
    <t>Time</t>
  </si>
  <si>
    <t>hrs</t>
  </si>
  <si>
    <t>TS16</t>
  </si>
  <si>
    <t>P</t>
  </si>
  <si>
    <t>1"</t>
  </si>
  <si>
    <t>R1000</t>
  </si>
  <si>
    <t>Sr</t>
  </si>
  <si>
    <t>No.</t>
  </si>
  <si>
    <t>Operator:</t>
  </si>
  <si>
    <t>Station</t>
  </si>
  <si>
    <t>HZ</t>
  </si>
  <si>
    <t>VA</t>
  </si>
  <si>
    <t>SD</t>
  </si>
  <si>
    <t>HD</t>
  </si>
  <si>
    <t>I_Ht</t>
  </si>
  <si>
    <t>T_Ht</t>
  </si>
  <si>
    <t>Prism-Const</t>
  </si>
  <si>
    <t>ATR</t>
  </si>
  <si>
    <t>Scale-at-Central-Meridian</t>
  </si>
  <si>
    <t>EDM-Meas-Mode</t>
  </si>
  <si>
    <t>Tilt-T"</t>
  </si>
  <si>
    <t>Tilt-L"</t>
  </si>
  <si>
    <t>Temp:</t>
  </si>
  <si>
    <t>Humidity:</t>
  </si>
  <si>
    <t>Pressure:</t>
  </si>
  <si>
    <t>1016.00mbar</t>
  </si>
  <si>
    <t>Atmosph.Correction:</t>
  </si>
  <si>
    <t>5(PPM)</t>
  </si>
  <si>
    <t>Geom.Correction:</t>
  </si>
  <si>
    <t>-179(PPM)</t>
  </si>
  <si>
    <t>0.9998212713(scale)</t>
  </si>
  <si>
    <t>Ref.</t>
  </si>
  <si>
    <t>Coefficient:</t>
  </si>
  <si>
    <t>Atmospheric</t>
  </si>
  <si>
    <t>Correction</t>
  </si>
  <si>
    <t>(ppm):</t>
  </si>
  <si>
    <t>Geometric</t>
  </si>
  <si>
    <t>Correction:</t>
  </si>
  <si>
    <t>Scale</t>
  </si>
  <si>
    <t>DB</t>
  </si>
  <si>
    <t>BR04</t>
  </si>
  <si>
    <t>DM</t>
  </si>
  <si>
    <t>BR02</t>
  </si>
  <si>
    <t>Round</t>
  </si>
  <si>
    <t>Prism</t>
  </si>
  <si>
    <t>Off</t>
  </si>
  <si>
    <t>Standard</t>
  </si>
  <si>
    <t>-172(PPM)</t>
  </si>
  <si>
    <t>0.9998281953(scale)</t>
  </si>
  <si>
    <t>AT008</t>
  </si>
  <si>
    <t>On</t>
  </si>
  <si>
    <t>AB0035</t>
  </si>
  <si>
    <t>AB0051</t>
  </si>
  <si>
    <t>B5000</t>
  </si>
  <si>
    <t>Tape</t>
  </si>
  <si>
    <t>B5001</t>
  </si>
  <si>
    <t>Unknown</t>
  </si>
  <si>
    <t>B5002</t>
  </si>
  <si>
    <t>B5003</t>
  </si>
  <si>
    <t>B5004</t>
  </si>
  <si>
    <t>B5005</t>
  </si>
  <si>
    <t>B5006</t>
  </si>
  <si>
    <t>B5007</t>
  </si>
  <si>
    <t>B5008</t>
  </si>
  <si>
    <t>B5009</t>
  </si>
  <si>
    <t>B5010</t>
  </si>
  <si>
    <t>B5011</t>
  </si>
  <si>
    <t>B5012</t>
  </si>
  <si>
    <t>B5013</t>
  </si>
  <si>
    <t>B5014</t>
  </si>
  <si>
    <t>B5015</t>
  </si>
  <si>
    <t>B5016</t>
  </si>
  <si>
    <t>B5017</t>
  </si>
  <si>
    <t>B5018</t>
  </si>
  <si>
    <t>B5019</t>
  </si>
  <si>
    <t>B5020</t>
  </si>
  <si>
    <t>B5021</t>
  </si>
  <si>
    <t>B5022</t>
  </si>
  <si>
    <t>B5023</t>
  </si>
  <si>
    <t>B5024</t>
  </si>
  <si>
    <t>B5025</t>
  </si>
  <si>
    <t>B5026</t>
  </si>
  <si>
    <t>B5027</t>
  </si>
  <si>
    <t>B5028</t>
  </si>
  <si>
    <t>B5029</t>
  </si>
  <si>
    <t>B5030</t>
  </si>
  <si>
    <t>B5031</t>
  </si>
  <si>
    <t>B6000</t>
  </si>
  <si>
    <t>B6001</t>
  </si>
  <si>
    <t>B6002</t>
  </si>
  <si>
    <t>B6003</t>
  </si>
  <si>
    <t>B6004</t>
  </si>
  <si>
    <t>B6005</t>
  </si>
  <si>
    <t>B6006</t>
  </si>
  <si>
    <t>B6007</t>
  </si>
  <si>
    <t>B6008</t>
  </si>
  <si>
    <t>B6009</t>
  </si>
  <si>
    <t>B6010</t>
  </si>
  <si>
    <t>B6011</t>
  </si>
  <si>
    <t>B6012</t>
  </si>
  <si>
    <t>B6013</t>
  </si>
  <si>
    <t>B6014</t>
  </si>
  <si>
    <t>B6015</t>
  </si>
  <si>
    <t>B6016</t>
  </si>
  <si>
    <t>B6017</t>
  </si>
  <si>
    <t>B6018</t>
  </si>
  <si>
    <t>B6019</t>
  </si>
  <si>
    <t>B6020</t>
  </si>
  <si>
    <t>B6021</t>
  </si>
  <si>
    <t>B6022</t>
  </si>
  <si>
    <t>B6023</t>
  </si>
  <si>
    <t>B6024</t>
  </si>
  <si>
    <t>B6025</t>
  </si>
  <si>
    <t>B6026</t>
  </si>
  <si>
    <t>B6027</t>
  </si>
  <si>
    <t>B6028</t>
  </si>
  <si>
    <t>B6029</t>
  </si>
  <si>
    <t>B6030</t>
  </si>
  <si>
    <t>B6031</t>
  </si>
  <si>
    <t>B6034</t>
  </si>
  <si>
    <t>B6035</t>
  </si>
  <si>
    <t>B6036</t>
  </si>
  <si>
    <t>B6037</t>
  </si>
  <si>
    <t>B6038</t>
  </si>
  <si>
    <t>B6039</t>
  </si>
  <si>
    <t>B6040</t>
  </si>
  <si>
    <t>B6041</t>
  </si>
  <si>
    <t>B6042</t>
  </si>
  <si>
    <t>B6043</t>
  </si>
  <si>
    <t>B6044</t>
  </si>
  <si>
    <t>B6045</t>
  </si>
  <si>
    <t>B6046</t>
  </si>
  <si>
    <t>B6047</t>
  </si>
  <si>
    <t>B6048</t>
  </si>
  <si>
    <t>B6049</t>
  </si>
  <si>
    <t>B6050</t>
  </si>
  <si>
    <t>B6051</t>
  </si>
  <si>
    <t>B6052</t>
  </si>
  <si>
    <t>B6053</t>
  </si>
  <si>
    <t>B6054</t>
  </si>
  <si>
    <t>B6055</t>
  </si>
  <si>
    <t>B6056</t>
  </si>
  <si>
    <t>B6057</t>
  </si>
  <si>
    <t>B6058</t>
  </si>
  <si>
    <t>B6059</t>
  </si>
  <si>
    <t>B6060</t>
  </si>
  <si>
    <t>B6061</t>
  </si>
  <si>
    <t>B6062</t>
  </si>
  <si>
    <t>B6063</t>
  </si>
  <si>
    <t>B5034</t>
  </si>
  <si>
    <t>B5035</t>
  </si>
  <si>
    <t>B5036</t>
  </si>
  <si>
    <t>B5037</t>
  </si>
  <si>
    <t>B5038</t>
  </si>
  <si>
    <t>B5039</t>
  </si>
  <si>
    <t>B5040</t>
  </si>
  <si>
    <t>B5041</t>
  </si>
  <si>
    <t>B5042</t>
  </si>
  <si>
    <t>B5043</t>
  </si>
  <si>
    <t>B5044</t>
  </si>
  <si>
    <t>B5045</t>
  </si>
  <si>
    <t>B5046</t>
  </si>
  <si>
    <t>B5047</t>
  </si>
  <si>
    <t>B5048</t>
  </si>
  <si>
    <t>B5049</t>
  </si>
  <si>
    <t>B5050</t>
  </si>
  <si>
    <t>B5051</t>
  </si>
  <si>
    <t>B5052</t>
  </si>
  <si>
    <t>B5053</t>
  </si>
  <si>
    <t>B5054</t>
  </si>
  <si>
    <t>B5055</t>
  </si>
  <si>
    <t>B5056</t>
  </si>
  <si>
    <t>B5057</t>
  </si>
  <si>
    <t>B5058</t>
  </si>
  <si>
    <t>B5059</t>
  </si>
  <si>
    <t>B5060</t>
  </si>
  <si>
    <t>B5061</t>
  </si>
  <si>
    <t>B5062</t>
  </si>
  <si>
    <t>B5063</t>
  </si>
  <si>
    <t>B5064</t>
  </si>
  <si>
    <t>B5065</t>
  </si>
  <si>
    <t>B5066</t>
  </si>
  <si>
    <t>B5067</t>
  </si>
  <si>
    <t>B5068</t>
  </si>
  <si>
    <t>B5069</t>
  </si>
  <si>
    <t>B5070</t>
  </si>
  <si>
    <t>B5071</t>
  </si>
  <si>
    <t>B5072</t>
  </si>
  <si>
    <t>B5073</t>
  </si>
  <si>
    <t>B5074</t>
  </si>
  <si>
    <t>B5075</t>
  </si>
  <si>
    <t>B5076</t>
  </si>
  <si>
    <t>B5077</t>
  </si>
  <si>
    <t>B5078</t>
  </si>
  <si>
    <t>B5079</t>
  </si>
  <si>
    <t>B5080</t>
  </si>
  <si>
    <t>B5081</t>
  </si>
  <si>
    <t>B5082</t>
  </si>
  <si>
    <t>B5083</t>
  </si>
  <si>
    <t>B5084</t>
  </si>
  <si>
    <t>B5085</t>
  </si>
  <si>
    <t>B5086</t>
  </si>
  <si>
    <t>B5087</t>
  </si>
  <si>
    <t>B5088</t>
  </si>
  <si>
    <t>B5089</t>
  </si>
  <si>
    <t>B5090</t>
  </si>
  <si>
    <t>B5091</t>
  </si>
  <si>
    <t>B5092</t>
  </si>
  <si>
    <t>B5093</t>
  </si>
  <si>
    <t>B5094</t>
  </si>
  <si>
    <t>B5095</t>
  </si>
  <si>
    <t>B5096</t>
  </si>
  <si>
    <t>B6064</t>
  </si>
  <si>
    <t>B6065</t>
  </si>
  <si>
    <t>B6066</t>
  </si>
  <si>
    <t>B6067</t>
  </si>
  <si>
    <t>B6068</t>
  </si>
  <si>
    <t>B6069</t>
  </si>
  <si>
    <t>B6070</t>
  </si>
  <si>
    <t>B6071</t>
  </si>
  <si>
    <t>B6072</t>
  </si>
  <si>
    <t>B6073</t>
  </si>
  <si>
    <t>B6074</t>
  </si>
  <si>
    <t>B6075</t>
  </si>
  <si>
    <t>B6076</t>
  </si>
  <si>
    <t>B6077</t>
  </si>
  <si>
    <t>B6078</t>
  </si>
  <si>
    <t>B6079</t>
  </si>
  <si>
    <t>B6080</t>
  </si>
  <si>
    <t>B6081</t>
  </si>
  <si>
    <t>B6082</t>
  </si>
  <si>
    <t>B6083</t>
  </si>
  <si>
    <t>B6084</t>
  </si>
  <si>
    <t>B6085</t>
  </si>
  <si>
    <t>B6086</t>
  </si>
  <si>
    <t>B6087</t>
  </si>
  <si>
    <t>B6088</t>
  </si>
  <si>
    <t>B6089</t>
  </si>
  <si>
    <t>B6090</t>
  </si>
  <si>
    <t>B6091</t>
  </si>
  <si>
    <t>B6092</t>
  </si>
  <si>
    <t>B6093</t>
  </si>
  <si>
    <t>B6094</t>
  </si>
  <si>
    <t>B6095</t>
  </si>
  <si>
    <t>B6096</t>
  </si>
  <si>
    <t>B6097</t>
  </si>
  <si>
    <t>B6098</t>
  </si>
  <si>
    <t>B6099</t>
  </si>
  <si>
    <t>B6100</t>
  </si>
  <si>
    <t>B6101</t>
  </si>
  <si>
    <t>B6102</t>
  </si>
  <si>
    <t>B6103</t>
  </si>
  <si>
    <t>B6104</t>
  </si>
  <si>
    <t>B6105</t>
  </si>
  <si>
    <t>B6106</t>
  </si>
  <si>
    <t>B6107</t>
  </si>
  <si>
    <t>B6108</t>
  </si>
  <si>
    <t>B6109</t>
  </si>
  <si>
    <t>B6110</t>
  </si>
  <si>
    <t>B6111</t>
  </si>
  <si>
    <t>B6112</t>
  </si>
  <si>
    <t>B6113</t>
  </si>
  <si>
    <t>B6114</t>
  </si>
  <si>
    <t>B6115</t>
  </si>
  <si>
    <t>B6116</t>
  </si>
  <si>
    <t>B6117</t>
  </si>
  <si>
    <t>B6118</t>
  </si>
  <si>
    <t>B6119</t>
  </si>
  <si>
    <t>B6120</t>
  </si>
  <si>
    <t>B6121</t>
  </si>
  <si>
    <t>B6122</t>
  </si>
  <si>
    <t>B6123</t>
  </si>
  <si>
    <t>B6124</t>
  </si>
  <si>
    <t>B6125</t>
  </si>
  <si>
    <t>B6126</t>
  </si>
  <si>
    <t>B6127</t>
  </si>
  <si>
    <t>B6128</t>
  </si>
  <si>
    <t>B5097</t>
  </si>
  <si>
    <t>B5098</t>
  </si>
  <si>
    <t>B5099</t>
  </si>
  <si>
    <t>B5100</t>
  </si>
  <si>
    <t>B5101</t>
  </si>
  <si>
    <t>B5102</t>
  </si>
  <si>
    <t>B5103</t>
  </si>
  <si>
    <t>B5104</t>
  </si>
  <si>
    <t>B5105</t>
  </si>
  <si>
    <t>B5106</t>
  </si>
  <si>
    <t>B5107</t>
  </si>
  <si>
    <t>B5108</t>
  </si>
  <si>
    <t>B5109</t>
  </si>
  <si>
    <t>B5110</t>
  </si>
  <si>
    <t>B5111</t>
  </si>
  <si>
    <t>B5112</t>
  </si>
  <si>
    <t>B5113</t>
  </si>
  <si>
    <t>B5114</t>
  </si>
  <si>
    <t>B5115</t>
  </si>
  <si>
    <t>B5116</t>
  </si>
  <si>
    <t>B5117</t>
  </si>
  <si>
    <t>B5118</t>
  </si>
  <si>
    <t>B5119</t>
  </si>
  <si>
    <t>B5120</t>
  </si>
  <si>
    <t>B5121</t>
  </si>
  <si>
    <t>B5122</t>
  </si>
  <si>
    <t>B5123</t>
  </si>
  <si>
    <t>B5124</t>
  </si>
  <si>
    <t>B5125</t>
  </si>
  <si>
    <t>B5126</t>
  </si>
  <si>
    <t>B5127</t>
  </si>
  <si>
    <t>B5128</t>
  </si>
  <si>
    <t>STNTP01</t>
  </si>
  <si>
    <t>DS0401</t>
  </si>
  <si>
    <t>1547(PPM)</t>
  </si>
  <si>
    <t>1.0015469999(scale)</t>
  </si>
  <si>
    <t>DS0402</t>
  </si>
  <si>
    <t>DS0403</t>
  </si>
  <si>
    <t>DS0404</t>
  </si>
  <si>
    <t>DS0201</t>
  </si>
  <si>
    <t>DS0202</t>
  </si>
  <si>
    <t>DS0203</t>
  </si>
  <si>
    <t>AB003501</t>
  </si>
  <si>
    <t>AB003502</t>
  </si>
  <si>
    <t>AB003503</t>
  </si>
  <si>
    <t>AB005101</t>
  </si>
  <si>
    <t>AB005102</t>
  </si>
  <si>
    <t>AB005103</t>
  </si>
  <si>
    <t>DS0410</t>
  </si>
  <si>
    <t>DS0411</t>
  </si>
  <si>
    <t>DS0420</t>
  </si>
  <si>
    <t>DS0421</t>
  </si>
  <si>
    <t>DS0422</t>
  </si>
  <si>
    <t>DS0430</t>
  </si>
  <si>
    <t>DS0431</t>
  </si>
  <si>
    <t>DS0432</t>
  </si>
  <si>
    <t>STNTP02</t>
  </si>
  <si>
    <t>DS04</t>
  </si>
  <si>
    <t>1522(PPM)</t>
  </si>
  <si>
    <t>1.0015223556(scale)</t>
  </si>
  <si>
    <t>TRI01</t>
  </si>
  <si>
    <t>TRI02</t>
  </si>
  <si>
    <t>-176(PPM)</t>
  </si>
  <si>
    <t>0.9998241435(scale)</t>
  </si>
  <si>
    <t>BR03</t>
  </si>
  <si>
    <t>AB0025</t>
  </si>
  <si>
    <t>1.0015224714(scale)</t>
  </si>
  <si>
    <t>AB0070</t>
  </si>
  <si>
    <t>AB0080</t>
  </si>
  <si>
    <t>1523(PPM)</t>
  </si>
  <si>
    <t>1.0015226429(scale)</t>
  </si>
  <si>
    <t>New start after wires were lifted up (ingnore previous data)</t>
  </si>
  <si>
    <t>W2</t>
  </si>
  <si>
    <t>DS041</t>
  </si>
  <si>
    <t>DS0041</t>
  </si>
  <si>
    <t>W1</t>
  </si>
  <si>
    <t>AB008</t>
  </si>
  <si>
    <t>AB007</t>
  </si>
  <si>
    <t>UNDERGROUND 1</t>
  </si>
  <si>
    <t>UNDERGROUND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</si>
</sst>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8"/>
      <name val="Times New Roman"/>
      <family val="2"/>
    </font>
    <font>
      <strike/>
      <sz val="12"/>
      <color rgb="FFFF0000"/>
      <name val="Times New Roman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20" fontId="0" fillId="34" borderId="0" xfId="0" applyNumberFormat="1" applyFill="1"/>
    <xf numFmtId="0" fontId="14" fillId="0" borderId="0" xfId="0" applyFont="1"/>
    <xf numFmtId="20" fontId="14" fillId="0" borderId="0" xfId="0" applyNumberFormat="1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38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03"/>
  <sheetViews>
    <sheetView tabSelected="1" topLeftCell="A1074" workbookViewId="0">
      <selection activeCell="F1085" sqref="F1085"/>
    </sheetView>
  </sheetViews>
  <sheetFormatPr defaultRowHeight="15.6" x14ac:dyDescent="0.3"/>
  <cols>
    <col min="2" max="2" width="18.796875" customWidth="1"/>
  </cols>
  <sheetData>
    <row r="1" spans="1:19" x14ac:dyDescent="0.3">
      <c r="A1" t="s">
        <v>0</v>
      </c>
      <c r="B1" t="s">
        <v>2</v>
      </c>
      <c r="C1" t="s">
        <v>3</v>
      </c>
    </row>
    <row r="3" spans="1:19" x14ac:dyDescent="0.3">
      <c r="A3" t="s">
        <v>0</v>
      </c>
      <c r="B3" t="s">
        <v>4</v>
      </c>
      <c r="C3" t="s">
        <v>5</v>
      </c>
      <c r="D3" t="s">
        <v>6</v>
      </c>
      <c r="E3" s="1">
        <v>44450</v>
      </c>
      <c r="F3" t="s">
        <v>7</v>
      </c>
      <c r="G3" s="2">
        <v>0.37638888888888888</v>
      </c>
      <c r="H3" t="s">
        <v>8</v>
      </c>
    </row>
    <row r="4" spans="1:19" x14ac:dyDescent="0.3">
      <c r="A4" t="s">
        <v>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3265642</v>
      </c>
    </row>
    <row r="5" spans="1:19" x14ac:dyDescent="0.3">
      <c r="A5" t="s">
        <v>0</v>
      </c>
      <c r="B5" t="s">
        <v>15</v>
      </c>
    </row>
    <row r="6" spans="1:19" x14ac:dyDescent="0.3">
      <c r="A6" t="s">
        <v>0</v>
      </c>
    </row>
    <row r="7" spans="1:19" x14ac:dyDescent="0.3">
      <c r="A7" t="s">
        <v>0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J7" t="s">
        <v>0</v>
      </c>
      <c r="K7" t="s">
        <v>0</v>
      </c>
      <c r="L7" t="s">
        <v>0</v>
      </c>
      <c r="M7" t="s">
        <v>23</v>
      </c>
      <c r="N7" t="s">
        <v>24</v>
      </c>
      <c r="O7" t="s">
        <v>25</v>
      </c>
      <c r="P7" t="s">
        <v>26</v>
      </c>
      <c r="Q7" t="s">
        <v>7</v>
      </c>
      <c r="R7" t="s">
        <v>27</v>
      </c>
      <c r="S7" t="s">
        <v>28</v>
      </c>
    </row>
    <row r="8" spans="1:19" x14ac:dyDescent="0.3">
      <c r="A8" t="s">
        <v>0</v>
      </c>
    </row>
    <row r="10" spans="1:19" x14ac:dyDescent="0.3">
      <c r="A10" t="s">
        <v>29</v>
      </c>
      <c r="B10">
        <v>18</v>
      </c>
      <c r="C10" t="s">
        <v>30</v>
      </c>
      <c r="D10" s="3">
        <v>0.86</v>
      </c>
      <c r="E10" t="s">
        <v>31</v>
      </c>
      <c r="F10" t="s">
        <v>32</v>
      </c>
      <c r="G10" t="s">
        <v>33</v>
      </c>
      <c r="H10" t="s">
        <v>34</v>
      </c>
    </row>
    <row r="11" spans="1:19" x14ac:dyDescent="0.3">
      <c r="A11" t="s">
        <v>35</v>
      </c>
      <c r="B11" t="s">
        <v>36</v>
      </c>
      <c r="C11" t="s">
        <v>35</v>
      </c>
      <c r="D11" t="s">
        <v>37</v>
      </c>
    </row>
    <row r="12" spans="1:19" x14ac:dyDescent="0.3">
      <c r="A12" t="s">
        <v>38</v>
      </c>
      <c r="B12" t="s">
        <v>39</v>
      </c>
      <c r="C12">
        <v>0.13</v>
      </c>
    </row>
    <row r="14" spans="1:19" x14ac:dyDescent="0.3">
      <c r="A14" t="s">
        <v>29</v>
      </c>
      <c r="B14">
        <v>18</v>
      </c>
      <c r="C14" t="s">
        <v>30</v>
      </c>
      <c r="D14" s="3">
        <v>0.86</v>
      </c>
      <c r="E14" t="s">
        <v>31</v>
      </c>
      <c r="F14" t="s">
        <v>32</v>
      </c>
      <c r="G14" t="s">
        <v>33</v>
      </c>
      <c r="H14" t="s">
        <v>34</v>
      </c>
    </row>
    <row r="15" spans="1:19" x14ac:dyDescent="0.3">
      <c r="A15" t="s">
        <v>35</v>
      </c>
      <c r="B15" t="s">
        <v>36</v>
      </c>
      <c r="C15" t="s">
        <v>35</v>
      </c>
      <c r="D15" t="s">
        <v>37</v>
      </c>
    </row>
    <row r="16" spans="1:19" x14ac:dyDescent="0.3">
      <c r="A16" t="s">
        <v>38</v>
      </c>
      <c r="B16" t="s">
        <v>39</v>
      </c>
      <c r="C16">
        <v>0.13</v>
      </c>
    </row>
    <row r="18" spans="1:19" x14ac:dyDescent="0.3">
      <c r="A18" t="s">
        <v>0</v>
      </c>
      <c r="B18" t="s">
        <v>40</v>
      </c>
      <c r="C18" t="s">
        <v>41</v>
      </c>
      <c r="D18" t="s">
        <v>42</v>
      </c>
      <c r="E18">
        <v>5</v>
      </c>
    </row>
    <row r="19" spans="1:19" x14ac:dyDescent="0.3">
      <c r="A19" t="s">
        <v>0</v>
      </c>
      <c r="B19" t="s">
        <v>43</v>
      </c>
      <c r="C19" t="s">
        <v>44</v>
      </c>
      <c r="D19">
        <v>-172</v>
      </c>
    </row>
    <row r="20" spans="1:19" x14ac:dyDescent="0.3">
      <c r="A20" t="s">
        <v>0</v>
      </c>
      <c r="B20" t="s">
        <v>43</v>
      </c>
      <c r="C20" t="s">
        <v>45</v>
      </c>
      <c r="D20" t="s">
        <v>44</v>
      </c>
      <c r="E20">
        <v>0.9998281953</v>
      </c>
    </row>
    <row r="23" spans="1:19" x14ac:dyDescent="0.3">
      <c r="A23" s="5" t="s">
        <v>362</v>
      </c>
      <c r="B23" s="5"/>
    </row>
    <row r="24" spans="1:19" x14ac:dyDescent="0.3">
      <c r="A24" t="s">
        <v>46</v>
      </c>
      <c r="B24" t="s">
        <v>47</v>
      </c>
    </row>
    <row r="25" spans="1:19" x14ac:dyDescent="0.3">
      <c r="A25" t="s">
        <v>48</v>
      </c>
      <c r="B25" t="s">
        <v>49</v>
      </c>
      <c r="C25">
        <v>88.406608000000006</v>
      </c>
      <c r="D25">
        <v>98.213142000000005</v>
      </c>
      <c r="E25">
        <v>40.967799999999997</v>
      </c>
      <c r="F25">
        <v>40.944600000000001</v>
      </c>
      <c r="G25">
        <v>0.23899999999999999</v>
      </c>
      <c r="H25">
        <v>0.245</v>
      </c>
      <c r="J25" t="s">
        <v>0</v>
      </c>
      <c r="K25" t="s">
        <v>50</v>
      </c>
      <c r="L25" t="s">
        <v>51</v>
      </c>
      <c r="M25">
        <v>0</v>
      </c>
      <c r="N25" t="s">
        <v>52</v>
      </c>
      <c r="O25">
        <v>1</v>
      </c>
      <c r="P25" t="s">
        <v>53</v>
      </c>
      <c r="Q25" s="2">
        <v>0.37777777777777777</v>
      </c>
      <c r="R25">
        <f>-0.000376339*3600</f>
        <v>-1.3548203999999999</v>
      </c>
      <c r="S25">
        <f>0.0003049369*3600</f>
        <v>1.09777284</v>
      </c>
    </row>
    <row r="26" spans="1:19" x14ac:dyDescent="0.3">
      <c r="A26" t="s">
        <v>29</v>
      </c>
      <c r="B26">
        <v>18</v>
      </c>
      <c r="C26" t="s">
        <v>30</v>
      </c>
      <c r="D26" s="3">
        <v>0.86</v>
      </c>
      <c r="E26" t="s">
        <v>31</v>
      </c>
      <c r="F26" t="s">
        <v>32</v>
      </c>
      <c r="G26" t="s">
        <v>33</v>
      </c>
      <c r="H26" t="s">
        <v>34</v>
      </c>
    </row>
    <row r="27" spans="1:19" x14ac:dyDescent="0.3">
      <c r="A27" t="s">
        <v>35</v>
      </c>
      <c r="B27" t="s">
        <v>54</v>
      </c>
      <c r="C27" t="s">
        <v>35</v>
      </c>
      <c r="D27" t="s">
        <v>55</v>
      </c>
    </row>
    <row r="28" spans="1:19" x14ac:dyDescent="0.3">
      <c r="A28" t="s">
        <v>38</v>
      </c>
      <c r="B28" t="s">
        <v>39</v>
      </c>
      <c r="C28">
        <v>0.13</v>
      </c>
    </row>
    <row r="30" spans="1:19" x14ac:dyDescent="0.3">
      <c r="A30" s="4" t="s">
        <v>47</v>
      </c>
      <c r="B30" t="s">
        <v>58</v>
      </c>
      <c r="C30">
        <v>297.08480300000002</v>
      </c>
      <c r="D30">
        <v>100.462959</v>
      </c>
      <c r="E30">
        <v>71.080100000000002</v>
      </c>
      <c r="F30">
        <v>71.066000000000003</v>
      </c>
      <c r="G30">
        <v>0.23899999999999999</v>
      </c>
      <c r="H30">
        <v>0.24399999999999999</v>
      </c>
      <c r="J30" t="s">
        <v>0</v>
      </c>
      <c r="K30" t="s">
        <v>50</v>
      </c>
      <c r="L30" t="s">
        <v>51</v>
      </c>
      <c r="M30">
        <v>0</v>
      </c>
      <c r="N30" t="s">
        <v>52</v>
      </c>
      <c r="O30">
        <v>1</v>
      </c>
      <c r="P30" t="s">
        <v>53</v>
      </c>
      <c r="Q30" s="2">
        <v>0.38125000000000003</v>
      </c>
      <c r="R30">
        <f>-0.0004031881*3600</f>
        <v>-1.45147716</v>
      </c>
      <c r="S30">
        <f>0.0015993933*3600</f>
        <v>5.7578158799999999</v>
      </c>
    </row>
    <row r="31" spans="1:19" x14ac:dyDescent="0.3">
      <c r="A31" s="4" t="s">
        <v>47</v>
      </c>
      <c r="B31" t="s">
        <v>58</v>
      </c>
      <c r="C31">
        <v>97.084282999999999</v>
      </c>
      <c r="D31">
        <v>299.53745700000002</v>
      </c>
      <c r="E31">
        <v>71.080299999999994</v>
      </c>
      <c r="F31">
        <v>71.066199999999995</v>
      </c>
      <c r="G31">
        <v>0.23899999999999999</v>
      </c>
      <c r="H31">
        <v>0.24399999999999999</v>
      </c>
      <c r="J31" t="s">
        <v>0</v>
      </c>
      <c r="K31" t="s">
        <v>50</v>
      </c>
      <c r="L31" t="s">
        <v>51</v>
      </c>
      <c r="M31">
        <v>0</v>
      </c>
      <c r="N31" t="s">
        <v>57</v>
      </c>
      <c r="O31">
        <v>1</v>
      </c>
      <c r="P31" t="s">
        <v>53</v>
      </c>
      <c r="Q31" s="2">
        <v>0.39305555555555555</v>
      </c>
      <c r="R31">
        <f>0.0000066819*3600</f>
        <v>2.4054840000000001E-2</v>
      </c>
      <c r="S31">
        <f>-0.0008997435*3600</f>
        <v>-3.2390766000000002</v>
      </c>
    </row>
    <row r="32" spans="1:19" x14ac:dyDescent="0.3">
      <c r="A32" s="4" t="s">
        <v>47</v>
      </c>
      <c r="B32" t="s">
        <v>58</v>
      </c>
      <c r="C32">
        <v>297.08473400000003</v>
      </c>
      <c r="D32">
        <v>100.462749</v>
      </c>
      <c r="E32">
        <v>71.080299999999994</v>
      </c>
      <c r="F32">
        <v>71.066199999999995</v>
      </c>
      <c r="G32">
        <v>0.23899999999999999</v>
      </c>
      <c r="H32">
        <v>0.24399999999999999</v>
      </c>
      <c r="J32" t="s">
        <v>0</v>
      </c>
      <c r="K32" t="s">
        <v>50</v>
      </c>
      <c r="L32" t="s">
        <v>51</v>
      </c>
      <c r="M32">
        <v>0</v>
      </c>
      <c r="N32" t="s">
        <v>57</v>
      </c>
      <c r="O32">
        <v>1</v>
      </c>
      <c r="P32" t="s">
        <v>53</v>
      </c>
      <c r="Q32" s="2">
        <v>0.39513888888888887</v>
      </c>
      <c r="R32">
        <f>-0.0002735705*3600</f>
        <v>-0.9848538</v>
      </c>
      <c r="S32">
        <f>-0.001414559*3600</f>
        <v>-5.0924123999999997</v>
      </c>
    </row>
    <row r="33" spans="1:19" x14ac:dyDescent="0.3">
      <c r="A33" s="4" t="s">
        <v>47</v>
      </c>
      <c r="B33" t="s">
        <v>58</v>
      </c>
      <c r="C33">
        <v>97.084299000000001</v>
      </c>
      <c r="D33">
        <v>299.53737899999999</v>
      </c>
      <c r="E33">
        <v>71.080299999999994</v>
      </c>
      <c r="F33">
        <v>71.066199999999995</v>
      </c>
      <c r="G33">
        <v>0.23899999999999999</v>
      </c>
      <c r="H33">
        <v>0.24399999999999999</v>
      </c>
      <c r="J33" t="s">
        <v>0</v>
      </c>
      <c r="K33" t="s">
        <v>50</v>
      </c>
      <c r="L33" t="s">
        <v>51</v>
      </c>
      <c r="M33">
        <v>0</v>
      </c>
      <c r="N33" t="s">
        <v>57</v>
      </c>
      <c r="O33">
        <v>1</v>
      </c>
      <c r="P33" t="s">
        <v>53</v>
      </c>
      <c r="Q33" s="2">
        <v>0.39583333333333331</v>
      </c>
      <c r="R33">
        <f>-0.0000496001*3600</f>
        <v>-0.17856036</v>
      </c>
      <c r="S33">
        <f>-0.0012637538*3600</f>
        <v>-4.5495136799999996</v>
      </c>
    </row>
    <row r="34" spans="1:19" x14ac:dyDescent="0.3">
      <c r="A34" s="4" t="s">
        <v>47</v>
      </c>
      <c r="B34" t="s">
        <v>58</v>
      </c>
      <c r="C34">
        <v>297.08441299999998</v>
      </c>
      <c r="D34">
        <v>100.46301099999999</v>
      </c>
      <c r="E34">
        <v>71.080299999999994</v>
      </c>
      <c r="F34">
        <v>71.066199999999995</v>
      </c>
      <c r="G34">
        <v>0.23899999999999999</v>
      </c>
      <c r="H34">
        <v>0.24399999999999999</v>
      </c>
      <c r="J34" t="s">
        <v>0</v>
      </c>
      <c r="K34" t="s">
        <v>50</v>
      </c>
      <c r="L34" t="s">
        <v>51</v>
      </c>
      <c r="M34">
        <v>0</v>
      </c>
      <c r="N34" t="s">
        <v>57</v>
      </c>
      <c r="O34">
        <v>1</v>
      </c>
      <c r="P34" t="s">
        <v>53</v>
      </c>
      <c r="Q34" s="2">
        <v>0.39583333333333331</v>
      </c>
      <c r="R34">
        <f>-0.0007500426*3600</f>
        <v>-2.7001533599999998</v>
      </c>
      <c r="S34">
        <f>0.0016857493*3600</f>
        <v>6.06869748</v>
      </c>
    </row>
    <row r="35" spans="1:19" x14ac:dyDescent="0.3">
      <c r="A35" s="4" t="s">
        <v>47</v>
      </c>
      <c r="B35" t="s">
        <v>58</v>
      </c>
      <c r="C35">
        <v>97.084160999999995</v>
      </c>
      <c r="D35">
        <v>299.53755100000001</v>
      </c>
      <c r="E35">
        <v>71.080299999999994</v>
      </c>
      <c r="F35">
        <v>71.066199999999995</v>
      </c>
      <c r="G35">
        <v>0.23899999999999999</v>
      </c>
      <c r="H35">
        <v>0.24399999999999999</v>
      </c>
      <c r="J35" t="s">
        <v>0</v>
      </c>
      <c r="K35" t="s">
        <v>50</v>
      </c>
      <c r="L35" t="s">
        <v>51</v>
      </c>
      <c r="M35">
        <v>0</v>
      </c>
      <c r="N35" t="s">
        <v>57</v>
      </c>
      <c r="O35">
        <v>1</v>
      </c>
      <c r="P35" t="s">
        <v>53</v>
      </c>
      <c r="Q35" s="2">
        <v>0.39583333333333331</v>
      </c>
      <c r="R35">
        <f>-0.0006693493*3600</f>
        <v>-2.4096574799999999</v>
      </c>
      <c r="S35">
        <f>0.0017675098*3600</f>
        <v>6.3630352800000001</v>
      </c>
    </row>
    <row r="36" spans="1:19" x14ac:dyDescent="0.3">
      <c r="A36" s="4" t="s">
        <v>47</v>
      </c>
      <c r="B36" t="s">
        <v>58</v>
      </c>
      <c r="C36">
        <v>297.084654</v>
      </c>
      <c r="D36">
        <v>100.46266900000001</v>
      </c>
      <c r="E36">
        <v>71.080399999999997</v>
      </c>
      <c r="F36">
        <v>71.066299999999998</v>
      </c>
      <c r="G36">
        <v>0.23899999999999999</v>
      </c>
      <c r="H36">
        <v>0.24399999999999999</v>
      </c>
      <c r="J36" t="s">
        <v>0</v>
      </c>
      <c r="K36" t="s">
        <v>50</v>
      </c>
      <c r="L36" t="s">
        <v>51</v>
      </c>
      <c r="M36">
        <v>0</v>
      </c>
      <c r="N36" t="s">
        <v>57</v>
      </c>
      <c r="O36">
        <v>1</v>
      </c>
      <c r="P36" t="s">
        <v>53</v>
      </c>
      <c r="Q36" s="2">
        <v>0.39583333333333331</v>
      </c>
      <c r="R36">
        <f>-0.0006770428*3600</f>
        <v>-2.43735408</v>
      </c>
      <c r="S36">
        <f>0.0017328829*3600</f>
        <v>6.23837844</v>
      </c>
    </row>
    <row r="37" spans="1:19" x14ac:dyDescent="0.3">
      <c r="A37" s="4" t="s">
        <v>47</v>
      </c>
      <c r="B37" t="s">
        <v>58</v>
      </c>
      <c r="C37">
        <v>97.084129000000004</v>
      </c>
      <c r="D37">
        <v>299.53730999999999</v>
      </c>
      <c r="E37">
        <v>71.080100000000002</v>
      </c>
      <c r="F37">
        <v>71.066000000000003</v>
      </c>
      <c r="G37">
        <v>0.23899999999999999</v>
      </c>
      <c r="H37">
        <v>0.24399999999999999</v>
      </c>
      <c r="J37" t="s">
        <v>0</v>
      </c>
      <c r="K37" t="s">
        <v>50</v>
      </c>
      <c r="L37" t="s">
        <v>51</v>
      </c>
      <c r="M37">
        <v>0</v>
      </c>
      <c r="N37" t="s">
        <v>57</v>
      </c>
      <c r="O37">
        <v>1</v>
      </c>
      <c r="P37" t="s">
        <v>53</v>
      </c>
      <c r="Q37" s="2">
        <v>0.39583333333333331</v>
      </c>
      <c r="R37">
        <f>-0.0001264548*3600</f>
        <v>-0.45523727999999997</v>
      </c>
      <c r="S37">
        <f>-0.0013244179*3600</f>
        <v>-4.7679044399999997</v>
      </c>
    </row>
    <row r="38" spans="1:19" x14ac:dyDescent="0.3">
      <c r="A38" s="4" t="s">
        <v>47</v>
      </c>
      <c r="B38" t="s">
        <v>58</v>
      </c>
      <c r="C38">
        <v>297.08626199999998</v>
      </c>
      <c r="D38">
        <v>100.462598</v>
      </c>
      <c r="E38">
        <v>71.080699999999993</v>
      </c>
      <c r="F38">
        <v>71.066599999999994</v>
      </c>
      <c r="G38">
        <v>0.23899999999999999</v>
      </c>
      <c r="H38">
        <v>0.24399999999999999</v>
      </c>
      <c r="J38" t="s">
        <v>0</v>
      </c>
      <c r="K38" t="s">
        <v>50</v>
      </c>
      <c r="L38" t="s">
        <v>51</v>
      </c>
      <c r="M38">
        <v>0</v>
      </c>
      <c r="N38" t="s">
        <v>57</v>
      </c>
      <c r="O38">
        <v>1</v>
      </c>
      <c r="P38" t="s">
        <v>53</v>
      </c>
      <c r="Q38" s="2">
        <v>0.39652777777777781</v>
      </c>
      <c r="R38">
        <f>-0.0007972745*3600</f>
        <v>-2.8701881999999999</v>
      </c>
      <c r="S38">
        <f>0.0018706732*3600</f>
        <v>6.73442352</v>
      </c>
    </row>
    <row r="39" spans="1:19" x14ac:dyDescent="0.3">
      <c r="A39" s="4" t="s">
        <v>47</v>
      </c>
      <c r="B39" t="s">
        <v>58</v>
      </c>
      <c r="C39">
        <v>97.085587000000004</v>
      </c>
      <c r="D39">
        <v>299.537373</v>
      </c>
      <c r="E39">
        <v>71.080200000000005</v>
      </c>
      <c r="F39">
        <v>71.066100000000006</v>
      </c>
      <c r="G39">
        <v>0.23899999999999999</v>
      </c>
      <c r="H39">
        <v>0.24399999999999999</v>
      </c>
      <c r="J39" t="s">
        <v>0</v>
      </c>
      <c r="K39" t="s">
        <v>50</v>
      </c>
      <c r="L39" t="s">
        <v>51</v>
      </c>
      <c r="M39">
        <v>0</v>
      </c>
      <c r="N39" t="s">
        <v>57</v>
      </c>
      <c r="O39">
        <v>1</v>
      </c>
      <c r="P39" t="s">
        <v>53</v>
      </c>
      <c r="Q39" s="2">
        <v>0.39652777777777781</v>
      </c>
      <c r="R39">
        <f>0.0001093987*3600</f>
        <v>0.39383531999999999</v>
      </c>
      <c r="S39">
        <f>-0.0011076604*3600</f>
        <v>-3.9875774399999999</v>
      </c>
    </row>
    <row r="40" spans="1:19" x14ac:dyDescent="0.3">
      <c r="A40" s="4" t="s">
        <v>47</v>
      </c>
      <c r="B40" t="s">
        <v>58</v>
      </c>
      <c r="C40">
        <v>297.08590800000002</v>
      </c>
      <c r="D40">
        <v>100.462456</v>
      </c>
      <c r="E40">
        <v>71.080299999999994</v>
      </c>
      <c r="F40">
        <v>71.066199999999995</v>
      </c>
      <c r="G40">
        <v>0.23899999999999999</v>
      </c>
      <c r="H40">
        <v>0.24399999999999999</v>
      </c>
      <c r="J40" t="s">
        <v>0</v>
      </c>
      <c r="K40" t="s">
        <v>50</v>
      </c>
      <c r="L40" t="s">
        <v>51</v>
      </c>
      <c r="M40">
        <v>0</v>
      </c>
      <c r="N40" t="s">
        <v>57</v>
      </c>
      <c r="O40">
        <v>1</v>
      </c>
      <c r="P40" t="s">
        <v>53</v>
      </c>
      <c r="Q40" s="2">
        <v>0.39652777777777781</v>
      </c>
      <c r="R40">
        <f>0.0001100653*3600</f>
        <v>0.39623508000000002</v>
      </c>
      <c r="S40">
        <f>-0.001097945*3600</f>
        <v>-3.9526019999999997</v>
      </c>
    </row>
    <row r="41" spans="1:19" x14ac:dyDescent="0.3">
      <c r="A41" s="4" t="s">
        <v>47</v>
      </c>
      <c r="B41" t="s">
        <v>58</v>
      </c>
      <c r="C41">
        <v>97.085362000000003</v>
      </c>
      <c r="D41">
        <v>299.537172</v>
      </c>
      <c r="E41">
        <v>71.080399999999997</v>
      </c>
      <c r="F41">
        <v>71.066299999999998</v>
      </c>
      <c r="G41">
        <v>0.23899999999999999</v>
      </c>
      <c r="H41">
        <v>0.24399999999999999</v>
      </c>
      <c r="J41" t="s">
        <v>0</v>
      </c>
      <c r="K41" t="s">
        <v>50</v>
      </c>
      <c r="L41" t="s">
        <v>51</v>
      </c>
      <c r="M41">
        <v>0</v>
      </c>
      <c r="N41" t="s">
        <v>57</v>
      </c>
      <c r="O41">
        <v>1</v>
      </c>
      <c r="P41" t="s">
        <v>53</v>
      </c>
      <c r="Q41" s="2">
        <v>0.39652777777777781</v>
      </c>
      <c r="R41">
        <f>0.0000567483*3600</f>
        <v>0.20429388000000001</v>
      </c>
      <c r="S41">
        <f>-0.0011360298*3600</f>
        <v>-4.0897072799999998</v>
      </c>
    </row>
    <row r="42" spans="1:19" x14ac:dyDescent="0.3">
      <c r="A42" s="4" t="s">
        <v>47</v>
      </c>
      <c r="B42" t="s">
        <v>58</v>
      </c>
      <c r="C42">
        <v>297.08561500000002</v>
      </c>
      <c r="D42">
        <v>100.46275</v>
      </c>
      <c r="E42">
        <v>71.080500000000001</v>
      </c>
      <c r="F42">
        <v>71.066400000000002</v>
      </c>
      <c r="G42">
        <v>0.23899999999999999</v>
      </c>
      <c r="H42">
        <v>0.24399999999999999</v>
      </c>
      <c r="J42" t="s">
        <v>0</v>
      </c>
      <c r="K42" t="s">
        <v>50</v>
      </c>
      <c r="L42" t="s">
        <v>51</v>
      </c>
      <c r="M42">
        <v>0</v>
      </c>
      <c r="N42" t="s">
        <v>57</v>
      </c>
      <c r="O42">
        <v>1</v>
      </c>
      <c r="P42" t="s">
        <v>53</v>
      </c>
      <c r="Q42" s="2">
        <v>0.39652777777777781</v>
      </c>
      <c r="R42">
        <f>-0.0008305583*3600</f>
        <v>-2.9900098800000001</v>
      </c>
      <c r="S42">
        <f>0.0016043726*3600</f>
        <v>5.7757413599999996</v>
      </c>
    </row>
    <row r="43" spans="1:19" x14ac:dyDescent="0.3">
      <c r="A43" s="4" t="s">
        <v>47</v>
      </c>
      <c r="B43" t="s">
        <v>58</v>
      </c>
      <c r="C43">
        <v>97.085127</v>
      </c>
      <c r="D43">
        <v>299.53733899999997</v>
      </c>
      <c r="E43">
        <v>71.080299999999994</v>
      </c>
      <c r="F43">
        <v>71.066199999999995</v>
      </c>
      <c r="G43">
        <v>0.23899999999999999</v>
      </c>
      <c r="H43">
        <v>0.24399999999999999</v>
      </c>
      <c r="J43" t="s">
        <v>0</v>
      </c>
      <c r="K43" t="s">
        <v>50</v>
      </c>
      <c r="L43" t="s">
        <v>51</v>
      </c>
      <c r="M43">
        <v>0</v>
      </c>
      <c r="N43" t="s">
        <v>57</v>
      </c>
      <c r="O43">
        <v>1</v>
      </c>
      <c r="P43" t="s">
        <v>53</v>
      </c>
      <c r="Q43" s="2">
        <v>0.39652777777777781</v>
      </c>
      <c r="R43">
        <f>-0.000811505*3600</f>
        <v>-2.9214180000000001</v>
      </c>
      <c r="S43">
        <f>0.0017126053*3600</f>
        <v>6.1653790800000001</v>
      </c>
    </row>
    <row r="44" spans="1:19" x14ac:dyDescent="0.3">
      <c r="A44" s="4" t="s">
        <v>47</v>
      </c>
      <c r="B44" t="s">
        <v>59</v>
      </c>
      <c r="C44">
        <v>298.75030700000002</v>
      </c>
      <c r="D44">
        <v>100.29347300000001</v>
      </c>
      <c r="E44">
        <v>90.327500000000001</v>
      </c>
      <c r="F44">
        <v>90.311000000000007</v>
      </c>
      <c r="G44">
        <v>0.23899999999999999</v>
      </c>
      <c r="H44">
        <v>0.24</v>
      </c>
      <c r="J44" t="s">
        <v>0</v>
      </c>
      <c r="K44" t="s">
        <v>50</v>
      </c>
      <c r="L44" t="s">
        <v>51</v>
      </c>
      <c r="M44">
        <v>0</v>
      </c>
      <c r="N44" t="s">
        <v>57</v>
      </c>
      <c r="O44">
        <v>1</v>
      </c>
      <c r="P44" t="s">
        <v>53</v>
      </c>
      <c r="Q44" s="2">
        <v>0.39652777777777781</v>
      </c>
      <c r="R44">
        <f>-0.0007857971*3600</f>
        <v>-2.8288695600000002</v>
      </c>
      <c r="S44">
        <f>0.0016663257*3600</f>
        <v>5.9987725200000002</v>
      </c>
    </row>
    <row r="45" spans="1:19" x14ac:dyDescent="0.3">
      <c r="A45" s="4" t="s">
        <v>47</v>
      </c>
      <c r="B45" t="s">
        <v>59</v>
      </c>
      <c r="C45">
        <v>98.750303000000002</v>
      </c>
      <c r="D45">
        <v>299.70702699999998</v>
      </c>
      <c r="E45">
        <v>90.327699999999993</v>
      </c>
      <c r="F45">
        <v>90.311199999999999</v>
      </c>
      <c r="G45">
        <v>0.23899999999999999</v>
      </c>
      <c r="H45">
        <v>0.24</v>
      </c>
      <c r="J45" t="s">
        <v>0</v>
      </c>
      <c r="K45" t="s">
        <v>50</v>
      </c>
      <c r="L45" t="s">
        <v>51</v>
      </c>
      <c r="M45">
        <v>0</v>
      </c>
      <c r="N45" t="s">
        <v>57</v>
      </c>
      <c r="O45">
        <v>1</v>
      </c>
      <c r="P45" t="s">
        <v>53</v>
      </c>
      <c r="Q45" s="2">
        <v>0.39652777777777781</v>
      </c>
      <c r="R45">
        <f>0.0000882688*3600</f>
        <v>0.31776768</v>
      </c>
      <c r="S45">
        <f>-0.0012185225*3600</f>
        <v>-4.3866810000000003</v>
      </c>
    </row>
    <row r="46" spans="1:19" x14ac:dyDescent="0.3">
      <c r="A46" s="4" t="s">
        <v>47</v>
      </c>
      <c r="B46" t="s">
        <v>59</v>
      </c>
      <c r="C46">
        <v>298.75028700000001</v>
      </c>
      <c r="D46">
        <v>100.293172</v>
      </c>
      <c r="E46">
        <v>90.327699999999993</v>
      </c>
      <c r="F46">
        <v>90.311199999999999</v>
      </c>
      <c r="G46">
        <v>0.23899999999999999</v>
      </c>
      <c r="H46">
        <v>0.24</v>
      </c>
      <c r="J46" t="s">
        <v>0</v>
      </c>
      <c r="K46" t="s">
        <v>50</v>
      </c>
      <c r="L46" t="s">
        <v>51</v>
      </c>
      <c r="M46">
        <v>0</v>
      </c>
      <c r="N46" t="s">
        <v>57</v>
      </c>
      <c r="O46">
        <v>1</v>
      </c>
      <c r="P46" t="s">
        <v>53</v>
      </c>
      <c r="Q46" s="2">
        <v>0.3972222222222222</v>
      </c>
      <c r="R46">
        <f>-0.0007582229*3600</f>
        <v>-2.7296024399999999</v>
      </c>
      <c r="S46">
        <f>0.0018039031*3600</f>
        <v>6.4940511599999997</v>
      </c>
    </row>
    <row r="47" spans="1:19" x14ac:dyDescent="0.3">
      <c r="A47" s="4" t="s">
        <v>47</v>
      </c>
      <c r="B47" t="s">
        <v>59</v>
      </c>
      <c r="C47">
        <v>98.750335000000007</v>
      </c>
      <c r="D47">
        <v>299.70687199999998</v>
      </c>
      <c r="E47">
        <v>90.3279</v>
      </c>
      <c r="F47">
        <v>90.311400000000006</v>
      </c>
      <c r="G47">
        <v>0.23899999999999999</v>
      </c>
      <c r="H47">
        <v>0.24</v>
      </c>
      <c r="J47" t="s">
        <v>0</v>
      </c>
      <c r="K47" t="s">
        <v>50</v>
      </c>
      <c r="L47" t="s">
        <v>51</v>
      </c>
      <c r="M47">
        <v>0</v>
      </c>
      <c r="N47" t="s">
        <v>57</v>
      </c>
      <c r="O47">
        <v>1</v>
      </c>
      <c r="P47" t="s">
        <v>53</v>
      </c>
      <c r="Q47" s="2">
        <v>0.3972222222222222</v>
      </c>
      <c r="R47">
        <f>0.0002184456*3600</f>
        <v>0.78640415999999991</v>
      </c>
      <c r="S47">
        <f>-0.0010042247*3600</f>
        <v>-3.6152089199999997</v>
      </c>
    </row>
    <row r="48" spans="1:19" x14ac:dyDescent="0.3">
      <c r="A48" s="4" t="s">
        <v>47</v>
      </c>
      <c r="B48" t="s">
        <v>59</v>
      </c>
      <c r="C48">
        <v>298.75027</v>
      </c>
      <c r="D48">
        <v>100.293059</v>
      </c>
      <c r="E48">
        <v>90.3279</v>
      </c>
      <c r="F48">
        <v>90.311400000000006</v>
      </c>
      <c r="G48">
        <v>0.23899999999999999</v>
      </c>
      <c r="H48">
        <v>0.24</v>
      </c>
      <c r="J48" t="s">
        <v>0</v>
      </c>
      <c r="K48" t="s">
        <v>50</v>
      </c>
      <c r="L48" t="s">
        <v>51</v>
      </c>
      <c r="M48">
        <v>0</v>
      </c>
      <c r="N48" t="s">
        <v>57</v>
      </c>
      <c r="O48">
        <v>1</v>
      </c>
      <c r="P48" t="s">
        <v>53</v>
      </c>
      <c r="Q48" s="2">
        <v>0.3972222222222222</v>
      </c>
      <c r="R48">
        <f>0.0001150009*3600</f>
        <v>0.41400323999999999</v>
      </c>
      <c r="S48">
        <f>-0.001056485*3600</f>
        <v>-3.8033459999999999</v>
      </c>
    </row>
    <row r="49" spans="1:19" x14ac:dyDescent="0.3">
      <c r="A49" s="4" t="s">
        <v>47</v>
      </c>
      <c r="B49" t="s">
        <v>59</v>
      </c>
      <c r="C49">
        <v>98.750471000000005</v>
      </c>
      <c r="D49">
        <v>299.70678800000002</v>
      </c>
      <c r="E49">
        <v>90.327699999999993</v>
      </c>
      <c r="F49">
        <v>90.311199999999999</v>
      </c>
      <c r="G49">
        <v>0.23899999999999999</v>
      </c>
      <c r="H49">
        <v>0.24</v>
      </c>
      <c r="J49" t="s">
        <v>0</v>
      </c>
      <c r="K49" t="s">
        <v>50</v>
      </c>
      <c r="L49" t="s">
        <v>51</v>
      </c>
      <c r="M49">
        <v>0</v>
      </c>
      <c r="N49" t="s">
        <v>57</v>
      </c>
      <c r="O49">
        <v>1</v>
      </c>
      <c r="P49" t="s">
        <v>53</v>
      </c>
      <c r="Q49" s="2">
        <v>0.3972222222222222</v>
      </c>
      <c r="R49">
        <f>0.0001931515*3600</f>
        <v>0.6953454</v>
      </c>
      <c r="S49">
        <f>-0.0010519238*3600</f>
        <v>-3.78692568</v>
      </c>
    </row>
    <row r="50" spans="1:19" x14ac:dyDescent="0.3">
      <c r="A50" s="4" t="s">
        <v>47</v>
      </c>
      <c r="B50" t="s">
        <v>59</v>
      </c>
      <c r="C50">
        <v>298.75061699999998</v>
      </c>
      <c r="D50">
        <v>100.29329</v>
      </c>
      <c r="E50">
        <v>90.327600000000004</v>
      </c>
      <c r="F50">
        <v>90.311099999999996</v>
      </c>
      <c r="G50">
        <v>0.23899999999999999</v>
      </c>
      <c r="H50">
        <v>0.24</v>
      </c>
      <c r="J50" t="s">
        <v>0</v>
      </c>
      <c r="K50" t="s">
        <v>50</v>
      </c>
      <c r="L50" t="s">
        <v>51</v>
      </c>
      <c r="M50">
        <v>0</v>
      </c>
      <c r="N50" t="s">
        <v>57</v>
      </c>
      <c r="O50">
        <v>1</v>
      </c>
      <c r="P50" t="s">
        <v>53</v>
      </c>
      <c r="Q50" s="2">
        <v>0.3972222222222222</v>
      </c>
      <c r="R50">
        <f>-0.0009163302*3600</f>
        <v>-3.2987887200000001</v>
      </c>
      <c r="S50">
        <f>0.0014850376*3600</f>
        <v>5.3461353599999999</v>
      </c>
    </row>
    <row r="51" spans="1:19" x14ac:dyDescent="0.3">
      <c r="A51" s="4" t="s">
        <v>47</v>
      </c>
      <c r="B51" t="s">
        <v>59</v>
      </c>
      <c r="C51">
        <v>98.750276999999997</v>
      </c>
      <c r="D51">
        <v>299.70687299999997</v>
      </c>
      <c r="E51">
        <v>90.327699999999993</v>
      </c>
      <c r="F51">
        <v>90.311199999999999</v>
      </c>
      <c r="G51">
        <v>0.23899999999999999</v>
      </c>
      <c r="H51">
        <v>0.24</v>
      </c>
      <c r="J51" t="s">
        <v>0</v>
      </c>
      <c r="K51" t="s">
        <v>50</v>
      </c>
      <c r="L51" t="s">
        <v>51</v>
      </c>
      <c r="M51">
        <v>0</v>
      </c>
      <c r="N51" t="s">
        <v>57</v>
      </c>
      <c r="O51">
        <v>1</v>
      </c>
      <c r="P51" t="s">
        <v>53</v>
      </c>
      <c r="Q51" s="2">
        <v>0.3972222222222222</v>
      </c>
      <c r="R51">
        <f>-0.0008536838*3600</f>
        <v>-3.0732616799999999</v>
      </c>
      <c r="S51">
        <f>0.0015328741*3600</f>
        <v>5.51834676</v>
      </c>
    </row>
    <row r="52" spans="1:19" x14ac:dyDescent="0.3">
      <c r="A52" s="4" t="s">
        <v>47</v>
      </c>
      <c r="B52" t="s">
        <v>59</v>
      </c>
      <c r="C52">
        <v>298.75163700000002</v>
      </c>
      <c r="D52">
        <v>100.29280300000001</v>
      </c>
      <c r="E52">
        <v>90.328100000000006</v>
      </c>
      <c r="F52">
        <v>90.311599999999999</v>
      </c>
      <c r="G52">
        <v>0.23899999999999999</v>
      </c>
      <c r="H52">
        <v>0.24</v>
      </c>
      <c r="J52" t="s">
        <v>0</v>
      </c>
      <c r="K52" t="s">
        <v>50</v>
      </c>
      <c r="L52" t="s">
        <v>51</v>
      </c>
      <c r="M52">
        <v>0</v>
      </c>
      <c r="N52" t="s">
        <v>57</v>
      </c>
      <c r="O52">
        <v>1</v>
      </c>
      <c r="P52" t="s">
        <v>53</v>
      </c>
      <c r="Q52" s="2">
        <v>0.3972222222222222</v>
      </c>
      <c r="R52">
        <f>-0.0008177763*3600</f>
        <v>-2.9439946799999999</v>
      </c>
      <c r="S52">
        <f>0.0015868246*3600</f>
        <v>5.7125685599999994</v>
      </c>
    </row>
    <row r="53" spans="1:19" x14ac:dyDescent="0.3">
      <c r="A53" s="4" t="s">
        <v>47</v>
      </c>
      <c r="B53" t="s">
        <v>59</v>
      </c>
      <c r="C53">
        <v>98.751536999999999</v>
      </c>
      <c r="D53">
        <v>299.707019</v>
      </c>
      <c r="E53">
        <v>90.327699999999993</v>
      </c>
      <c r="F53">
        <v>90.311199999999999</v>
      </c>
      <c r="G53">
        <v>0.23899999999999999</v>
      </c>
      <c r="H53">
        <v>0.24</v>
      </c>
      <c r="J53" t="s">
        <v>0</v>
      </c>
      <c r="K53" t="s">
        <v>50</v>
      </c>
      <c r="L53" t="s">
        <v>51</v>
      </c>
      <c r="M53">
        <v>0</v>
      </c>
      <c r="N53" t="s">
        <v>57</v>
      </c>
      <c r="O53">
        <v>1</v>
      </c>
      <c r="P53" t="s">
        <v>53</v>
      </c>
      <c r="Q53" s="2">
        <v>0.3972222222222222</v>
      </c>
      <c r="R53">
        <f>0.0001432558*3600</f>
        <v>0.51572088000000005</v>
      </c>
      <c r="S53">
        <f>-0.0012407955*3600</f>
        <v>-4.4668637999999996</v>
      </c>
    </row>
    <row r="54" spans="1:19" x14ac:dyDescent="0.3">
      <c r="A54" s="4" t="s">
        <v>47</v>
      </c>
      <c r="B54" t="s">
        <v>59</v>
      </c>
      <c r="C54">
        <v>298.75130999999999</v>
      </c>
      <c r="D54">
        <v>100.292711</v>
      </c>
      <c r="E54">
        <v>90.327799999999996</v>
      </c>
      <c r="F54">
        <v>90.311300000000003</v>
      </c>
      <c r="G54">
        <v>0.23899999999999999</v>
      </c>
      <c r="H54">
        <v>0.24</v>
      </c>
      <c r="J54" t="s">
        <v>0</v>
      </c>
      <c r="K54" t="s">
        <v>50</v>
      </c>
      <c r="L54" t="s">
        <v>51</v>
      </c>
      <c r="M54">
        <v>0</v>
      </c>
      <c r="N54" t="s">
        <v>57</v>
      </c>
      <c r="O54">
        <v>1</v>
      </c>
      <c r="P54" t="s">
        <v>53</v>
      </c>
      <c r="Q54" s="2">
        <v>0.3979166666666667</v>
      </c>
      <c r="R54">
        <f>-0.0005417784*3600</f>
        <v>-1.9504022399999998</v>
      </c>
      <c r="S54">
        <f>0.0017333047*3600</f>
        <v>6.2398969199999996</v>
      </c>
    </row>
    <row r="55" spans="1:19" x14ac:dyDescent="0.3">
      <c r="A55" s="4" t="s">
        <v>47</v>
      </c>
      <c r="B55" t="s">
        <v>59</v>
      </c>
      <c r="C55">
        <v>98.751512000000005</v>
      </c>
      <c r="D55">
        <v>299.70691399999998</v>
      </c>
      <c r="E55">
        <v>90.327799999999996</v>
      </c>
      <c r="F55">
        <v>90.311300000000003</v>
      </c>
      <c r="G55">
        <v>0.23899999999999999</v>
      </c>
      <c r="H55">
        <v>0.24</v>
      </c>
      <c r="J55" t="s">
        <v>0</v>
      </c>
      <c r="K55" t="s">
        <v>50</v>
      </c>
      <c r="L55" t="s">
        <v>51</v>
      </c>
      <c r="M55">
        <v>0</v>
      </c>
      <c r="N55" t="s">
        <v>57</v>
      </c>
      <c r="O55">
        <v>1</v>
      </c>
      <c r="P55" t="s">
        <v>53</v>
      </c>
      <c r="Q55" s="2">
        <v>0.3979166666666667</v>
      </c>
      <c r="R55">
        <f>0.000127948*3600</f>
        <v>0.46061279999999993</v>
      </c>
      <c r="S55">
        <f>-0.0009796602*3600</f>
        <v>-3.5267767200000004</v>
      </c>
    </row>
    <row r="56" spans="1:19" x14ac:dyDescent="0.3">
      <c r="A56" s="4" t="s">
        <v>47</v>
      </c>
      <c r="B56" t="s">
        <v>59</v>
      </c>
      <c r="C56">
        <v>298.75136400000002</v>
      </c>
      <c r="D56">
        <v>100.29292</v>
      </c>
      <c r="E56">
        <v>90.328000000000003</v>
      </c>
      <c r="F56">
        <v>90.311499999999995</v>
      </c>
      <c r="G56">
        <v>0.23899999999999999</v>
      </c>
      <c r="H56">
        <v>0.24</v>
      </c>
      <c r="J56" t="s">
        <v>0</v>
      </c>
      <c r="K56" t="s">
        <v>50</v>
      </c>
      <c r="L56" t="s">
        <v>51</v>
      </c>
      <c r="M56">
        <v>0</v>
      </c>
      <c r="N56" t="s">
        <v>57</v>
      </c>
      <c r="O56">
        <v>1</v>
      </c>
      <c r="P56" t="s">
        <v>53</v>
      </c>
      <c r="Q56" s="2">
        <v>0.3979166666666667</v>
      </c>
      <c r="R56">
        <f>0.0000703875*3600</f>
        <v>0.25339499999999998</v>
      </c>
      <c r="S56">
        <f>-0.0009909971*3600</f>
        <v>-3.56758956</v>
      </c>
    </row>
    <row r="57" spans="1:19" x14ac:dyDescent="0.3">
      <c r="A57" s="4" t="s">
        <v>47</v>
      </c>
      <c r="B57" t="s">
        <v>59</v>
      </c>
      <c r="C57">
        <v>98.751416000000006</v>
      </c>
      <c r="D57">
        <v>299.70644099999998</v>
      </c>
      <c r="E57">
        <v>90.327699999999993</v>
      </c>
      <c r="F57">
        <v>90.311199999999999</v>
      </c>
      <c r="G57">
        <v>0.23899999999999999</v>
      </c>
      <c r="H57">
        <v>0.24</v>
      </c>
      <c r="J57" t="s">
        <v>0</v>
      </c>
      <c r="K57" t="s">
        <v>50</v>
      </c>
      <c r="L57" t="s">
        <v>51</v>
      </c>
      <c r="M57">
        <v>0</v>
      </c>
      <c r="N57" t="s">
        <v>57</v>
      </c>
      <c r="O57">
        <v>1</v>
      </c>
      <c r="P57" t="s">
        <v>53</v>
      </c>
      <c r="Q57" s="2">
        <v>0.3979166666666667</v>
      </c>
      <c r="R57">
        <f>0.0001513389*3600</f>
        <v>0.54482004000000006</v>
      </c>
      <c r="S57">
        <f>-0.0009671438*3600</f>
        <v>-3.48171768</v>
      </c>
    </row>
    <row r="58" spans="1:19" x14ac:dyDescent="0.3">
      <c r="A58" s="4" t="s">
        <v>47</v>
      </c>
      <c r="B58" t="s">
        <v>59</v>
      </c>
      <c r="C58">
        <v>298.75228399999997</v>
      </c>
      <c r="D58">
        <v>100.29275800000001</v>
      </c>
      <c r="E58">
        <v>90.3279</v>
      </c>
      <c r="F58">
        <v>90.311400000000006</v>
      </c>
      <c r="G58">
        <v>0.23899999999999999</v>
      </c>
      <c r="H58">
        <v>0.24</v>
      </c>
      <c r="J58" t="s">
        <v>0</v>
      </c>
      <c r="K58" t="s">
        <v>50</v>
      </c>
      <c r="L58" t="s">
        <v>51</v>
      </c>
      <c r="M58">
        <v>0</v>
      </c>
      <c r="N58" t="s">
        <v>57</v>
      </c>
      <c r="O58">
        <v>1</v>
      </c>
      <c r="P58" t="s">
        <v>53</v>
      </c>
      <c r="Q58" s="2">
        <v>0.3979166666666667</v>
      </c>
      <c r="R58">
        <f>-0.0008657394*3600</f>
        <v>-3.1166618399999999</v>
      </c>
      <c r="S58">
        <f>0.0014997729*3600</f>
        <v>5.3991824399999997</v>
      </c>
    </row>
    <row r="59" spans="1:19" x14ac:dyDescent="0.3">
      <c r="A59" s="4" t="s">
        <v>47</v>
      </c>
      <c r="B59" t="s">
        <v>59</v>
      </c>
      <c r="C59">
        <v>298.75217099999998</v>
      </c>
      <c r="D59">
        <v>100.29289799999999</v>
      </c>
      <c r="E59">
        <v>90.3279</v>
      </c>
      <c r="F59">
        <v>90.311400000000006</v>
      </c>
      <c r="G59">
        <v>0.23899999999999999</v>
      </c>
      <c r="H59">
        <v>0.24</v>
      </c>
      <c r="J59" t="s">
        <v>0</v>
      </c>
      <c r="K59" t="s">
        <v>50</v>
      </c>
      <c r="L59" t="s">
        <v>51</v>
      </c>
      <c r="M59">
        <v>0</v>
      </c>
      <c r="N59" t="s">
        <v>57</v>
      </c>
      <c r="O59">
        <v>1</v>
      </c>
      <c r="P59" t="s">
        <v>53</v>
      </c>
      <c r="Q59" s="2">
        <v>0.3979166666666667</v>
      </c>
      <c r="R59">
        <f>-0.0008576443*3600</f>
        <v>-3.0875194799999996</v>
      </c>
      <c r="S59">
        <f>0.0015114685*3600</f>
        <v>5.4412865999999998</v>
      </c>
    </row>
    <row r="60" spans="1:19" x14ac:dyDescent="0.3">
      <c r="A60" s="4" t="s">
        <v>47</v>
      </c>
      <c r="B60" t="s">
        <v>59</v>
      </c>
      <c r="C60">
        <v>98.751548999999997</v>
      </c>
      <c r="D60">
        <v>299.70675599999998</v>
      </c>
      <c r="E60">
        <v>90.327399999999997</v>
      </c>
      <c r="F60">
        <v>90.310900000000004</v>
      </c>
      <c r="G60">
        <v>0.23899999999999999</v>
      </c>
      <c r="H60">
        <v>0.24</v>
      </c>
      <c r="J60" t="s">
        <v>0</v>
      </c>
      <c r="K60" t="s">
        <v>50</v>
      </c>
      <c r="L60" t="s">
        <v>51</v>
      </c>
      <c r="M60">
        <v>0</v>
      </c>
      <c r="N60" t="s">
        <v>57</v>
      </c>
      <c r="O60">
        <v>1</v>
      </c>
      <c r="P60" t="s">
        <v>53</v>
      </c>
      <c r="Q60" s="2">
        <v>0.3979166666666667</v>
      </c>
      <c r="R60">
        <f>-0.0008046111*3600</f>
        <v>-2.8965999600000001</v>
      </c>
      <c r="S60">
        <f>0.0015703246*3600</f>
        <v>5.6531685600000001</v>
      </c>
    </row>
    <row r="61" spans="1:19" x14ac:dyDescent="0.3">
      <c r="A61" s="4" t="s">
        <v>47</v>
      </c>
      <c r="B61" t="s">
        <v>59</v>
      </c>
      <c r="C61">
        <v>98.751437999999993</v>
      </c>
      <c r="D61">
        <v>299.70700699999998</v>
      </c>
      <c r="E61">
        <v>90.327299999999994</v>
      </c>
      <c r="F61">
        <v>90.3108</v>
      </c>
      <c r="G61">
        <v>0.23899999999999999</v>
      </c>
      <c r="H61">
        <v>0.24</v>
      </c>
      <c r="J61" t="s">
        <v>0</v>
      </c>
      <c r="K61" t="s">
        <v>50</v>
      </c>
      <c r="L61" t="s">
        <v>51</v>
      </c>
      <c r="M61">
        <v>0</v>
      </c>
      <c r="N61" t="s">
        <v>57</v>
      </c>
      <c r="O61">
        <v>1</v>
      </c>
      <c r="P61" t="s">
        <v>53</v>
      </c>
      <c r="Q61" s="2">
        <v>0.3979166666666667</v>
      </c>
      <c r="R61">
        <f>0.0001324111*3600</f>
        <v>0.47667996000000001</v>
      </c>
      <c r="S61">
        <f>-0.0011900947*3600</f>
        <v>-4.28434092</v>
      </c>
    </row>
    <row r="62" spans="1:19" x14ac:dyDescent="0.3">
      <c r="A62" s="4" t="s">
        <v>47</v>
      </c>
      <c r="B62" t="s">
        <v>59</v>
      </c>
      <c r="C62">
        <v>98.750837000000004</v>
      </c>
      <c r="D62">
        <v>299.70691299999999</v>
      </c>
      <c r="E62">
        <v>90.327399999999997</v>
      </c>
      <c r="F62">
        <v>90.310900000000004</v>
      </c>
      <c r="G62">
        <v>0.23899999999999999</v>
      </c>
      <c r="H62">
        <v>0.24</v>
      </c>
      <c r="J62" t="s">
        <v>0</v>
      </c>
      <c r="K62" t="s">
        <v>61</v>
      </c>
      <c r="L62">
        <v>3.4000000000000002E-2</v>
      </c>
      <c r="M62" t="s">
        <v>52</v>
      </c>
      <c r="N62">
        <v>1</v>
      </c>
      <c r="O62" t="s">
        <v>53</v>
      </c>
      <c r="P62" s="2">
        <v>0.39930555555555558</v>
      </c>
      <c r="Q62">
        <f>0.0000209292*3600</f>
        <v>7.5345120000000002E-2</v>
      </c>
      <c r="R62">
        <f>-0.001540169*3600</f>
        <v>-5.5446084000000004</v>
      </c>
    </row>
    <row r="63" spans="1:19" x14ac:dyDescent="0.3">
      <c r="A63" s="4" t="s">
        <v>47</v>
      </c>
      <c r="B63" t="s">
        <v>59</v>
      </c>
      <c r="C63">
        <v>98.750967000000003</v>
      </c>
      <c r="D63">
        <v>299.70674100000002</v>
      </c>
      <c r="E63">
        <v>90.327500000000001</v>
      </c>
      <c r="F63">
        <v>90.311000000000007</v>
      </c>
      <c r="G63">
        <v>0.23899999999999999</v>
      </c>
      <c r="H63">
        <v>0.24</v>
      </c>
      <c r="J63" t="s">
        <v>0</v>
      </c>
      <c r="K63" t="s">
        <v>61</v>
      </c>
      <c r="L63">
        <v>0</v>
      </c>
      <c r="M63" t="s">
        <v>52</v>
      </c>
      <c r="N63">
        <v>1</v>
      </c>
      <c r="O63" t="s">
        <v>63</v>
      </c>
      <c r="P63" s="2">
        <v>0.39999999999999997</v>
      </c>
      <c r="Q63">
        <f>-0.0002272748*3600</f>
        <v>-0.81818928000000002</v>
      </c>
      <c r="R63">
        <f>-0.0013368616*3600</f>
        <v>-4.8127017599999995</v>
      </c>
    </row>
    <row r="64" spans="1:19" x14ac:dyDescent="0.3">
      <c r="A64" s="4" t="s">
        <v>47</v>
      </c>
      <c r="B64" t="s">
        <v>59</v>
      </c>
      <c r="C64">
        <v>98.750866000000002</v>
      </c>
      <c r="D64">
        <v>299.707178</v>
      </c>
      <c r="E64">
        <v>90.327500000000001</v>
      </c>
      <c r="F64">
        <v>90.311000000000007</v>
      </c>
      <c r="G64">
        <v>0.23899999999999999</v>
      </c>
      <c r="H64">
        <v>0.24</v>
      </c>
      <c r="J64" t="s">
        <v>0</v>
      </c>
      <c r="K64" t="s">
        <v>61</v>
      </c>
      <c r="L64">
        <v>0</v>
      </c>
      <c r="M64" t="s">
        <v>52</v>
      </c>
      <c r="N64">
        <v>1</v>
      </c>
      <c r="O64" t="s">
        <v>63</v>
      </c>
      <c r="P64" s="2">
        <v>0.40069444444444446</v>
      </c>
      <c r="Q64">
        <f>-0.0000608684*3600</f>
        <v>-0.21912624</v>
      </c>
      <c r="R64">
        <f>-0.0011480471*3600</f>
        <v>-4.1329695599999994</v>
      </c>
    </row>
    <row r="65" spans="1:18" x14ac:dyDescent="0.3">
      <c r="A65" s="4" t="s">
        <v>47</v>
      </c>
      <c r="B65" t="s">
        <v>59</v>
      </c>
      <c r="C65">
        <v>98.751589999999993</v>
      </c>
      <c r="D65">
        <v>299.70683000000002</v>
      </c>
      <c r="E65">
        <v>90.327299999999994</v>
      </c>
      <c r="F65">
        <v>90.3108</v>
      </c>
      <c r="G65">
        <v>0.23899999999999999</v>
      </c>
      <c r="H65">
        <v>0.24</v>
      </c>
      <c r="J65" t="s">
        <v>0</v>
      </c>
      <c r="K65" t="s">
        <v>61</v>
      </c>
      <c r="L65">
        <v>0</v>
      </c>
      <c r="M65" t="s">
        <v>52</v>
      </c>
      <c r="N65">
        <v>1</v>
      </c>
      <c r="O65" t="s">
        <v>63</v>
      </c>
      <c r="P65" s="2">
        <v>0.40069444444444446</v>
      </c>
      <c r="Q65">
        <f>-0.000060685*3600</f>
        <v>-0.21846599999999999</v>
      </c>
      <c r="R65">
        <f>-0.0016761107*3600</f>
        <v>-6.0339985199999999</v>
      </c>
    </row>
    <row r="66" spans="1:18" x14ac:dyDescent="0.3">
      <c r="A66" s="4" t="s">
        <v>47</v>
      </c>
      <c r="B66" t="s">
        <v>59</v>
      </c>
      <c r="C66">
        <v>98.751755000000003</v>
      </c>
      <c r="D66">
        <v>299.70690100000002</v>
      </c>
      <c r="E66">
        <v>90.327399999999997</v>
      </c>
      <c r="F66">
        <v>90.310900000000004</v>
      </c>
      <c r="G66">
        <v>0.23899999999999999</v>
      </c>
      <c r="H66">
        <v>0.24</v>
      </c>
      <c r="J66" t="s">
        <v>0</v>
      </c>
      <c r="K66" t="s">
        <v>61</v>
      </c>
      <c r="L66">
        <v>0</v>
      </c>
      <c r="M66" t="s">
        <v>52</v>
      </c>
      <c r="N66">
        <v>1</v>
      </c>
      <c r="O66" t="s">
        <v>63</v>
      </c>
      <c r="P66" s="2">
        <v>0.40069444444444446</v>
      </c>
      <c r="Q66">
        <f>-0.0001794263*3600</f>
        <v>-0.64593467999999998</v>
      </c>
      <c r="R66">
        <f>-0.0018389408*3600</f>
        <v>-6.6201868799999994</v>
      </c>
    </row>
    <row r="67" spans="1:18" x14ac:dyDescent="0.3">
      <c r="A67" s="4" t="s">
        <v>47</v>
      </c>
      <c r="B67" t="s">
        <v>59</v>
      </c>
      <c r="C67">
        <v>98.751472000000007</v>
      </c>
      <c r="D67">
        <v>299.70686599999999</v>
      </c>
      <c r="E67">
        <v>90.327399999999997</v>
      </c>
      <c r="F67">
        <v>90.310900000000004</v>
      </c>
      <c r="G67">
        <v>0.23899999999999999</v>
      </c>
      <c r="H67">
        <v>0.24</v>
      </c>
      <c r="J67" t="s">
        <v>0</v>
      </c>
      <c r="K67" t="s">
        <v>61</v>
      </c>
      <c r="L67">
        <v>0</v>
      </c>
      <c r="M67" t="s">
        <v>52</v>
      </c>
      <c r="N67">
        <v>1</v>
      </c>
      <c r="O67" t="s">
        <v>63</v>
      </c>
      <c r="P67" s="2">
        <v>0.40069444444444446</v>
      </c>
      <c r="Q67">
        <f>-0.0002323344*3600</f>
        <v>-0.83640384000000001</v>
      </c>
      <c r="R67">
        <f>-0.0018808275*3600</f>
        <v>-6.7709789999999996</v>
      </c>
    </row>
    <row r="68" spans="1:18" x14ac:dyDescent="0.3">
      <c r="A68" s="4" t="s">
        <v>47</v>
      </c>
      <c r="B68" t="s">
        <v>59</v>
      </c>
      <c r="C68">
        <v>98.751570000000001</v>
      </c>
      <c r="D68">
        <v>299.70689599999997</v>
      </c>
      <c r="E68">
        <v>90.327200000000005</v>
      </c>
      <c r="F68">
        <v>90.310699999999997</v>
      </c>
      <c r="G68">
        <v>0.23899999999999999</v>
      </c>
      <c r="H68">
        <v>0.24</v>
      </c>
      <c r="J68" t="s">
        <v>0</v>
      </c>
      <c r="K68" t="s">
        <v>61</v>
      </c>
      <c r="L68">
        <v>0</v>
      </c>
      <c r="M68" t="s">
        <v>52</v>
      </c>
      <c r="N68">
        <v>1</v>
      </c>
      <c r="O68" t="s">
        <v>63</v>
      </c>
      <c r="P68" s="2">
        <v>0.40069444444444446</v>
      </c>
      <c r="Q68">
        <f>-0.0002402847*3600</f>
        <v>-0.86502491999999997</v>
      </c>
      <c r="R68">
        <f>-0.001859409*3600</f>
        <v>-6.6938724000000001</v>
      </c>
    </row>
    <row r="69" spans="1:18" x14ac:dyDescent="0.3">
      <c r="A69" s="4" t="s">
        <v>47</v>
      </c>
      <c r="B69" t="s">
        <v>59</v>
      </c>
      <c r="C69">
        <v>98.751801999999998</v>
      </c>
      <c r="D69">
        <v>299.70693199999999</v>
      </c>
      <c r="E69">
        <v>90.327399999999997</v>
      </c>
      <c r="F69">
        <v>90.310900000000004</v>
      </c>
      <c r="G69">
        <v>0.23899999999999999</v>
      </c>
      <c r="H69">
        <v>0.24</v>
      </c>
      <c r="J69" t="s">
        <v>0</v>
      </c>
      <c r="K69" t="s">
        <v>61</v>
      </c>
      <c r="L69">
        <v>0</v>
      </c>
      <c r="M69" t="s">
        <v>52</v>
      </c>
      <c r="N69">
        <v>1</v>
      </c>
      <c r="O69" t="s">
        <v>63</v>
      </c>
      <c r="P69" s="2">
        <v>0.40069444444444446</v>
      </c>
      <c r="Q69">
        <f>-0.0003492184*3600</f>
        <v>-1.25718624</v>
      </c>
      <c r="R69">
        <f>-0.002097275*3600</f>
        <v>-7.5501899999999997</v>
      </c>
    </row>
    <row r="70" spans="1:18" x14ac:dyDescent="0.3">
      <c r="A70" s="4" t="s">
        <v>47</v>
      </c>
      <c r="B70" t="s">
        <v>59</v>
      </c>
      <c r="C70">
        <v>298.752163</v>
      </c>
      <c r="D70">
        <v>100.292861</v>
      </c>
      <c r="E70">
        <v>90.327799999999996</v>
      </c>
      <c r="F70">
        <v>90.311300000000003</v>
      </c>
      <c r="G70">
        <v>0.23899999999999999</v>
      </c>
      <c r="H70">
        <v>0.24</v>
      </c>
      <c r="J70" t="s">
        <v>0</v>
      </c>
      <c r="K70" t="s">
        <v>61</v>
      </c>
      <c r="L70">
        <v>0</v>
      </c>
      <c r="M70" t="s">
        <v>52</v>
      </c>
      <c r="N70">
        <v>1</v>
      </c>
      <c r="O70" t="s">
        <v>63</v>
      </c>
      <c r="P70" s="2">
        <v>0.40138888888888885</v>
      </c>
      <c r="Q70">
        <f>-0.000420116*3600</f>
        <v>-1.5124176</v>
      </c>
      <c r="R70">
        <f>-0.0020661054*3600</f>
        <v>-7.4379794400000003</v>
      </c>
    </row>
    <row r="71" spans="1:18" x14ac:dyDescent="0.3">
      <c r="A71" s="4" t="s">
        <v>47</v>
      </c>
      <c r="B71" t="s">
        <v>59</v>
      </c>
      <c r="C71">
        <v>98.751266999999999</v>
      </c>
      <c r="D71">
        <v>299.70664599999998</v>
      </c>
      <c r="E71">
        <v>90.327299999999994</v>
      </c>
      <c r="F71">
        <v>90.3108</v>
      </c>
      <c r="G71">
        <v>0.23899999999999999</v>
      </c>
      <c r="H71">
        <v>0.24</v>
      </c>
      <c r="J71" t="s">
        <v>0</v>
      </c>
      <c r="K71" t="s">
        <v>61</v>
      </c>
      <c r="L71">
        <v>0</v>
      </c>
      <c r="M71" t="s">
        <v>52</v>
      </c>
      <c r="N71">
        <v>1</v>
      </c>
      <c r="O71" t="s">
        <v>63</v>
      </c>
      <c r="P71" s="2">
        <v>0.40138888888888885</v>
      </c>
      <c r="Q71">
        <f>-0.0004471347*3600</f>
        <v>-1.6096849199999999</v>
      </c>
      <c r="R71">
        <f>-0.0020690401*3600</f>
        <v>-7.4485443599999996</v>
      </c>
    </row>
    <row r="72" spans="1:18" x14ac:dyDescent="0.3">
      <c r="A72" s="4" t="s">
        <v>47</v>
      </c>
      <c r="B72" t="s">
        <v>59</v>
      </c>
      <c r="C72">
        <v>98.750968999999998</v>
      </c>
      <c r="D72">
        <v>299.70696199999998</v>
      </c>
      <c r="E72">
        <v>90.327299999999994</v>
      </c>
      <c r="F72">
        <v>90.3108</v>
      </c>
      <c r="G72">
        <v>0.23899999999999999</v>
      </c>
      <c r="H72">
        <v>0.24</v>
      </c>
      <c r="J72" t="s">
        <v>0</v>
      </c>
      <c r="K72" t="s">
        <v>61</v>
      </c>
      <c r="L72">
        <v>0</v>
      </c>
      <c r="M72" t="s">
        <v>52</v>
      </c>
      <c r="N72">
        <v>1</v>
      </c>
      <c r="O72" t="s">
        <v>63</v>
      </c>
      <c r="P72" s="2">
        <v>0.40138888888888885</v>
      </c>
      <c r="Q72">
        <f>-0.0003978641*3600</f>
        <v>-1.43231076</v>
      </c>
      <c r="R72">
        <f>-0.0020717857*3600</f>
        <v>-7.4584285199999991</v>
      </c>
    </row>
    <row r="73" spans="1:18" x14ac:dyDescent="0.3">
      <c r="A73" s="4" t="s">
        <v>47</v>
      </c>
      <c r="B73" t="s">
        <v>59</v>
      </c>
      <c r="C73">
        <v>98.751518000000004</v>
      </c>
      <c r="D73">
        <v>299.70687199999998</v>
      </c>
      <c r="E73">
        <v>90.327399999999997</v>
      </c>
      <c r="F73">
        <v>90.310900000000004</v>
      </c>
      <c r="G73">
        <v>0.23899999999999999</v>
      </c>
      <c r="H73">
        <v>0.24</v>
      </c>
      <c r="J73" t="s">
        <v>0</v>
      </c>
      <c r="K73" t="s">
        <v>61</v>
      </c>
      <c r="L73">
        <v>3.4000000000000002E-2</v>
      </c>
      <c r="M73" t="s">
        <v>52</v>
      </c>
      <c r="N73">
        <v>1</v>
      </c>
      <c r="O73" t="s">
        <v>53</v>
      </c>
      <c r="P73" s="2">
        <v>0.40138888888888885</v>
      </c>
      <c r="Q73">
        <f>-0.0003352705*3600</f>
        <v>-1.2069737999999999</v>
      </c>
      <c r="R73">
        <f>-0.0015233677*3600</f>
        <v>-5.4841237200000004</v>
      </c>
    </row>
    <row r="74" spans="1:18" x14ac:dyDescent="0.3">
      <c r="A74" s="4" t="s">
        <v>47</v>
      </c>
      <c r="B74" t="s">
        <v>59</v>
      </c>
      <c r="C74">
        <v>98.751598999999999</v>
      </c>
      <c r="D74">
        <v>299.70675999999997</v>
      </c>
      <c r="E74">
        <v>90.327299999999994</v>
      </c>
      <c r="F74">
        <v>90.3108</v>
      </c>
      <c r="G74">
        <v>0.23899999999999999</v>
      </c>
      <c r="H74">
        <v>0.24</v>
      </c>
      <c r="J74" t="s">
        <v>0</v>
      </c>
      <c r="K74" t="s">
        <v>61</v>
      </c>
      <c r="L74">
        <v>3.4000000000000002E-2</v>
      </c>
      <c r="M74" t="s">
        <v>52</v>
      </c>
      <c r="N74">
        <v>1</v>
      </c>
      <c r="O74" t="s">
        <v>53</v>
      </c>
      <c r="P74" s="2">
        <v>0.40208333333333335</v>
      </c>
      <c r="Q74">
        <f>-0.0003679842*3600</f>
        <v>-1.3247431199999999</v>
      </c>
      <c r="R74">
        <f>-0.0018272824*3600</f>
        <v>-6.5782166399999999</v>
      </c>
    </row>
    <row r="75" spans="1:18" x14ac:dyDescent="0.3">
      <c r="A75" s="4" t="s">
        <v>47</v>
      </c>
      <c r="B75" t="s">
        <v>59</v>
      </c>
      <c r="C75">
        <v>98.751542000000001</v>
      </c>
      <c r="D75">
        <v>299.70671800000002</v>
      </c>
      <c r="E75">
        <v>90.327500000000001</v>
      </c>
      <c r="F75">
        <v>90.311000000000007</v>
      </c>
      <c r="G75">
        <v>0.23899999999999999</v>
      </c>
      <c r="H75">
        <v>0.24</v>
      </c>
      <c r="J75" t="s">
        <v>0</v>
      </c>
      <c r="K75" t="s">
        <v>61</v>
      </c>
      <c r="L75">
        <v>0</v>
      </c>
      <c r="M75" t="s">
        <v>52</v>
      </c>
      <c r="N75">
        <v>1</v>
      </c>
      <c r="O75" t="s">
        <v>63</v>
      </c>
      <c r="P75" s="2">
        <v>0.40208333333333335</v>
      </c>
      <c r="Q75">
        <f>-0.0004522303*3600</f>
        <v>-1.6280290800000001</v>
      </c>
      <c r="R75">
        <f>-0.0019124444*3600</f>
        <v>-6.8847998400000003</v>
      </c>
    </row>
    <row r="76" spans="1:18" x14ac:dyDescent="0.3">
      <c r="A76" s="4" t="s">
        <v>47</v>
      </c>
      <c r="B76" t="s">
        <v>59</v>
      </c>
      <c r="C76">
        <v>98.751441999999997</v>
      </c>
      <c r="D76">
        <v>299.70701600000001</v>
      </c>
      <c r="E76">
        <v>90.327200000000005</v>
      </c>
      <c r="F76">
        <v>90.310699999999997</v>
      </c>
      <c r="G76">
        <v>0.23899999999999999</v>
      </c>
      <c r="H76">
        <v>0.24</v>
      </c>
      <c r="J76" t="s">
        <v>0</v>
      </c>
      <c r="K76" t="s">
        <v>61</v>
      </c>
      <c r="L76">
        <v>0</v>
      </c>
      <c r="M76" t="s">
        <v>52</v>
      </c>
      <c r="N76">
        <v>1</v>
      </c>
      <c r="O76" t="s">
        <v>63</v>
      </c>
      <c r="P76" s="2">
        <v>0.40208333333333335</v>
      </c>
      <c r="Q76">
        <f>-0.0005182293*3600</f>
        <v>-1.8656254800000001</v>
      </c>
      <c r="R76">
        <f>-0.0020756*3600</f>
        <v>-7.4721599999999997</v>
      </c>
    </row>
    <row r="77" spans="1:18" x14ac:dyDescent="0.3">
      <c r="A77" s="4" t="s">
        <v>47</v>
      </c>
      <c r="B77" t="s">
        <v>59</v>
      </c>
      <c r="C77">
        <v>98.751188999999997</v>
      </c>
      <c r="D77">
        <v>299.70685800000001</v>
      </c>
      <c r="E77">
        <v>90.327299999999994</v>
      </c>
      <c r="F77">
        <v>90.3108</v>
      </c>
      <c r="G77">
        <v>0.23899999999999999</v>
      </c>
      <c r="H77">
        <v>0.24</v>
      </c>
      <c r="J77" t="s">
        <v>0</v>
      </c>
      <c r="K77" t="s">
        <v>61</v>
      </c>
      <c r="L77">
        <v>0</v>
      </c>
      <c r="M77" t="s">
        <v>52</v>
      </c>
      <c r="N77">
        <v>1</v>
      </c>
      <c r="O77" t="s">
        <v>63</v>
      </c>
      <c r="P77" s="2">
        <v>0.40208333333333335</v>
      </c>
      <c r="Q77">
        <f>-0.0005552874*3600</f>
        <v>-1.9990346400000001</v>
      </c>
      <c r="R77">
        <f>-0.0020966076*3600</f>
        <v>-7.5477873600000001</v>
      </c>
    </row>
    <row r="78" spans="1:18" x14ac:dyDescent="0.3">
      <c r="A78" s="4" t="s">
        <v>47</v>
      </c>
      <c r="B78" t="s">
        <v>59</v>
      </c>
      <c r="C78">
        <v>98.751085000000003</v>
      </c>
      <c r="D78">
        <v>299.70705199999998</v>
      </c>
      <c r="E78">
        <v>90.327299999999994</v>
      </c>
      <c r="F78">
        <v>90.3108</v>
      </c>
      <c r="G78">
        <v>0.23899999999999999</v>
      </c>
      <c r="H78">
        <v>0.24</v>
      </c>
      <c r="J78" t="s">
        <v>0</v>
      </c>
      <c r="K78" t="s">
        <v>61</v>
      </c>
      <c r="L78">
        <v>0</v>
      </c>
      <c r="M78" t="s">
        <v>52</v>
      </c>
      <c r="N78">
        <v>1</v>
      </c>
      <c r="O78" t="s">
        <v>63</v>
      </c>
      <c r="P78" s="2">
        <v>0.40208333333333335</v>
      </c>
      <c r="Q78">
        <f>-0.0006582238*3600</f>
        <v>-2.3696056800000003</v>
      </c>
      <c r="R78">
        <f>-0.0023699217*3600</f>
        <v>-8.531718119999999</v>
      </c>
    </row>
    <row r="79" spans="1:18" x14ac:dyDescent="0.3">
      <c r="A79" s="4" t="s">
        <v>47</v>
      </c>
      <c r="B79" t="s">
        <v>59</v>
      </c>
      <c r="C79">
        <v>98.751223999999993</v>
      </c>
      <c r="D79">
        <v>299.70695899999998</v>
      </c>
      <c r="E79">
        <v>90.327399999999997</v>
      </c>
      <c r="F79">
        <v>90.310900000000004</v>
      </c>
      <c r="G79">
        <v>0.23899999999999999</v>
      </c>
      <c r="H79">
        <v>0.24</v>
      </c>
      <c r="J79" t="s">
        <v>0</v>
      </c>
      <c r="K79" t="s">
        <v>61</v>
      </c>
      <c r="L79">
        <v>0</v>
      </c>
      <c r="M79" t="s">
        <v>52</v>
      </c>
      <c r="N79">
        <v>1</v>
      </c>
      <c r="O79" t="s">
        <v>63</v>
      </c>
      <c r="P79" s="2">
        <v>0.40208333333333335</v>
      </c>
      <c r="Q79">
        <f>-0.0005941856*3600</f>
        <v>-2.1390681599999999</v>
      </c>
      <c r="R79">
        <f>-0.0023764423*3600</f>
        <v>-8.55519228</v>
      </c>
    </row>
    <row r="80" spans="1:18" x14ac:dyDescent="0.3">
      <c r="A80" s="4" t="s">
        <v>47</v>
      </c>
      <c r="B80" t="s">
        <v>59</v>
      </c>
      <c r="C80">
        <v>98.751846</v>
      </c>
      <c r="D80">
        <v>299.70686899999998</v>
      </c>
      <c r="E80">
        <v>90.327500000000001</v>
      </c>
      <c r="F80">
        <v>90.311000000000007</v>
      </c>
      <c r="G80">
        <v>0.23899999999999999</v>
      </c>
      <c r="H80">
        <v>0.24</v>
      </c>
      <c r="J80" t="s">
        <v>0</v>
      </c>
      <c r="K80" t="s">
        <v>61</v>
      </c>
      <c r="L80">
        <v>0</v>
      </c>
      <c r="M80" t="s">
        <v>52</v>
      </c>
      <c r="N80">
        <v>1</v>
      </c>
      <c r="O80" t="s">
        <v>63</v>
      </c>
      <c r="P80" s="2">
        <v>0.40208333333333335</v>
      </c>
      <c r="Q80">
        <f>-0.000729848*3600</f>
        <v>-2.6274527999999999</v>
      </c>
      <c r="R80">
        <f>-0.0023199246*3600</f>
        <v>-8.3517285599999997</v>
      </c>
    </row>
    <row r="81" spans="1:18" x14ac:dyDescent="0.3">
      <c r="A81" s="4" t="s">
        <v>47</v>
      </c>
      <c r="B81" t="s">
        <v>59</v>
      </c>
      <c r="C81">
        <v>298.75196899999997</v>
      </c>
      <c r="D81">
        <v>100.293038</v>
      </c>
      <c r="E81">
        <v>90.328100000000006</v>
      </c>
      <c r="F81">
        <v>90.311599999999999</v>
      </c>
      <c r="G81">
        <v>0.23899999999999999</v>
      </c>
      <c r="H81">
        <v>0.24</v>
      </c>
      <c r="J81" t="s">
        <v>0</v>
      </c>
      <c r="K81" t="s">
        <v>61</v>
      </c>
      <c r="L81">
        <v>0</v>
      </c>
      <c r="M81" t="s">
        <v>52</v>
      </c>
      <c r="N81">
        <v>1</v>
      </c>
      <c r="O81" t="s">
        <v>63</v>
      </c>
      <c r="P81" s="2">
        <v>0.40208333333333335</v>
      </c>
      <c r="Q81">
        <f>-0.0006968189*3600</f>
        <v>-2.50854804</v>
      </c>
      <c r="R81">
        <f>-0.0024297683*3600</f>
        <v>-8.7471658799999989</v>
      </c>
    </row>
    <row r="82" spans="1:18" x14ac:dyDescent="0.3">
      <c r="A82" s="4" t="s">
        <v>47</v>
      </c>
      <c r="B82" t="s">
        <v>59</v>
      </c>
      <c r="C82">
        <v>98.751470999999995</v>
      </c>
      <c r="D82">
        <v>299.70688100000001</v>
      </c>
      <c r="E82">
        <v>90.327100000000002</v>
      </c>
      <c r="F82">
        <v>90.310599999999994</v>
      </c>
      <c r="G82">
        <v>0.23899999999999999</v>
      </c>
      <c r="H82">
        <v>0.24</v>
      </c>
      <c r="J82" t="s">
        <v>0</v>
      </c>
      <c r="K82" t="s">
        <v>61</v>
      </c>
      <c r="L82">
        <v>0</v>
      </c>
      <c r="M82" t="s">
        <v>52</v>
      </c>
      <c r="N82">
        <v>1</v>
      </c>
      <c r="O82" t="s">
        <v>63</v>
      </c>
      <c r="P82" s="2">
        <v>0.40208333333333335</v>
      </c>
      <c r="Q82">
        <f>-0.0008323059*3600</f>
        <v>-2.9963012399999998</v>
      </c>
      <c r="R82">
        <f>-0.0020861878*3600</f>
        <v>-7.5102760800000006</v>
      </c>
    </row>
    <row r="83" spans="1:18" x14ac:dyDescent="0.3">
      <c r="A83" s="4" t="s">
        <v>47</v>
      </c>
      <c r="B83" t="s">
        <v>59</v>
      </c>
      <c r="C83">
        <v>98.751435000000001</v>
      </c>
      <c r="D83">
        <v>299.70693399999999</v>
      </c>
      <c r="E83">
        <v>90.327399999999997</v>
      </c>
      <c r="F83">
        <v>90.310900000000004</v>
      </c>
      <c r="G83">
        <v>0.23899999999999999</v>
      </c>
      <c r="H83">
        <v>0.24</v>
      </c>
      <c r="J83" t="s">
        <v>0</v>
      </c>
      <c r="K83" t="s">
        <v>61</v>
      </c>
      <c r="L83">
        <v>0</v>
      </c>
      <c r="M83" t="s">
        <v>52</v>
      </c>
      <c r="N83">
        <v>1</v>
      </c>
      <c r="O83" t="s">
        <v>63</v>
      </c>
      <c r="P83" s="2">
        <v>0.40277777777777773</v>
      </c>
      <c r="Q83">
        <f>-0.0007859768*3600</f>
        <v>-2.8295164800000001</v>
      </c>
      <c r="R83">
        <f>-0.0017268698*3600</f>
        <v>-6.2167312800000003</v>
      </c>
    </row>
    <row r="84" spans="1:18" x14ac:dyDescent="0.3">
      <c r="A84" s="4" t="s">
        <v>47</v>
      </c>
      <c r="B84" t="s">
        <v>59</v>
      </c>
      <c r="C84">
        <v>98.751096000000004</v>
      </c>
      <c r="D84">
        <v>299.70678199999998</v>
      </c>
      <c r="E84">
        <v>90.327399999999997</v>
      </c>
      <c r="F84">
        <v>90.310900000000004</v>
      </c>
      <c r="G84">
        <v>0.23899999999999999</v>
      </c>
      <c r="H84">
        <v>0.24</v>
      </c>
      <c r="J84" t="s">
        <v>0</v>
      </c>
      <c r="K84" t="s">
        <v>61</v>
      </c>
      <c r="L84">
        <v>0</v>
      </c>
      <c r="M84" t="s">
        <v>52</v>
      </c>
      <c r="N84">
        <v>1</v>
      </c>
      <c r="O84" t="s">
        <v>63</v>
      </c>
      <c r="P84" s="2">
        <v>0.40277777777777773</v>
      </c>
      <c r="Q84">
        <f>-0.000870293*3600</f>
        <v>-3.1330548</v>
      </c>
      <c r="R84">
        <f>-0.0023317816*3600</f>
        <v>-8.3944137600000008</v>
      </c>
    </row>
    <row r="85" spans="1:18" x14ac:dyDescent="0.3">
      <c r="A85" s="4" t="s">
        <v>47</v>
      </c>
      <c r="B85" t="s">
        <v>59</v>
      </c>
      <c r="C85">
        <v>98.751662999999994</v>
      </c>
      <c r="D85">
        <v>299.70694800000001</v>
      </c>
      <c r="E85">
        <v>90.327299999999994</v>
      </c>
      <c r="F85">
        <v>90.3108</v>
      </c>
      <c r="G85">
        <v>0.23899999999999999</v>
      </c>
      <c r="H85">
        <v>0.24</v>
      </c>
      <c r="J85" t="s">
        <v>0</v>
      </c>
      <c r="K85" t="s">
        <v>61</v>
      </c>
      <c r="L85">
        <v>0</v>
      </c>
      <c r="M85" t="s">
        <v>52</v>
      </c>
      <c r="N85">
        <v>1</v>
      </c>
      <c r="O85" t="s">
        <v>63</v>
      </c>
      <c r="P85" s="2">
        <v>0.40277777777777773</v>
      </c>
      <c r="Q85">
        <f>-0.0008320184*3600</f>
        <v>-2.9952662400000003</v>
      </c>
      <c r="R85">
        <f>-0.0022682978*3600</f>
        <v>-8.1658720799999998</v>
      </c>
    </row>
    <row r="86" spans="1:18" x14ac:dyDescent="0.3">
      <c r="A86" s="4" t="s">
        <v>47</v>
      </c>
      <c r="B86" t="s">
        <v>59</v>
      </c>
      <c r="C86">
        <v>98.751893999999993</v>
      </c>
      <c r="D86">
        <v>299.70673799999997</v>
      </c>
      <c r="E86">
        <v>90.327399999999997</v>
      </c>
      <c r="F86">
        <v>90.310900000000004</v>
      </c>
      <c r="G86">
        <v>0.23899999999999999</v>
      </c>
      <c r="H86">
        <v>0.24</v>
      </c>
      <c r="J86" t="s">
        <v>0</v>
      </c>
      <c r="K86" t="s">
        <v>61</v>
      </c>
      <c r="L86">
        <v>0</v>
      </c>
      <c r="M86" t="s">
        <v>52</v>
      </c>
      <c r="N86">
        <v>1</v>
      </c>
      <c r="O86" t="s">
        <v>63</v>
      </c>
      <c r="P86" s="2">
        <v>0.40277777777777773</v>
      </c>
      <c r="Q86">
        <f>-0.0010876643*3600</f>
        <v>-3.9155914800000002</v>
      </c>
      <c r="R86">
        <f>-0.00265679*3600</f>
        <v>-9.5644439999999999</v>
      </c>
    </row>
    <row r="87" spans="1:18" x14ac:dyDescent="0.3">
      <c r="A87" s="4" t="s">
        <v>47</v>
      </c>
      <c r="B87" t="s">
        <v>59</v>
      </c>
      <c r="C87">
        <v>98.751797999999994</v>
      </c>
      <c r="D87">
        <v>299.70647000000002</v>
      </c>
      <c r="E87">
        <v>90.327399999999997</v>
      </c>
      <c r="F87">
        <v>90.310900000000004</v>
      </c>
      <c r="G87">
        <v>0.23899999999999999</v>
      </c>
      <c r="H87">
        <v>0.24</v>
      </c>
      <c r="J87" t="s">
        <v>0</v>
      </c>
      <c r="K87" t="s">
        <v>61</v>
      </c>
      <c r="L87">
        <v>0</v>
      </c>
      <c r="M87" t="s">
        <v>52</v>
      </c>
      <c r="N87">
        <v>1</v>
      </c>
      <c r="O87" t="s">
        <v>63</v>
      </c>
      <c r="P87" s="2">
        <v>0.40277777777777773</v>
      </c>
      <c r="Q87">
        <f>-0.0009571145*3600</f>
        <v>-3.4456121999999998</v>
      </c>
      <c r="R87">
        <f>-0.0024078748*3600</f>
        <v>-8.6683492799999993</v>
      </c>
    </row>
    <row r="88" spans="1:18" x14ac:dyDescent="0.3">
      <c r="A88" s="4" t="s">
        <v>47</v>
      </c>
      <c r="B88" t="s">
        <v>59</v>
      </c>
      <c r="C88">
        <v>98.750624000000002</v>
      </c>
      <c r="D88">
        <v>299.70691699999998</v>
      </c>
      <c r="E88">
        <v>90.327299999999994</v>
      </c>
      <c r="F88">
        <v>90.3108</v>
      </c>
      <c r="G88">
        <v>0.23899999999999999</v>
      </c>
      <c r="H88">
        <v>0.24</v>
      </c>
      <c r="J88" t="s">
        <v>0</v>
      </c>
      <c r="K88" t="s">
        <v>61</v>
      </c>
      <c r="L88">
        <v>0</v>
      </c>
      <c r="M88" t="s">
        <v>52</v>
      </c>
      <c r="N88">
        <v>1</v>
      </c>
      <c r="O88" t="s">
        <v>63</v>
      </c>
      <c r="P88" s="2">
        <v>0.40277777777777773</v>
      </c>
      <c r="Q88">
        <f>-0.0008303572*3600</f>
        <v>-2.9892859199999999</v>
      </c>
      <c r="R88">
        <f>-0.0023313289*3600</f>
        <v>-8.3927840400000004</v>
      </c>
    </row>
    <row r="89" spans="1:18" x14ac:dyDescent="0.3">
      <c r="A89" s="4" t="s">
        <v>47</v>
      </c>
      <c r="B89" t="s">
        <v>59</v>
      </c>
      <c r="C89">
        <v>98.751464999999996</v>
      </c>
      <c r="D89">
        <v>299.70694900000001</v>
      </c>
      <c r="E89">
        <v>90.327200000000005</v>
      </c>
      <c r="F89">
        <v>90.310699999999997</v>
      </c>
      <c r="G89">
        <v>0.23899999999999999</v>
      </c>
      <c r="H89">
        <v>0.24</v>
      </c>
      <c r="J89" t="s">
        <v>0</v>
      </c>
      <c r="K89" t="s">
        <v>61</v>
      </c>
      <c r="L89">
        <v>0</v>
      </c>
      <c r="M89" t="s">
        <v>52</v>
      </c>
      <c r="N89">
        <v>1</v>
      </c>
      <c r="O89" t="s">
        <v>63</v>
      </c>
      <c r="P89" s="2">
        <v>0.40277777777777773</v>
      </c>
      <c r="Q89">
        <f>-0.0009768526*3600</f>
        <v>-3.5166693600000003</v>
      </c>
      <c r="R89">
        <f>-0.0024640424*3600</f>
        <v>-8.8705526400000014</v>
      </c>
    </row>
    <row r="90" spans="1:18" x14ac:dyDescent="0.3">
      <c r="A90" s="4" t="s">
        <v>47</v>
      </c>
      <c r="B90" t="s">
        <v>59</v>
      </c>
      <c r="C90">
        <v>98.751497000000001</v>
      </c>
      <c r="D90">
        <v>299.70703900000001</v>
      </c>
      <c r="E90">
        <v>90.327299999999994</v>
      </c>
      <c r="F90">
        <v>90.3108</v>
      </c>
      <c r="G90">
        <v>0.23899999999999999</v>
      </c>
      <c r="H90">
        <v>0.24</v>
      </c>
      <c r="J90" t="s">
        <v>0</v>
      </c>
      <c r="K90" t="s">
        <v>61</v>
      </c>
      <c r="L90">
        <v>0</v>
      </c>
      <c r="M90" t="s">
        <v>52</v>
      </c>
      <c r="N90">
        <v>1</v>
      </c>
      <c r="O90" t="s">
        <v>63</v>
      </c>
      <c r="P90" s="2">
        <v>0.40277777777777773</v>
      </c>
      <c r="Q90">
        <f>-0.0009833661*3600</f>
        <v>-3.5401179600000003</v>
      </c>
      <c r="R90">
        <f>-0.0025053475*3600</f>
        <v>-9.0192510000000006</v>
      </c>
    </row>
    <row r="91" spans="1:18" x14ac:dyDescent="0.3">
      <c r="A91" s="4" t="s">
        <v>47</v>
      </c>
      <c r="B91" t="s">
        <v>59</v>
      </c>
      <c r="C91">
        <v>298.75188500000002</v>
      </c>
      <c r="D91">
        <v>100.29300000000001</v>
      </c>
      <c r="E91">
        <v>90.328000000000003</v>
      </c>
      <c r="F91">
        <v>90.311499999999995</v>
      </c>
      <c r="G91">
        <v>0.23899999999999999</v>
      </c>
      <c r="H91">
        <v>0.24</v>
      </c>
      <c r="J91" t="s">
        <v>0</v>
      </c>
      <c r="K91" t="s">
        <v>61</v>
      </c>
      <c r="L91">
        <v>0</v>
      </c>
      <c r="M91" t="s">
        <v>52</v>
      </c>
      <c r="N91">
        <v>1</v>
      </c>
      <c r="O91" t="s">
        <v>63</v>
      </c>
      <c r="P91" s="2">
        <v>0.40277777777777773</v>
      </c>
      <c r="Q91">
        <f>-0.0008931207*3600</f>
        <v>-3.2152345200000001</v>
      </c>
      <c r="R91">
        <f>-0.0023479576*3600</f>
        <v>-8.4526473600000003</v>
      </c>
    </row>
    <row r="92" spans="1:18" x14ac:dyDescent="0.3">
      <c r="A92" s="4" t="s">
        <v>47</v>
      </c>
      <c r="B92" t="s">
        <v>59</v>
      </c>
      <c r="C92">
        <v>298.75198799999998</v>
      </c>
      <c r="D92">
        <v>100.292981</v>
      </c>
      <c r="E92">
        <v>90.3279</v>
      </c>
      <c r="F92">
        <v>90.311400000000006</v>
      </c>
      <c r="G92">
        <v>0.23899999999999999</v>
      </c>
      <c r="H92">
        <v>0.24</v>
      </c>
      <c r="J92" t="s">
        <v>0</v>
      </c>
      <c r="K92" t="s">
        <v>61</v>
      </c>
      <c r="L92">
        <v>3.4000000000000002E-2</v>
      </c>
      <c r="M92" t="s">
        <v>52</v>
      </c>
      <c r="N92">
        <v>1</v>
      </c>
      <c r="O92" t="s">
        <v>53</v>
      </c>
      <c r="P92" s="2">
        <v>0.40347222222222223</v>
      </c>
      <c r="Q92">
        <f>-0.0008971328*3600</f>
        <v>-3.2296780799999998</v>
      </c>
      <c r="R92">
        <f>-0.0017131464*3600</f>
        <v>-6.16732704</v>
      </c>
    </row>
    <row r="93" spans="1:18" x14ac:dyDescent="0.3">
      <c r="A93" s="4" t="s">
        <v>47</v>
      </c>
      <c r="B93" t="s">
        <v>59</v>
      </c>
      <c r="C93">
        <v>298.752092</v>
      </c>
      <c r="D93">
        <v>100.29292</v>
      </c>
      <c r="E93">
        <v>90.328000000000003</v>
      </c>
      <c r="F93">
        <v>90.311499999999995</v>
      </c>
      <c r="G93">
        <v>0.23899999999999999</v>
      </c>
      <c r="H93">
        <v>0.24</v>
      </c>
      <c r="J93" t="s">
        <v>0</v>
      </c>
      <c r="K93" t="s">
        <v>61</v>
      </c>
      <c r="L93">
        <v>3.4000000000000002E-2</v>
      </c>
      <c r="M93" t="s">
        <v>52</v>
      </c>
      <c r="N93">
        <v>1</v>
      </c>
      <c r="O93" t="s">
        <v>53</v>
      </c>
      <c r="P93" s="2">
        <v>0.40347222222222223</v>
      </c>
      <c r="Q93">
        <f>-0.0007787069*3600</f>
        <v>-2.8033448399999998</v>
      </c>
      <c r="R93">
        <f>-0.001497016*3600</f>
        <v>-5.3892576000000005</v>
      </c>
    </row>
    <row r="94" spans="1:18" x14ac:dyDescent="0.3">
      <c r="A94" s="4" t="s">
        <v>47</v>
      </c>
      <c r="B94" t="s">
        <v>59</v>
      </c>
      <c r="C94">
        <v>298.75187299999999</v>
      </c>
      <c r="D94">
        <v>100.29300000000001</v>
      </c>
      <c r="E94">
        <v>90.3279</v>
      </c>
      <c r="F94">
        <v>90.311400000000006</v>
      </c>
      <c r="G94">
        <v>0.23899999999999999</v>
      </c>
      <c r="H94">
        <v>0.24</v>
      </c>
      <c r="J94" t="s">
        <v>0</v>
      </c>
      <c r="K94" t="s">
        <v>61</v>
      </c>
      <c r="L94">
        <v>3.4000000000000002E-2</v>
      </c>
      <c r="M94" t="s">
        <v>52</v>
      </c>
      <c r="N94">
        <v>1</v>
      </c>
      <c r="O94" t="s">
        <v>53</v>
      </c>
      <c r="P94" s="2">
        <v>0.40416666666666662</v>
      </c>
      <c r="Q94">
        <f>-0.0006275473*3600</f>
        <v>-2.2591702800000002</v>
      </c>
      <c r="R94">
        <f>-0.0015940111*3600</f>
        <v>-5.73843996</v>
      </c>
    </row>
    <row r="95" spans="1:18" x14ac:dyDescent="0.3">
      <c r="A95" s="4" t="s">
        <v>47</v>
      </c>
      <c r="B95" t="s">
        <v>59</v>
      </c>
      <c r="C95">
        <v>298.75197600000001</v>
      </c>
      <c r="D95">
        <v>100.292945</v>
      </c>
      <c r="E95">
        <v>90.328000000000003</v>
      </c>
      <c r="F95">
        <v>90.311499999999995</v>
      </c>
      <c r="G95">
        <v>0.23899999999999999</v>
      </c>
      <c r="H95">
        <v>0.24</v>
      </c>
      <c r="J95" t="s">
        <v>0</v>
      </c>
      <c r="K95" t="s">
        <v>61</v>
      </c>
      <c r="L95">
        <v>0</v>
      </c>
      <c r="M95" t="s">
        <v>52</v>
      </c>
      <c r="N95">
        <v>1</v>
      </c>
      <c r="O95" t="s">
        <v>63</v>
      </c>
      <c r="P95" s="2">
        <v>0.40416666666666662</v>
      </c>
      <c r="Q95">
        <f>-0.0005895932*3600</f>
        <v>-2.12253552</v>
      </c>
      <c r="R95">
        <f>-0.0019304208*3600</f>
        <v>-6.9495148799999997</v>
      </c>
    </row>
    <row r="96" spans="1:18" x14ac:dyDescent="0.3">
      <c r="A96" s="4" t="s">
        <v>47</v>
      </c>
      <c r="B96" t="s">
        <v>59</v>
      </c>
      <c r="C96">
        <v>298.751936</v>
      </c>
      <c r="D96">
        <v>100.293055</v>
      </c>
      <c r="E96">
        <v>90.3279</v>
      </c>
      <c r="F96">
        <v>90.311400000000006</v>
      </c>
      <c r="G96">
        <v>0.23899999999999999</v>
      </c>
      <c r="H96">
        <v>0.24</v>
      </c>
      <c r="J96" t="s">
        <v>0</v>
      </c>
      <c r="K96" t="s">
        <v>61</v>
      </c>
      <c r="L96">
        <v>0</v>
      </c>
      <c r="M96" t="s">
        <v>52</v>
      </c>
      <c r="N96">
        <v>1</v>
      </c>
      <c r="O96" t="s">
        <v>63</v>
      </c>
      <c r="P96" s="2">
        <v>0.40416666666666662</v>
      </c>
      <c r="Q96">
        <f>-0.000644793*3600</f>
        <v>-2.3212547999999997</v>
      </c>
      <c r="R96">
        <f>-0.0020480879*3600</f>
        <v>-7.3731164399999995</v>
      </c>
    </row>
    <row r="97" spans="1:18" x14ac:dyDescent="0.3">
      <c r="A97" s="4" t="s">
        <v>47</v>
      </c>
      <c r="B97" t="s">
        <v>59</v>
      </c>
      <c r="C97">
        <v>298.75196899999997</v>
      </c>
      <c r="D97">
        <v>100.292897</v>
      </c>
      <c r="E97">
        <v>90.327699999999993</v>
      </c>
      <c r="F97">
        <v>90.311199999999999</v>
      </c>
      <c r="G97">
        <v>0.23899999999999999</v>
      </c>
      <c r="H97">
        <v>0.24</v>
      </c>
      <c r="J97" t="s">
        <v>0</v>
      </c>
      <c r="K97" t="s">
        <v>61</v>
      </c>
      <c r="L97">
        <v>0</v>
      </c>
      <c r="M97" t="s">
        <v>52</v>
      </c>
      <c r="N97">
        <v>1</v>
      </c>
      <c r="O97" t="s">
        <v>63</v>
      </c>
      <c r="P97" s="2">
        <v>0.40416666666666662</v>
      </c>
      <c r="Q97">
        <f>-0.0007403743*3600</f>
        <v>-2.6653474799999999</v>
      </c>
      <c r="R97">
        <f>-0.0020598612*3600</f>
        <v>-7.4155003200000005</v>
      </c>
    </row>
    <row r="98" spans="1:18" x14ac:dyDescent="0.3">
      <c r="A98" s="4" t="s">
        <v>47</v>
      </c>
      <c r="B98" t="s">
        <v>59</v>
      </c>
      <c r="C98">
        <v>298.75205199999999</v>
      </c>
      <c r="D98">
        <v>100.292997</v>
      </c>
      <c r="E98">
        <v>90.3279</v>
      </c>
      <c r="F98">
        <v>90.311400000000006</v>
      </c>
      <c r="G98">
        <v>0.23899999999999999</v>
      </c>
      <c r="H98">
        <v>0.24</v>
      </c>
      <c r="J98" t="s">
        <v>0</v>
      </c>
      <c r="K98" t="s">
        <v>61</v>
      </c>
      <c r="L98">
        <v>0</v>
      </c>
      <c r="M98" t="s">
        <v>52</v>
      </c>
      <c r="N98">
        <v>1</v>
      </c>
      <c r="O98" t="s">
        <v>63</v>
      </c>
      <c r="P98" s="2">
        <v>0.40416666666666662</v>
      </c>
      <c r="Q98">
        <f>-0.0007947419*3600</f>
        <v>-2.86107084</v>
      </c>
      <c r="R98">
        <f>-0.0020304416*3600</f>
        <v>-7.3095897599999988</v>
      </c>
    </row>
    <row r="99" spans="1:18" x14ac:dyDescent="0.3">
      <c r="A99" s="4" t="s">
        <v>47</v>
      </c>
      <c r="B99" t="s">
        <v>59</v>
      </c>
      <c r="C99">
        <v>298.75173599999999</v>
      </c>
      <c r="D99">
        <v>100.29295</v>
      </c>
      <c r="E99">
        <v>90.327799999999996</v>
      </c>
      <c r="F99">
        <v>90.311300000000003</v>
      </c>
      <c r="G99">
        <v>0.23899999999999999</v>
      </c>
      <c r="H99">
        <v>0.24</v>
      </c>
      <c r="J99" t="s">
        <v>0</v>
      </c>
      <c r="K99" t="s">
        <v>61</v>
      </c>
      <c r="L99">
        <v>0</v>
      </c>
      <c r="M99" t="s">
        <v>52</v>
      </c>
      <c r="N99">
        <v>1</v>
      </c>
      <c r="O99" t="s">
        <v>63</v>
      </c>
      <c r="P99" s="2">
        <v>0.40416666666666662</v>
      </c>
      <c r="Q99">
        <f>-0.0006867864*3600</f>
        <v>-2.47243104</v>
      </c>
      <c r="R99">
        <f>-0.0020216512*3600</f>
        <v>-7.2779443199999996</v>
      </c>
    </row>
    <row r="100" spans="1:18" x14ac:dyDescent="0.3">
      <c r="A100" s="4" t="s">
        <v>47</v>
      </c>
      <c r="B100" t="s">
        <v>59</v>
      </c>
      <c r="C100">
        <v>298.75178</v>
      </c>
      <c r="D100">
        <v>100.29301</v>
      </c>
      <c r="E100">
        <v>90.327799999999996</v>
      </c>
      <c r="F100">
        <v>90.311300000000003</v>
      </c>
      <c r="G100">
        <v>0.23899999999999999</v>
      </c>
      <c r="H100">
        <v>0.24</v>
      </c>
      <c r="J100" t="s">
        <v>0</v>
      </c>
      <c r="K100" t="s">
        <v>61</v>
      </c>
      <c r="L100">
        <v>0</v>
      </c>
      <c r="M100" t="s">
        <v>52</v>
      </c>
      <c r="N100">
        <v>1</v>
      </c>
      <c r="O100" t="s">
        <v>63</v>
      </c>
      <c r="P100" s="2">
        <v>0.40416666666666662</v>
      </c>
      <c r="Q100">
        <f>-0.000753295*3600</f>
        <v>-2.711862</v>
      </c>
      <c r="R100">
        <f>-0.001988491*3600</f>
        <v>-7.1585676000000005</v>
      </c>
    </row>
    <row r="101" spans="1:18" x14ac:dyDescent="0.3">
      <c r="A101" s="4" t="s">
        <v>47</v>
      </c>
      <c r="B101" t="s">
        <v>59</v>
      </c>
      <c r="C101">
        <v>298.75175999999999</v>
      </c>
      <c r="D101">
        <v>100.29301599999999</v>
      </c>
      <c r="E101">
        <v>90.327799999999996</v>
      </c>
      <c r="F101">
        <v>90.311300000000003</v>
      </c>
      <c r="G101">
        <v>0.23899999999999999</v>
      </c>
      <c r="H101">
        <v>0.24</v>
      </c>
      <c r="J101" t="s">
        <v>0</v>
      </c>
      <c r="K101" t="s">
        <v>61</v>
      </c>
      <c r="L101">
        <v>0</v>
      </c>
      <c r="M101" t="s">
        <v>52</v>
      </c>
      <c r="N101">
        <v>1</v>
      </c>
      <c r="O101" t="s">
        <v>63</v>
      </c>
      <c r="P101" s="2">
        <v>0.40416666666666662</v>
      </c>
      <c r="Q101">
        <f>-0.0006470966*3600</f>
        <v>-2.3295477600000001</v>
      </c>
      <c r="R101">
        <f>-0.0018666471*3600</f>
        <v>-6.7199295599999997</v>
      </c>
    </row>
    <row r="102" spans="1:18" x14ac:dyDescent="0.3">
      <c r="A102" s="4" t="s">
        <v>47</v>
      </c>
      <c r="B102" t="s">
        <v>59</v>
      </c>
      <c r="C102">
        <v>298.75170100000003</v>
      </c>
      <c r="D102">
        <v>100.29297</v>
      </c>
      <c r="E102">
        <v>90.327799999999996</v>
      </c>
      <c r="F102">
        <v>90.311300000000003</v>
      </c>
      <c r="G102">
        <v>0.23899999999999999</v>
      </c>
      <c r="H102">
        <v>0.24</v>
      </c>
      <c r="J102" t="s">
        <v>0</v>
      </c>
      <c r="K102" t="s">
        <v>61</v>
      </c>
      <c r="L102">
        <v>0</v>
      </c>
      <c r="M102" t="s">
        <v>52</v>
      </c>
      <c r="N102">
        <v>1</v>
      </c>
      <c r="O102" t="s">
        <v>63</v>
      </c>
      <c r="P102" s="2">
        <v>0.40416666666666662</v>
      </c>
      <c r="Q102">
        <f>-0.0006926461*3600</f>
        <v>-2.4935259599999999</v>
      </c>
      <c r="R102">
        <f>-0.001983724*3600</f>
        <v>-7.1414064000000002</v>
      </c>
    </row>
    <row r="103" spans="1:18" x14ac:dyDescent="0.3">
      <c r="A103" s="4" t="s">
        <v>47</v>
      </c>
      <c r="B103" t="s">
        <v>59</v>
      </c>
      <c r="C103">
        <v>298.751711</v>
      </c>
      <c r="D103">
        <v>100.292948</v>
      </c>
      <c r="E103">
        <v>90.327699999999993</v>
      </c>
      <c r="F103">
        <v>90.311199999999999</v>
      </c>
      <c r="G103">
        <v>0.23899999999999999</v>
      </c>
      <c r="H103">
        <v>0.24</v>
      </c>
      <c r="J103" t="s">
        <v>0</v>
      </c>
      <c r="K103" t="s">
        <v>61</v>
      </c>
      <c r="L103">
        <v>0</v>
      </c>
      <c r="M103" t="s">
        <v>52</v>
      </c>
      <c r="N103">
        <v>1</v>
      </c>
      <c r="O103" t="s">
        <v>63</v>
      </c>
      <c r="P103" s="2">
        <v>0.40416666666666662</v>
      </c>
      <c r="Q103">
        <f>-0.0007661642*3600</f>
        <v>-2.7581911200000002</v>
      </c>
      <c r="R103">
        <f>-0.0020989434*3600</f>
        <v>-7.5561962400000002</v>
      </c>
    </row>
    <row r="104" spans="1:18" x14ac:dyDescent="0.3">
      <c r="A104" s="4" t="s">
        <v>47</v>
      </c>
      <c r="B104" t="s">
        <v>59</v>
      </c>
      <c r="C104">
        <v>298.751756</v>
      </c>
      <c r="D104">
        <v>100.292933</v>
      </c>
      <c r="E104">
        <v>90.327600000000004</v>
      </c>
      <c r="F104">
        <v>90.311099999999996</v>
      </c>
      <c r="G104">
        <v>0.23899999999999999</v>
      </c>
      <c r="H104">
        <v>0.24</v>
      </c>
      <c r="J104" t="s">
        <v>0</v>
      </c>
      <c r="K104" t="s">
        <v>61</v>
      </c>
      <c r="L104">
        <v>3.4000000000000002E-2</v>
      </c>
      <c r="M104" t="s">
        <v>52</v>
      </c>
      <c r="N104">
        <v>1</v>
      </c>
      <c r="O104" t="s">
        <v>53</v>
      </c>
      <c r="P104" s="2">
        <v>0.40486111111111112</v>
      </c>
      <c r="Q104">
        <f>-0.0005763964*3600</f>
        <v>-2.0750270400000002</v>
      </c>
      <c r="R104">
        <f>-0.0018343624*3600</f>
        <v>-6.6037046400000001</v>
      </c>
    </row>
    <row r="105" spans="1:18" x14ac:dyDescent="0.3">
      <c r="A105" s="4" t="s">
        <v>47</v>
      </c>
      <c r="B105" t="s">
        <v>59</v>
      </c>
      <c r="C105">
        <v>298.75238300000001</v>
      </c>
      <c r="D105">
        <v>100.29289300000001</v>
      </c>
      <c r="E105">
        <v>90.3279</v>
      </c>
      <c r="F105">
        <v>90.311400000000006</v>
      </c>
      <c r="G105">
        <v>0.23899999999999999</v>
      </c>
      <c r="H105">
        <v>0.24</v>
      </c>
      <c r="J105" t="s">
        <v>0</v>
      </c>
      <c r="K105" t="s">
        <v>61</v>
      </c>
      <c r="L105">
        <v>0</v>
      </c>
      <c r="M105" t="s">
        <v>52</v>
      </c>
      <c r="N105">
        <v>1</v>
      </c>
      <c r="O105" t="s">
        <v>63</v>
      </c>
      <c r="P105" s="2">
        <v>0.40486111111111112</v>
      </c>
      <c r="Q105">
        <f>-0.0006138539*3600</f>
        <v>-2.2098740399999999</v>
      </c>
      <c r="R105">
        <f>-0.0022122279*3600</f>
        <v>-7.9640204400000005</v>
      </c>
    </row>
    <row r="106" spans="1:18" x14ac:dyDescent="0.3">
      <c r="A106" s="4" t="s">
        <v>47</v>
      </c>
      <c r="B106" t="s">
        <v>59</v>
      </c>
      <c r="C106">
        <v>298.75219700000002</v>
      </c>
      <c r="D106">
        <v>100.292945</v>
      </c>
      <c r="E106">
        <v>90.327699999999993</v>
      </c>
      <c r="F106">
        <v>90.311199999999999</v>
      </c>
      <c r="G106">
        <v>0.23899999999999999</v>
      </c>
      <c r="H106">
        <v>0.24</v>
      </c>
      <c r="J106" t="s">
        <v>0</v>
      </c>
      <c r="K106" t="s">
        <v>61</v>
      </c>
      <c r="L106">
        <v>0</v>
      </c>
      <c r="M106" t="s">
        <v>52</v>
      </c>
      <c r="N106">
        <v>1</v>
      </c>
      <c r="O106" t="s">
        <v>63</v>
      </c>
      <c r="P106" s="2">
        <v>0.40486111111111112</v>
      </c>
      <c r="Q106">
        <f>-0.0006469978*3600</f>
        <v>-2.3291920799999999</v>
      </c>
      <c r="R106">
        <f>-0.0022865165*3600</f>
        <v>-8.2314594000000003</v>
      </c>
    </row>
    <row r="107" spans="1:18" x14ac:dyDescent="0.3">
      <c r="A107" s="4" t="s">
        <v>47</v>
      </c>
      <c r="B107" t="s">
        <v>59</v>
      </c>
      <c r="C107">
        <v>298.75210199999998</v>
      </c>
      <c r="D107">
        <v>100.29286999999999</v>
      </c>
      <c r="E107">
        <v>90.327699999999993</v>
      </c>
      <c r="F107">
        <v>90.311199999999999</v>
      </c>
      <c r="G107">
        <v>0.23899999999999999</v>
      </c>
      <c r="H107">
        <v>0.24</v>
      </c>
      <c r="J107" t="s">
        <v>0</v>
      </c>
      <c r="K107" t="s">
        <v>61</v>
      </c>
      <c r="L107">
        <v>0</v>
      </c>
      <c r="M107" t="s">
        <v>52</v>
      </c>
      <c r="N107">
        <v>1</v>
      </c>
      <c r="O107" t="s">
        <v>63</v>
      </c>
      <c r="P107" s="2">
        <v>0.40486111111111112</v>
      </c>
      <c r="Q107">
        <f>-0.0005962621*3600</f>
        <v>-2.14654356</v>
      </c>
      <c r="R107">
        <f>-0.0022511584*3600</f>
        <v>-8.1041702400000002</v>
      </c>
    </row>
    <row r="108" spans="1:18" x14ac:dyDescent="0.3">
      <c r="A108" s="4" t="s">
        <v>47</v>
      </c>
      <c r="B108" t="s">
        <v>59</v>
      </c>
      <c r="C108">
        <v>298.75198499999999</v>
      </c>
      <c r="D108">
        <v>100.29309499999999</v>
      </c>
      <c r="E108">
        <v>90.327699999999993</v>
      </c>
      <c r="F108">
        <v>90.311199999999999</v>
      </c>
      <c r="G108">
        <v>0.23899999999999999</v>
      </c>
      <c r="H108">
        <v>0.24</v>
      </c>
      <c r="J108" t="s">
        <v>0</v>
      </c>
      <c r="K108" t="s">
        <v>61</v>
      </c>
      <c r="L108">
        <v>0</v>
      </c>
      <c r="M108" t="s">
        <v>52</v>
      </c>
      <c r="N108">
        <v>1</v>
      </c>
      <c r="O108" t="s">
        <v>63</v>
      </c>
      <c r="P108" s="2">
        <v>0.40486111111111112</v>
      </c>
      <c r="Q108">
        <f>-0.0006401833*3600</f>
        <v>-2.30465988</v>
      </c>
      <c r="R108">
        <f>-0.002182605*3600</f>
        <v>-7.8573779999999989</v>
      </c>
    </row>
    <row r="109" spans="1:18" x14ac:dyDescent="0.3">
      <c r="A109" s="4" t="s">
        <v>47</v>
      </c>
      <c r="B109" t="s">
        <v>59</v>
      </c>
      <c r="C109">
        <v>298.752026</v>
      </c>
      <c r="D109">
        <v>100.29292100000001</v>
      </c>
      <c r="E109">
        <v>90.327799999999996</v>
      </c>
      <c r="F109">
        <v>90.311300000000003</v>
      </c>
      <c r="G109">
        <v>0.23899999999999999</v>
      </c>
      <c r="H109">
        <v>0.24</v>
      </c>
      <c r="J109" t="s">
        <v>0</v>
      </c>
      <c r="K109" t="s">
        <v>61</v>
      </c>
      <c r="L109">
        <v>0</v>
      </c>
      <c r="M109" t="s">
        <v>52</v>
      </c>
      <c r="N109">
        <v>1</v>
      </c>
      <c r="O109" t="s">
        <v>63</v>
      </c>
      <c r="P109" s="2">
        <v>0.40486111111111112</v>
      </c>
      <c r="Q109">
        <f>-0.0006787279*3600</f>
        <v>-2.4434204400000001</v>
      </c>
      <c r="R109">
        <f>-0.0021806439*3600</f>
        <v>-7.8503180400000003</v>
      </c>
    </row>
    <row r="110" spans="1:18" x14ac:dyDescent="0.3">
      <c r="A110" s="4" t="s">
        <v>47</v>
      </c>
      <c r="B110" t="s">
        <v>59</v>
      </c>
      <c r="C110">
        <v>298.75185599999998</v>
      </c>
      <c r="D110">
        <v>100.292959</v>
      </c>
      <c r="E110">
        <v>90.327799999999996</v>
      </c>
      <c r="F110">
        <v>90.311300000000003</v>
      </c>
      <c r="G110">
        <v>0.23899999999999999</v>
      </c>
      <c r="H110">
        <v>0.24</v>
      </c>
      <c r="J110" t="s">
        <v>0</v>
      </c>
      <c r="K110" t="s">
        <v>61</v>
      </c>
      <c r="L110">
        <v>0</v>
      </c>
      <c r="M110" t="s">
        <v>52</v>
      </c>
      <c r="N110">
        <v>1</v>
      </c>
      <c r="O110" t="s">
        <v>63</v>
      </c>
      <c r="P110" s="2">
        <v>0.40486111111111112</v>
      </c>
      <c r="Q110">
        <f>-0.000677634*3600</f>
        <v>-2.4394824000000002</v>
      </c>
      <c r="R110">
        <f>-0.0021314388*3600</f>
        <v>-7.6731796800000005</v>
      </c>
    </row>
    <row r="111" spans="1:18" x14ac:dyDescent="0.3">
      <c r="A111" s="4" t="s">
        <v>47</v>
      </c>
      <c r="B111" t="s">
        <v>59</v>
      </c>
      <c r="C111">
        <v>298.75198399999999</v>
      </c>
      <c r="D111">
        <v>100.29307</v>
      </c>
      <c r="E111">
        <v>90.327799999999996</v>
      </c>
      <c r="F111">
        <v>90.311300000000003</v>
      </c>
      <c r="G111">
        <v>0.23899999999999999</v>
      </c>
      <c r="H111">
        <v>0.24</v>
      </c>
      <c r="J111" t="s">
        <v>0</v>
      </c>
      <c r="K111" t="s">
        <v>61</v>
      </c>
      <c r="L111">
        <v>0</v>
      </c>
      <c r="M111" t="s">
        <v>52</v>
      </c>
      <c r="N111">
        <v>1</v>
      </c>
      <c r="O111" t="s">
        <v>63</v>
      </c>
      <c r="P111" s="2">
        <v>0.40486111111111112</v>
      </c>
      <c r="Q111">
        <f>-0.0006212083*3600</f>
        <v>-2.2363498800000001</v>
      </c>
      <c r="R111">
        <f>-0.0021499428*3600</f>
        <v>-7.7397940800000002</v>
      </c>
    </row>
    <row r="112" spans="1:18" x14ac:dyDescent="0.3">
      <c r="A112" s="4" t="s">
        <v>47</v>
      </c>
      <c r="B112" t="s">
        <v>59</v>
      </c>
      <c r="C112">
        <v>98.752032999999997</v>
      </c>
      <c r="D112">
        <v>299.70699000000002</v>
      </c>
      <c r="E112">
        <v>90.327699999999993</v>
      </c>
      <c r="F112">
        <v>90.311199999999999</v>
      </c>
      <c r="G112">
        <v>0.23899999999999999</v>
      </c>
      <c r="H112">
        <v>0.24</v>
      </c>
      <c r="J112" t="s">
        <v>0</v>
      </c>
      <c r="K112" t="s">
        <v>61</v>
      </c>
      <c r="L112">
        <v>0</v>
      </c>
      <c r="M112" t="s">
        <v>52</v>
      </c>
      <c r="N112">
        <v>1</v>
      </c>
      <c r="O112" t="s">
        <v>63</v>
      </c>
      <c r="P112" s="2">
        <v>0.40486111111111112</v>
      </c>
      <c r="Q112">
        <f>-0.0006520177*3600</f>
        <v>-2.3472637199999999</v>
      </c>
      <c r="R112">
        <f>-0.0022169739*3600</f>
        <v>-7.9811060400000002</v>
      </c>
    </row>
    <row r="113" spans="1:19" x14ac:dyDescent="0.3">
      <c r="A113" s="4" t="s">
        <v>47</v>
      </c>
      <c r="B113" t="s">
        <v>59</v>
      </c>
      <c r="C113">
        <v>98.751525000000001</v>
      </c>
      <c r="D113">
        <v>299.70703900000001</v>
      </c>
      <c r="E113">
        <v>90.327699999999993</v>
      </c>
      <c r="F113">
        <v>90.311199999999999</v>
      </c>
      <c r="G113">
        <v>0.23899999999999999</v>
      </c>
      <c r="H113">
        <v>0.24</v>
      </c>
      <c r="J113" t="s">
        <v>0</v>
      </c>
      <c r="K113" t="s">
        <v>61</v>
      </c>
      <c r="L113">
        <v>0</v>
      </c>
      <c r="M113" t="s">
        <v>52</v>
      </c>
      <c r="N113">
        <v>1</v>
      </c>
      <c r="O113" t="s">
        <v>63</v>
      </c>
      <c r="P113" s="2">
        <v>0.40486111111111112</v>
      </c>
      <c r="Q113">
        <f>-0.0006387601*3600</f>
        <v>-2.2995363599999998</v>
      </c>
      <c r="R113">
        <f>-0.0022124935*3600</f>
        <v>-7.9649766</v>
      </c>
    </row>
    <row r="114" spans="1:19" x14ac:dyDescent="0.3">
      <c r="A114" s="4" t="s">
        <v>47</v>
      </c>
      <c r="B114" t="s">
        <v>59</v>
      </c>
      <c r="C114">
        <v>98.751587000000001</v>
      </c>
      <c r="D114">
        <v>299.70693399999999</v>
      </c>
      <c r="E114">
        <v>90.327799999999996</v>
      </c>
      <c r="F114">
        <v>90.311300000000003</v>
      </c>
      <c r="G114">
        <v>0.23899999999999999</v>
      </c>
      <c r="H114">
        <v>0.24</v>
      </c>
      <c r="J114" t="s">
        <v>0</v>
      </c>
      <c r="K114" t="s">
        <v>61</v>
      </c>
      <c r="L114">
        <v>0</v>
      </c>
      <c r="M114" t="s">
        <v>52</v>
      </c>
      <c r="N114">
        <v>1</v>
      </c>
      <c r="O114" t="s">
        <v>63</v>
      </c>
      <c r="P114" s="2">
        <v>0.40486111111111112</v>
      </c>
      <c r="Q114">
        <f>-0.0006882267*3600</f>
        <v>-2.47761612</v>
      </c>
      <c r="R114">
        <f>-0.002213103*3600</f>
        <v>-7.9671708000000008</v>
      </c>
    </row>
    <row r="115" spans="1:19" x14ac:dyDescent="0.3">
      <c r="A115" s="4" t="s">
        <v>47</v>
      </c>
      <c r="B115" t="s">
        <v>59</v>
      </c>
      <c r="C115">
        <v>98.751784000000001</v>
      </c>
      <c r="D115">
        <v>299.70698399999998</v>
      </c>
      <c r="E115">
        <v>90.327799999999996</v>
      </c>
      <c r="F115">
        <v>90.311300000000003</v>
      </c>
      <c r="G115">
        <v>0.23899999999999999</v>
      </c>
      <c r="H115">
        <v>0.24</v>
      </c>
      <c r="J115" t="s">
        <v>0</v>
      </c>
      <c r="K115" t="s">
        <v>61</v>
      </c>
      <c r="L115">
        <v>0</v>
      </c>
      <c r="M115" t="s">
        <v>52</v>
      </c>
      <c r="N115">
        <v>1</v>
      </c>
      <c r="O115" t="s">
        <v>63</v>
      </c>
      <c r="P115" s="2">
        <v>0.40486111111111112</v>
      </c>
      <c r="Q115">
        <f>-0.0006377535*3600</f>
        <v>-2.2959125999999999</v>
      </c>
      <c r="R115">
        <f>-0.0023966817*3600</f>
        <v>-8.6280541199999998</v>
      </c>
    </row>
    <row r="116" spans="1:19" x14ac:dyDescent="0.3">
      <c r="A116" s="4" t="s">
        <v>47</v>
      </c>
      <c r="B116" t="s">
        <v>59</v>
      </c>
      <c r="C116">
        <v>98.751737000000006</v>
      </c>
      <c r="D116">
        <v>299.70698900000002</v>
      </c>
      <c r="E116">
        <v>90.327799999999996</v>
      </c>
      <c r="F116">
        <v>90.311300000000003</v>
      </c>
      <c r="G116">
        <v>0.23899999999999999</v>
      </c>
      <c r="H116">
        <v>0.24</v>
      </c>
      <c r="J116" t="s">
        <v>0</v>
      </c>
      <c r="K116" t="s">
        <v>61</v>
      </c>
      <c r="L116">
        <v>0</v>
      </c>
      <c r="M116" t="s">
        <v>52</v>
      </c>
      <c r="N116">
        <v>1</v>
      </c>
      <c r="O116" t="s">
        <v>63</v>
      </c>
      <c r="P116" s="2">
        <v>0.40486111111111112</v>
      </c>
      <c r="Q116">
        <f>-0.0006614198*3600</f>
        <v>-2.3811112799999998</v>
      </c>
      <c r="R116">
        <f>-0.0022501773*3600</f>
        <v>-8.1006382800000001</v>
      </c>
    </row>
    <row r="117" spans="1:19" x14ac:dyDescent="0.3">
      <c r="A117" s="4" t="s">
        <v>47</v>
      </c>
      <c r="B117" t="s">
        <v>59</v>
      </c>
      <c r="C117">
        <v>98.751773</v>
      </c>
      <c r="D117">
        <v>299.70678900000001</v>
      </c>
      <c r="E117">
        <v>90.3279</v>
      </c>
      <c r="F117">
        <v>90.311400000000006</v>
      </c>
      <c r="G117">
        <v>0.23899999999999999</v>
      </c>
      <c r="H117">
        <v>0.24</v>
      </c>
      <c r="J117" t="s">
        <v>0</v>
      </c>
      <c r="K117" t="s">
        <v>61</v>
      </c>
      <c r="L117">
        <v>3.4000000000000002E-2</v>
      </c>
      <c r="M117" t="s">
        <v>52</v>
      </c>
      <c r="N117">
        <v>1</v>
      </c>
      <c r="O117" t="s">
        <v>53</v>
      </c>
      <c r="P117" s="2">
        <v>0.4055555555555555</v>
      </c>
      <c r="Q117">
        <f>-0.0006665162*3600</f>
        <v>-2.3994583199999999</v>
      </c>
      <c r="R117">
        <f>-0.0023025153*3600</f>
        <v>-8.2890550799999989</v>
      </c>
    </row>
    <row r="118" spans="1:19" x14ac:dyDescent="0.3">
      <c r="A118" s="4" t="s">
        <v>47</v>
      </c>
      <c r="B118" t="s">
        <v>59</v>
      </c>
      <c r="C118">
        <v>98.751744000000002</v>
      </c>
      <c r="D118">
        <v>299.70693499999999</v>
      </c>
      <c r="E118">
        <v>90.327699999999993</v>
      </c>
      <c r="F118">
        <v>90.311199999999999</v>
      </c>
      <c r="G118">
        <v>0.23899999999999999</v>
      </c>
      <c r="H118">
        <v>0.24</v>
      </c>
      <c r="J118" t="s">
        <v>0</v>
      </c>
      <c r="K118" t="s">
        <v>61</v>
      </c>
      <c r="L118">
        <v>0</v>
      </c>
      <c r="M118" t="s">
        <v>52</v>
      </c>
      <c r="N118">
        <v>1</v>
      </c>
      <c r="O118" t="s">
        <v>63</v>
      </c>
      <c r="P118" s="2">
        <v>0.4055555555555555</v>
      </c>
      <c r="Q118">
        <f>-0.0007271698*3600</f>
        <v>-2.6178112800000002</v>
      </c>
      <c r="R118">
        <f>-0.0023125734*3600</f>
        <v>-8.325264240000001</v>
      </c>
    </row>
    <row r="119" spans="1:19" x14ac:dyDescent="0.3">
      <c r="A119" s="4" t="s">
        <v>47</v>
      </c>
      <c r="B119" t="s">
        <v>59</v>
      </c>
      <c r="C119">
        <v>98.751823999999999</v>
      </c>
      <c r="D119">
        <v>299.706839</v>
      </c>
      <c r="E119">
        <v>90.327600000000004</v>
      </c>
      <c r="F119">
        <v>90.311099999999996</v>
      </c>
      <c r="G119">
        <v>0.23899999999999999</v>
      </c>
      <c r="H119">
        <v>0.24</v>
      </c>
      <c r="J119" t="s">
        <v>0</v>
      </c>
      <c r="K119" t="s">
        <v>61</v>
      </c>
      <c r="L119">
        <v>0</v>
      </c>
      <c r="M119" t="s">
        <v>52</v>
      </c>
      <c r="N119">
        <v>1</v>
      </c>
      <c r="O119" t="s">
        <v>63</v>
      </c>
      <c r="P119" s="2">
        <v>0.4055555555555555</v>
      </c>
      <c r="Q119">
        <f>-0.0007158104*3600</f>
        <v>-2.5769174399999999</v>
      </c>
      <c r="R119">
        <f>-0.0022452944*3600</f>
        <v>-8.0830598399999989</v>
      </c>
    </row>
    <row r="120" spans="1:19" x14ac:dyDescent="0.3">
      <c r="A120" s="4" t="s">
        <v>47</v>
      </c>
      <c r="B120" t="s">
        <v>59</v>
      </c>
      <c r="C120">
        <v>298.75238999999999</v>
      </c>
      <c r="D120">
        <v>100.292929</v>
      </c>
      <c r="E120">
        <v>90.3279</v>
      </c>
      <c r="F120">
        <v>90.311400000000006</v>
      </c>
      <c r="G120">
        <v>0.23899999999999999</v>
      </c>
      <c r="H120">
        <v>0.24</v>
      </c>
      <c r="J120" t="s">
        <v>0</v>
      </c>
      <c r="K120" t="s">
        <v>61</v>
      </c>
      <c r="L120">
        <v>0</v>
      </c>
      <c r="M120" t="s">
        <v>52</v>
      </c>
      <c r="N120">
        <v>1</v>
      </c>
      <c r="O120" t="s">
        <v>63</v>
      </c>
      <c r="P120" s="2">
        <v>0.4055555555555555</v>
      </c>
      <c r="Q120">
        <f>-0.0008539079*3600</f>
        <v>-3.07406844</v>
      </c>
      <c r="R120">
        <f>-0.0024388898*3600</f>
        <v>-8.780003279999999</v>
      </c>
    </row>
    <row r="121" spans="1:19" x14ac:dyDescent="0.3">
      <c r="A121" s="4" t="s">
        <v>47</v>
      </c>
      <c r="B121" t="s">
        <v>59</v>
      </c>
      <c r="C121">
        <v>98.752262000000002</v>
      </c>
      <c r="D121">
        <v>299.70683500000001</v>
      </c>
      <c r="E121">
        <v>90.327799999999996</v>
      </c>
      <c r="F121">
        <v>90.311300000000003</v>
      </c>
      <c r="G121">
        <v>0.23899999999999999</v>
      </c>
      <c r="H121">
        <v>0.24</v>
      </c>
      <c r="J121" t="s">
        <v>0</v>
      </c>
      <c r="K121" t="s">
        <v>61</v>
      </c>
      <c r="L121">
        <v>0</v>
      </c>
      <c r="M121" t="s">
        <v>52</v>
      </c>
      <c r="N121">
        <v>1</v>
      </c>
      <c r="O121" t="s">
        <v>63</v>
      </c>
      <c r="P121" s="2">
        <v>0.4055555555555555</v>
      </c>
      <c r="Q121">
        <f>-0.0007275519*3600</f>
        <v>-2.6191868399999998</v>
      </c>
      <c r="R121">
        <f>-0.0023994843*3600</f>
        <v>-8.6381434800000001</v>
      </c>
    </row>
    <row r="122" spans="1:19" x14ac:dyDescent="0.3">
      <c r="A122" s="4" t="s">
        <v>47</v>
      </c>
      <c r="B122" t="s">
        <v>59</v>
      </c>
      <c r="C122">
        <v>98.751617999999993</v>
      </c>
      <c r="D122">
        <v>299.70702</v>
      </c>
      <c r="E122">
        <v>90.327799999999996</v>
      </c>
      <c r="F122">
        <v>90.311300000000003</v>
      </c>
      <c r="G122">
        <v>0.23899999999999999</v>
      </c>
      <c r="H122">
        <v>0.24</v>
      </c>
      <c r="J122" t="s">
        <v>0</v>
      </c>
      <c r="K122" t="s">
        <v>61</v>
      </c>
      <c r="L122">
        <v>0</v>
      </c>
      <c r="M122" t="s">
        <v>52</v>
      </c>
      <c r="N122">
        <v>1</v>
      </c>
      <c r="O122" t="s">
        <v>63</v>
      </c>
      <c r="P122" s="2">
        <v>0.4055555555555555</v>
      </c>
      <c r="Q122">
        <f>-0.0006216713*3600</f>
        <v>-2.2380166799999999</v>
      </c>
      <c r="R122">
        <f>-0.0021727101*3600</f>
        <v>-7.8217563600000002</v>
      </c>
    </row>
    <row r="123" spans="1:19" x14ac:dyDescent="0.3">
      <c r="A123" s="4" t="s">
        <v>47</v>
      </c>
      <c r="B123" t="s">
        <v>59</v>
      </c>
      <c r="C123">
        <v>98.751638</v>
      </c>
      <c r="D123">
        <v>299.70690400000001</v>
      </c>
      <c r="E123">
        <v>90.327699999999993</v>
      </c>
      <c r="F123">
        <v>90.311199999999999</v>
      </c>
      <c r="G123">
        <v>0.23899999999999999</v>
      </c>
      <c r="H123">
        <v>0.24</v>
      </c>
      <c r="J123" t="s">
        <v>0</v>
      </c>
      <c r="K123" t="s">
        <v>61</v>
      </c>
      <c r="L123">
        <v>0</v>
      </c>
      <c r="M123" t="s">
        <v>52</v>
      </c>
      <c r="N123">
        <v>1</v>
      </c>
      <c r="O123" t="s">
        <v>63</v>
      </c>
      <c r="P123" s="2">
        <v>0.4055555555555555</v>
      </c>
      <c r="Q123">
        <f>-0.0007959067*3600</f>
        <v>-2.86526412</v>
      </c>
      <c r="R123">
        <f>-0.0022400878*3600</f>
        <v>-8.0643160799999993</v>
      </c>
    </row>
    <row r="124" spans="1:19" x14ac:dyDescent="0.3">
      <c r="A124" s="4" t="s">
        <v>47</v>
      </c>
      <c r="B124" t="s">
        <v>59</v>
      </c>
      <c r="C124">
        <v>98.751801</v>
      </c>
      <c r="D124">
        <v>299.70680099999998</v>
      </c>
      <c r="E124">
        <v>90.327699999999993</v>
      </c>
      <c r="F124">
        <v>90.311199999999999</v>
      </c>
      <c r="G124">
        <v>0.23899999999999999</v>
      </c>
      <c r="H124">
        <v>0.24</v>
      </c>
      <c r="J124" t="s">
        <v>0</v>
      </c>
      <c r="K124" t="s">
        <v>61</v>
      </c>
      <c r="L124">
        <v>0</v>
      </c>
      <c r="M124" t="s">
        <v>52</v>
      </c>
      <c r="N124">
        <v>1</v>
      </c>
      <c r="O124" t="s">
        <v>63</v>
      </c>
      <c r="P124" s="2">
        <v>0.4055555555555555</v>
      </c>
      <c r="Q124">
        <f>-0.000821089*3600</f>
        <v>-2.9559204000000001</v>
      </c>
      <c r="R124">
        <f>-0.0022971015*3600</f>
        <v>-8.2695653999999994</v>
      </c>
    </row>
    <row r="125" spans="1:19" x14ac:dyDescent="0.3">
      <c r="A125" s="4" t="s">
        <v>47</v>
      </c>
      <c r="B125" t="s">
        <v>59</v>
      </c>
      <c r="C125">
        <v>98.751613000000006</v>
      </c>
      <c r="D125">
        <v>299.70695000000001</v>
      </c>
      <c r="E125">
        <v>90.327799999999996</v>
      </c>
      <c r="F125">
        <v>90.311300000000003</v>
      </c>
      <c r="G125">
        <v>0.23899999999999999</v>
      </c>
      <c r="H125">
        <v>0.24</v>
      </c>
      <c r="J125" t="s">
        <v>0</v>
      </c>
      <c r="K125" t="s">
        <v>61</v>
      </c>
      <c r="L125">
        <v>3.4000000000000002E-2</v>
      </c>
      <c r="M125" t="s">
        <v>52</v>
      </c>
      <c r="N125">
        <v>1</v>
      </c>
      <c r="O125" t="s">
        <v>53</v>
      </c>
      <c r="P125" s="2">
        <v>0.4055555555555555</v>
      </c>
      <c r="Q125">
        <f>-0.000688553*3600</f>
        <v>-2.4787907999999996</v>
      </c>
      <c r="R125">
        <f>-0.0020208484*3600</f>
        <v>-7.2750542400000002</v>
      </c>
    </row>
    <row r="126" spans="1:19" x14ac:dyDescent="0.3">
      <c r="A126" s="4" t="s">
        <v>47</v>
      </c>
      <c r="B126" t="s">
        <v>59</v>
      </c>
      <c r="C126">
        <v>98.751695999999995</v>
      </c>
      <c r="D126">
        <v>299.70691799999997</v>
      </c>
      <c r="E126">
        <v>90.327799999999996</v>
      </c>
      <c r="F126">
        <v>90.311300000000003</v>
      </c>
      <c r="G126">
        <v>0.23899999999999999</v>
      </c>
      <c r="H126">
        <v>0.24</v>
      </c>
      <c r="J126" t="s">
        <v>0</v>
      </c>
      <c r="K126" t="s">
        <v>50</v>
      </c>
      <c r="L126" t="s">
        <v>51</v>
      </c>
      <c r="M126">
        <v>0</v>
      </c>
      <c r="N126" t="s">
        <v>57</v>
      </c>
      <c r="O126">
        <v>1</v>
      </c>
      <c r="P126" t="s">
        <v>53</v>
      </c>
      <c r="Q126" s="2">
        <v>0.40625</v>
      </c>
      <c r="R126">
        <f>-0.0005145015*3600</f>
        <v>-1.8522053999999999</v>
      </c>
      <c r="S126">
        <f>-0.0014861079*3600</f>
        <v>-5.3499884400000006</v>
      </c>
    </row>
    <row r="127" spans="1:19" x14ac:dyDescent="0.3">
      <c r="A127" s="4" t="s">
        <v>47</v>
      </c>
      <c r="B127" t="s">
        <v>59</v>
      </c>
      <c r="C127">
        <v>98.751194999999996</v>
      </c>
      <c r="D127">
        <v>299.70669500000002</v>
      </c>
      <c r="E127">
        <v>90.327699999999993</v>
      </c>
      <c r="F127">
        <v>90.311199999999999</v>
      </c>
      <c r="G127">
        <v>0.23899999999999999</v>
      </c>
      <c r="H127">
        <v>0.24</v>
      </c>
      <c r="J127" t="s">
        <v>0</v>
      </c>
      <c r="K127" t="s">
        <v>50</v>
      </c>
      <c r="L127" t="s">
        <v>51</v>
      </c>
      <c r="M127">
        <v>0</v>
      </c>
      <c r="N127" t="s">
        <v>57</v>
      </c>
      <c r="O127">
        <v>1</v>
      </c>
      <c r="P127" t="s">
        <v>53</v>
      </c>
      <c r="Q127" s="2">
        <v>0.40625</v>
      </c>
      <c r="R127">
        <f>-0.0004778591*3600</f>
        <v>-1.72029276</v>
      </c>
      <c r="S127">
        <f>-0.0014480234*3600</f>
        <v>-5.2128842400000002</v>
      </c>
    </row>
    <row r="128" spans="1:19" x14ac:dyDescent="0.3">
      <c r="A128" s="4" t="s">
        <v>47</v>
      </c>
      <c r="B128" t="s">
        <v>59</v>
      </c>
      <c r="C128">
        <v>98.751581999999999</v>
      </c>
      <c r="D128">
        <v>299.70700699999998</v>
      </c>
      <c r="E128">
        <v>90.327799999999996</v>
      </c>
      <c r="F128">
        <v>90.311300000000003</v>
      </c>
      <c r="G128">
        <v>0.23899999999999999</v>
      </c>
      <c r="H128">
        <v>0.24</v>
      </c>
      <c r="J128" t="s">
        <v>0</v>
      </c>
      <c r="K128" t="s">
        <v>50</v>
      </c>
      <c r="L128" t="s">
        <v>51</v>
      </c>
      <c r="M128">
        <v>0</v>
      </c>
      <c r="N128" t="s">
        <v>57</v>
      </c>
      <c r="O128">
        <v>1</v>
      </c>
      <c r="P128" t="s">
        <v>53</v>
      </c>
      <c r="Q128" s="2">
        <v>0.40625</v>
      </c>
      <c r="R128">
        <f>-0.0004261761*3600</f>
        <v>-1.5342339599999999</v>
      </c>
      <c r="S128">
        <f>-0.0014571136*3600</f>
        <v>-5.2456089600000002</v>
      </c>
    </row>
    <row r="129" spans="1:19" x14ac:dyDescent="0.3">
      <c r="A129" s="4" t="s">
        <v>47</v>
      </c>
      <c r="B129" t="s">
        <v>59</v>
      </c>
      <c r="C129">
        <v>98.751388000000006</v>
      </c>
      <c r="D129">
        <v>299.70699500000001</v>
      </c>
      <c r="E129">
        <v>90.327699999999993</v>
      </c>
      <c r="F129">
        <v>90.311199999999999</v>
      </c>
      <c r="G129">
        <v>0.23899999999999999</v>
      </c>
      <c r="H129">
        <v>0.24</v>
      </c>
      <c r="J129" t="s">
        <v>0</v>
      </c>
      <c r="K129" t="s">
        <v>50</v>
      </c>
      <c r="L129" t="s">
        <v>51</v>
      </c>
      <c r="M129">
        <v>0</v>
      </c>
      <c r="N129" t="s">
        <v>57</v>
      </c>
      <c r="O129">
        <v>1</v>
      </c>
      <c r="P129" t="s">
        <v>53</v>
      </c>
      <c r="Q129" s="2">
        <v>0.4069444444444445</v>
      </c>
      <c r="R129">
        <f>-0.0004015772*3600</f>
        <v>-1.4456779199999998</v>
      </c>
      <c r="S129">
        <f>-0.0013842872*3600</f>
        <v>-4.9834339199999995</v>
      </c>
    </row>
    <row r="130" spans="1:19" x14ac:dyDescent="0.3">
      <c r="A130" s="4" t="s">
        <v>47</v>
      </c>
      <c r="B130" t="s">
        <v>59</v>
      </c>
      <c r="C130">
        <v>98.751137999999997</v>
      </c>
      <c r="D130">
        <v>299.70685099999997</v>
      </c>
      <c r="E130">
        <v>90.327799999999996</v>
      </c>
      <c r="F130">
        <v>90.311300000000003</v>
      </c>
      <c r="G130">
        <v>0.23899999999999999</v>
      </c>
      <c r="H130">
        <v>0.24</v>
      </c>
      <c r="J130" t="s">
        <v>0</v>
      </c>
      <c r="K130" t="s">
        <v>50</v>
      </c>
      <c r="L130" t="s">
        <v>51</v>
      </c>
      <c r="M130">
        <v>0</v>
      </c>
      <c r="N130" t="s">
        <v>57</v>
      </c>
      <c r="O130">
        <v>1</v>
      </c>
      <c r="P130" t="s">
        <v>53</v>
      </c>
      <c r="Q130" s="2">
        <v>0.4069444444444445</v>
      </c>
      <c r="R130">
        <f>-0.0003661058*3600</f>
        <v>-1.3179808799999999</v>
      </c>
      <c r="S130">
        <f>-0.0013468663*3600</f>
        <v>-4.8487186800000002</v>
      </c>
    </row>
    <row r="131" spans="1:19" x14ac:dyDescent="0.3">
      <c r="A131" s="4" t="s">
        <v>47</v>
      </c>
      <c r="B131" t="s">
        <v>59</v>
      </c>
      <c r="C131">
        <v>298.75236000000001</v>
      </c>
      <c r="D131">
        <v>100.292817</v>
      </c>
      <c r="E131">
        <v>90.3279</v>
      </c>
      <c r="F131">
        <v>90.311400000000006</v>
      </c>
      <c r="G131">
        <v>0.23899999999999999</v>
      </c>
      <c r="H131">
        <v>0.24</v>
      </c>
      <c r="J131" t="s">
        <v>0</v>
      </c>
      <c r="K131" t="s">
        <v>50</v>
      </c>
      <c r="L131" t="s">
        <v>51</v>
      </c>
      <c r="M131">
        <v>0</v>
      </c>
      <c r="N131" t="s">
        <v>57</v>
      </c>
      <c r="O131">
        <v>1</v>
      </c>
      <c r="P131" t="s">
        <v>53</v>
      </c>
      <c r="Q131" s="2">
        <v>0.4069444444444445</v>
      </c>
      <c r="R131">
        <f>-0.0004406664*3600</f>
        <v>-1.5863990400000001</v>
      </c>
      <c r="S131">
        <f>-0.0014375206*3600</f>
        <v>-5.1750741600000003</v>
      </c>
    </row>
    <row r="132" spans="1:19" x14ac:dyDescent="0.3">
      <c r="A132" s="4" t="s">
        <v>47</v>
      </c>
      <c r="B132" t="s">
        <v>59</v>
      </c>
      <c r="C132">
        <v>98.751447999999996</v>
      </c>
      <c r="D132">
        <v>299.706906</v>
      </c>
      <c r="E132">
        <v>90.327799999999996</v>
      </c>
      <c r="F132">
        <v>90.311300000000003</v>
      </c>
      <c r="G132">
        <v>0.23899999999999999</v>
      </c>
      <c r="H132">
        <v>0.24</v>
      </c>
      <c r="J132" t="s">
        <v>0</v>
      </c>
      <c r="K132" t="s">
        <v>50</v>
      </c>
      <c r="L132" t="s">
        <v>51</v>
      </c>
      <c r="M132">
        <v>0</v>
      </c>
      <c r="N132" t="s">
        <v>57</v>
      </c>
      <c r="O132">
        <v>1</v>
      </c>
      <c r="P132" t="s">
        <v>53</v>
      </c>
      <c r="Q132" s="2">
        <v>0.4069444444444445</v>
      </c>
      <c r="R132">
        <f>-0.0004753199*3600</f>
        <v>-1.71115164</v>
      </c>
      <c r="S132">
        <f>-0.0017029686*3600</f>
        <v>-6.1306869600000002</v>
      </c>
    </row>
    <row r="133" spans="1:19" x14ac:dyDescent="0.3">
      <c r="A133" s="4" t="s">
        <v>47</v>
      </c>
      <c r="B133" t="s">
        <v>59</v>
      </c>
      <c r="C133">
        <v>98.751299000000003</v>
      </c>
      <c r="D133">
        <v>299.70696600000002</v>
      </c>
      <c r="E133">
        <v>90.3279</v>
      </c>
      <c r="F133">
        <v>90.311400000000006</v>
      </c>
      <c r="G133">
        <v>0.23899999999999999</v>
      </c>
      <c r="H133">
        <v>0.24</v>
      </c>
      <c r="J133" t="s">
        <v>0</v>
      </c>
      <c r="K133" t="s">
        <v>50</v>
      </c>
      <c r="L133" t="s">
        <v>51</v>
      </c>
      <c r="M133">
        <v>0</v>
      </c>
      <c r="N133" t="s">
        <v>57</v>
      </c>
      <c r="O133">
        <v>1</v>
      </c>
      <c r="P133" t="s">
        <v>53</v>
      </c>
      <c r="Q133" s="2">
        <v>0.4069444444444445</v>
      </c>
      <c r="R133">
        <f>-0.000387157*3600</f>
        <v>-1.3937652</v>
      </c>
      <c r="S133">
        <f>-0.0013943586*3600</f>
        <v>-5.0196909600000001</v>
      </c>
    </row>
    <row r="134" spans="1:19" x14ac:dyDescent="0.3">
      <c r="A134" s="4" t="s">
        <v>47</v>
      </c>
      <c r="B134" t="s">
        <v>59</v>
      </c>
      <c r="C134">
        <v>98.751647000000006</v>
      </c>
      <c r="D134">
        <v>299.706793</v>
      </c>
      <c r="E134">
        <v>90.327600000000004</v>
      </c>
      <c r="F134">
        <v>90.311099999999996</v>
      </c>
      <c r="G134">
        <v>0.23899999999999999</v>
      </c>
      <c r="H134">
        <v>0.24</v>
      </c>
      <c r="J134" t="s">
        <v>0</v>
      </c>
      <c r="K134" t="s">
        <v>50</v>
      </c>
      <c r="L134" t="s">
        <v>51</v>
      </c>
      <c r="M134">
        <v>0</v>
      </c>
      <c r="N134" t="s">
        <v>57</v>
      </c>
      <c r="O134">
        <v>1</v>
      </c>
      <c r="P134" t="s">
        <v>53</v>
      </c>
      <c r="Q134" s="2">
        <v>0.4069444444444445</v>
      </c>
      <c r="R134">
        <f>-0.0003511391*3600</f>
        <v>-1.26410076</v>
      </c>
      <c r="S134">
        <f>-0.001375226*3600</f>
        <v>-4.9508136</v>
      </c>
    </row>
    <row r="135" spans="1:19" x14ac:dyDescent="0.3">
      <c r="A135" s="4" t="s">
        <v>47</v>
      </c>
      <c r="B135" t="s">
        <v>59</v>
      </c>
      <c r="C135">
        <v>98.751724999999993</v>
      </c>
      <c r="D135">
        <v>299.70676600000002</v>
      </c>
      <c r="E135">
        <v>90.3279</v>
      </c>
      <c r="F135">
        <v>90.311400000000006</v>
      </c>
      <c r="G135">
        <v>0.23899999999999999</v>
      </c>
      <c r="H135">
        <v>0.24</v>
      </c>
      <c r="J135" t="s">
        <v>0</v>
      </c>
      <c r="K135" t="s">
        <v>50</v>
      </c>
      <c r="L135" t="s">
        <v>51</v>
      </c>
      <c r="M135">
        <v>0</v>
      </c>
      <c r="N135" t="s">
        <v>57</v>
      </c>
      <c r="O135">
        <v>1</v>
      </c>
      <c r="P135" t="s">
        <v>53</v>
      </c>
      <c r="Q135" s="2">
        <v>0.4069444444444445</v>
      </c>
      <c r="R135">
        <f>-0.0003201981*3600</f>
        <v>-1.15271316</v>
      </c>
      <c r="S135">
        <f>-0.0013711861*3600</f>
        <v>-4.9362699599999997</v>
      </c>
    </row>
    <row r="136" spans="1:19" x14ac:dyDescent="0.3">
      <c r="A136" s="4" t="s">
        <v>47</v>
      </c>
      <c r="B136" t="s">
        <v>59</v>
      </c>
      <c r="C136">
        <v>98.751739999999998</v>
      </c>
      <c r="D136">
        <v>299.70656600000001</v>
      </c>
      <c r="E136">
        <v>90.3279</v>
      </c>
      <c r="F136">
        <v>90.311400000000006</v>
      </c>
      <c r="G136">
        <v>0.23899999999999999</v>
      </c>
      <c r="H136">
        <v>0.24</v>
      </c>
      <c r="J136" t="s">
        <v>0</v>
      </c>
      <c r="K136" t="s">
        <v>50</v>
      </c>
      <c r="L136" t="s">
        <v>51</v>
      </c>
      <c r="M136">
        <v>0</v>
      </c>
      <c r="N136" t="s">
        <v>57</v>
      </c>
      <c r="O136">
        <v>1</v>
      </c>
      <c r="P136" t="s">
        <v>53</v>
      </c>
      <c r="Q136" s="2">
        <v>0.4069444444444445</v>
      </c>
      <c r="R136">
        <f>-0.0003096225*3600</f>
        <v>-1.114641</v>
      </c>
      <c r="S136">
        <f>-0.0013743589*3600</f>
        <v>-4.9476920400000006</v>
      </c>
    </row>
    <row r="137" spans="1:19" x14ac:dyDescent="0.3">
      <c r="A137" s="4" t="s">
        <v>47</v>
      </c>
      <c r="B137" t="s">
        <v>59</v>
      </c>
      <c r="C137">
        <v>98.751548</v>
      </c>
      <c r="D137">
        <v>299.70669299999997</v>
      </c>
      <c r="E137">
        <v>90.327600000000004</v>
      </c>
      <c r="F137">
        <v>90.311099999999996</v>
      </c>
      <c r="G137">
        <v>0.23899999999999999</v>
      </c>
      <c r="H137">
        <v>0.24</v>
      </c>
      <c r="J137" t="s">
        <v>0</v>
      </c>
      <c r="K137" t="s">
        <v>50</v>
      </c>
      <c r="L137" t="s">
        <v>51</v>
      </c>
      <c r="M137">
        <v>0</v>
      </c>
      <c r="N137" t="s">
        <v>57</v>
      </c>
      <c r="O137">
        <v>1</v>
      </c>
      <c r="P137" t="s">
        <v>53</v>
      </c>
      <c r="Q137" s="2">
        <v>0.4069444444444445</v>
      </c>
      <c r="R137">
        <f>-0.0002362804*3600</f>
        <v>-0.85060944000000005</v>
      </c>
      <c r="S137">
        <f>-0.0012967026*3600</f>
        <v>-4.66812936</v>
      </c>
    </row>
    <row r="138" spans="1:19" x14ac:dyDescent="0.3">
      <c r="A138" s="4" t="s">
        <v>47</v>
      </c>
      <c r="B138" t="s">
        <v>59</v>
      </c>
      <c r="C138">
        <v>98.751498999999995</v>
      </c>
      <c r="D138">
        <v>299.70673499999998</v>
      </c>
      <c r="E138">
        <v>90.327699999999993</v>
      </c>
      <c r="F138">
        <v>90.311199999999999</v>
      </c>
      <c r="G138">
        <v>0.23899999999999999</v>
      </c>
      <c r="H138">
        <v>0.24</v>
      </c>
      <c r="J138" t="s">
        <v>0</v>
      </c>
      <c r="K138" t="s">
        <v>50</v>
      </c>
      <c r="L138" t="s">
        <v>51</v>
      </c>
      <c r="M138">
        <v>0</v>
      </c>
      <c r="N138" t="s">
        <v>57</v>
      </c>
      <c r="O138">
        <v>1</v>
      </c>
      <c r="P138" t="s">
        <v>53</v>
      </c>
      <c r="Q138" s="2">
        <v>0.4069444444444445</v>
      </c>
      <c r="R138">
        <f>-0.0003128924*3600</f>
        <v>-1.1264126400000001</v>
      </c>
      <c r="S138">
        <f>-0.001417575*3600</f>
        <v>-5.1032699999999993</v>
      </c>
    </row>
    <row r="139" spans="1:19" x14ac:dyDescent="0.3">
      <c r="A139" s="4" t="s">
        <v>47</v>
      </c>
      <c r="B139" t="s">
        <v>59</v>
      </c>
      <c r="C139">
        <v>98.751813999999996</v>
      </c>
      <c r="D139">
        <v>299.70685300000002</v>
      </c>
      <c r="E139">
        <v>90.327699999999993</v>
      </c>
      <c r="F139">
        <v>90.311199999999999</v>
      </c>
      <c r="G139">
        <v>0.23899999999999999</v>
      </c>
      <c r="H139">
        <v>0.24</v>
      </c>
      <c r="J139" t="s">
        <v>0</v>
      </c>
      <c r="K139" t="s">
        <v>50</v>
      </c>
      <c r="L139" t="s">
        <v>51</v>
      </c>
      <c r="M139">
        <v>0</v>
      </c>
      <c r="N139" t="s">
        <v>57</v>
      </c>
      <c r="O139">
        <v>1</v>
      </c>
      <c r="P139" t="s">
        <v>53</v>
      </c>
      <c r="Q139" s="2">
        <v>0.4069444444444445</v>
      </c>
      <c r="R139">
        <f>-0.0002942882*3600</f>
        <v>-1.0594375199999999</v>
      </c>
      <c r="S139">
        <f>-0.0013748769*3600</f>
        <v>-4.9495568399999996</v>
      </c>
    </row>
    <row r="140" spans="1:19" x14ac:dyDescent="0.3">
      <c r="A140" s="4" t="s">
        <v>47</v>
      </c>
      <c r="B140" t="s">
        <v>59</v>
      </c>
      <c r="C140">
        <v>98.751562000000007</v>
      </c>
      <c r="D140">
        <v>299.70675</v>
      </c>
      <c r="E140">
        <v>90.327600000000004</v>
      </c>
      <c r="F140">
        <v>90.311099999999996</v>
      </c>
      <c r="G140">
        <v>0.23899999999999999</v>
      </c>
      <c r="H140">
        <v>0.24</v>
      </c>
      <c r="J140" t="s">
        <v>0</v>
      </c>
      <c r="K140" t="s">
        <v>50</v>
      </c>
      <c r="L140" t="s">
        <v>51</v>
      </c>
      <c r="M140">
        <v>0</v>
      </c>
      <c r="N140" t="s">
        <v>57</v>
      </c>
      <c r="O140">
        <v>1</v>
      </c>
      <c r="P140" t="s">
        <v>53</v>
      </c>
      <c r="Q140" s="2">
        <v>0.4069444444444445</v>
      </c>
      <c r="R140">
        <f>-0.0002072189*3600</f>
        <v>-0.74598803999999996</v>
      </c>
      <c r="S140">
        <f>-0.0013120942*3600</f>
        <v>-4.7235391199999999</v>
      </c>
    </row>
    <row r="141" spans="1:19" x14ac:dyDescent="0.3">
      <c r="A141" s="4" t="s">
        <v>47</v>
      </c>
      <c r="B141" t="s">
        <v>59</v>
      </c>
      <c r="C141">
        <v>98.751347999999993</v>
      </c>
      <c r="D141">
        <v>299.70680099999998</v>
      </c>
      <c r="E141">
        <v>90.327799999999996</v>
      </c>
      <c r="F141">
        <v>90.311300000000003</v>
      </c>
      <c r="G141">
        <v>0.23899999999999999</v>
      </c>
      <c r="H141">
        <v>0.24</v>
      </c>
      <c r="J141" t="s">
        <v>0</v>
      </c>
      <c r="K141" t="s">
        <v>50</v>
      </c>
      <c r="L141" t="s">
        <v>51</v>
      </c>
      <c r="M141">
        <v>0</v>
      </c>
      <c r="N141" t="s">
        <v>57</v>
      </c>
      <c r="O141">
        <v>1</v>
      </c>
      <c r="P141" t="s">
        <v>53</v>
      </c>
      <c r="Q141" s="2">
        <v>0.4069444444444445</v>
      </c>
      <c r="R141">
        <f>-0.0001762887*3600</f>
        <v>-0.63463932000000001</v>
      </c>
      <c r="S141">
        <f>-0.0012832416*3600</f>
        <v>-4.6196697599999998</v>
      </c>
    </row>
    <row r="142" spans="1:19" x14ac:dyDescent="0.3">
      <c r="A142" s="4" t="s">
        <v>47</v>
      </c>
      <c r="B142" t="s">
        <v>59</v>
      </c>
      <c r="C142">
        <v>298.75228900000002</v>
      </c>
      <c r="D142">
        <v>100.29298199999999</v>
      </c>
      <c r="E142">
        <v>90.3279</v>
      </c>
      <c r="F142">
        <v>90.311400000000006</v>
      </c>
      <c r="G142">
        <v>0.23899999999999999</v>
      </c>
      <c r="H142">
        <v>0.24</v>
      </c>
      <c r="J142" t="s">
        <v>0</v>
      </c>
      <c r="K142" t="s">
        <v>50</v>
      </c>
      <c r="L142" t="s">
        <v>51</v>
      </c>
      <c r="M142">
        <v>0</v>
      </c>
      <c r="N142" t="s">
        <v>57</v>
      </c>
      <c r="O142">
        <v>1</v>
      </c>
      <c r="P142" t="s">
        <v>53</v>
      </c>
      <c r="Q142" s="2">
        <v>0.4069444444444445</v>
      </c>
      <c r="R142">
        <f>-0.0001713672*3600</f>
        <v>-0.61692192000000001</v>
      </c>
      <c r="S142">
        <f>-0.0012959663*3600</f>
        <v>-4.6654786800000005</v>
      </c>
    </row>
    <row r="143" spans="1:19" x14ac:dyDescent="0.3">
      <c r="A143" s="4" t="s">
        <v>47</v>
      </c>
      <c r="B143" t="s">
        <v>59</v>
      </c>
      <c r="C143">
        <v>98.751596000000006</v>
      </c>
      <c r="D143">
        <v>299.706748</v>
      </c>
      <c r="E143">
        <v>90.327699999999993</v>
      </c>
      <c r="F143">
        <v>90.311199999999999</v>
      </c>
      <c r="G143">
        <v>0.23899999999999999</v>
      </c>
      <c r="H143">
        <v>0.24</v>
      </c>
      <c r="J143" t="s">
        <v>0</v>
      </c>
      <c r="K143" t="s">
        <v>50</v>
      </c>
      <c r="L143" t="s">
        <v>51</v>
      </c>
      <c r="M143">
        <v>0</v>
      </c>
      <c r="N143" t="s">
        <v>57</v>
      </c>
      <c r="O143">
        <v>1</v>
      </c>
      <c r="P143" t="s">
        <v>53</v>
      </c>
      <c r="Q143" s="2">
        <v>0.4069444444444445</v>
      </c>
      <c r="R143">
        <f>-0.0001961175*3600</f>
        <v>-0.70602299999999996</v>
      </c>
      <c r="S143">
        <f>-0.0013491335*3600</f>
        <v>-4.8568805999999993</v>
      </c>
    </row>
    <row r="144" spans="1:19" x14ac:dyDescent="0.3">
      <c r="A144" s="4" t="s">
        <v>47</v>
      </c>
      <c r="B144" t="s">
        <v>59</v>
      </c>
      <c r="C144">
        <v>98.751341999999994</v>
      </c>
      <c r="D144">
        <v>299.70678700000002</v>
      </c>
      <c r="E144">
        <v>90.327600000000004</v>
      </c>
      <c r="F144">
        <v>90.311099999999996</v>
      </c>
      <c r="G144">
        <v>0.23899999999999999</v>
      </c>
      <c r="H144">
        <v>0.24</v>
      </c>
      <c r="J144" t="s">
        <v>0</v>
      </c>
      <c r="K144" t="s">
        <v>50</v>
      </c>
      <c r="L144" t="s">
        <v>51</v>
      </c>
      <c r="M144">
        <v>0</v>
      </c>
      <c r="N144" t="s">
        <v>57</v>
      </c>
      <c r="O144">
        <v>1</v>
      </c>
      <c r="P144" t="s">
        <v>53</v>
      </c>
      <c r="Q144" s="2">
        <v>0.40763888888888888</v>
      </c>
      <c r="R144">
        <f>-0.000136571*3600</f>
        <v>-0.49165559999999997</v>
      </c>
      <c r="S144">
        <f>-0.0012821522*3600</f>
        <v>-4.6157479200000004</v>
      </c>
    </row>
    <row r="145" spans="1:19" x14ac:dyDescent="0.3">
      <c r="A145" s="4" t="s">
        <v>47</v>
      </c>
      <c r="B145" t="s">
        <v>59</v>
      </c>
      <c r="C145">
        <v>98.751419999999996</v>
      </c>
      <c r="D145">
        <v>299.70678199999998</v>
      </c>
      <c r="E145">
        <v>90.327799999999996</v>
      </c>
      <c r="F145">
        <v>90.311300000000003</v>
      </c>
      <c r="G145">
        <v>0.23899999999999999</v>
      </c>
      <c r="H145">
        <v>0.24</v>
      </c>
      <c r="J145" t="s">
        <v>0</v>
      </c>
      <c r="K145" t="s">
        <v>50</v>
      </c>
      <c r="L145" t="s">
        <v>51</v>
      </c>
      <c r="M145">
        <v>0</v>
      </c>
      <c r="N145" t="s">
        <v>57</v>
      </c>
      <c r="O145">
        <v>1</v>
      </c>
      <c r="P145" t="s">
        <v>53</v>
      </c>
      <c r="Q145" s="2">
        <v>0.40763888888888888</v>
      </c>
      <c r="R145">
        <f>-0.0001173696*3600</f>
        <v>-0.42253056</v>
      </c>
      <c r="S145">
        <f>-0.0012668601*3600</f>
        <v>-4.5606963599999997</v>
      </c>
    </row>
    <row r="146" spans="1:19" x14ac:dyDescent="0.3">
      <c r="A146" s="4" t="s">
        <v>47</v>
      </c>
      <c r="B146" t="s">
        <v>59</v>
      </c>
      <c r="C146">
        <v>98.751453999999995</v>
      </c>
      <c r="D146">
        <v>299.706637</v>
      </c>
      <c r="E146">
        <v>90.327699999999993</v>
      </c>
      <c r="F146">
        <v>90.311199999999999</v>
      </c>
      <c r="G146">
        <v>0.23899999999999999</v>
      </c>
      <c r="H146">
        <v>0.24</v>
      </c>
      <c r="J146" t="s">
        <v>0</v>
      </c>
      <c r="K146" t="s">
        <v>50</v>
      </c>
      <c r="L146" t="s">
        <v>51</v>
      </c>
      <c r="M146">
        <v>0</v>
      </c>
      <c r="N146" t="s">
        <v>57</v>
      </c>
      <c r="O146">
        <v>1</v>
      </c>
      <c r="P146" t="s">
        <v>53</v>
      </c>
      <c r="Q146" s="2">
        <v>0.40763888888888888</v>
      </c>
      <c r="R146">
        <f>-0.0001225686*3600</f>
        <v>-0.44124695999999997</v>
      </c>
      <c r="S146">
        <f>-0.0012511984*3600</f>
        <v>-4.5043142399999994</v>
      </c>
    </row>
    <row r="147" spans="1:19" x14ac:dyDescent="0.3">
      <c r="A147" s="4" t="s">
        <v>47</v>
      </c>
      <c r="B147" t="s">
        <v>59</v>
      </c>
      <c r="C147">
        <v>298.75150400000001</v>
      </c>
      <c r="D147">
        <v>100.292632</v>
      </c>
      <c r="E147">
        <v>90.328000000000003</v>
      </c>
      <c r="F147">
        <v>90.311499999999995</v>
      </c>
      <c r="G147">
        <v>0.23899999999999999</v>
      </c>
      <c r="H147">
        <v>0.24</v>
      </c>
      <c r="J147" t="s">
        <v>0</v>
      </c>
      <c r="K147" t="s">
        <v>50</v>
      </c>
      <c r="L147" t="s">
        <v>51</v>
      </c>
      <c r="M147">
        <v>0</v>
      </c>
      <c r="N147" t="s">
        <v>57</v>
      </c>
      <c r="O147">
        <v>1</v>
      </c>
      <c r="P147" t="s">
        <v>53</v>
      </c>
      <c r="Q147" s="2">
        <v>0.40763888888888888</v>
      </c>
      <c r="R147">
        <f>-0.0000824056*3600</f>
        <v>-0.29666016000000001</v>
      </c>
      <c r="S147">
        <f>-0.0012296173*3600</f>
        <v>-4.4266222800000001</v>
      </c>
    </row>
    <row r="148" spans="1:19" x14ac:dyDescent="0.3">
      <c r="A148" s="4" t="s">
        <v>47</v>
      </c>
      <c r="B148" t="s">
        <v>59</v>
      </c>
      <c r="C148">
        <v>298.75160899999997</v>
      </c>
      <c r="D148">
        <v>100.292844</v>
      </c>
      <c r="E148">
        <v>90.3279</v>
      </c>
      <c r="F148">
        <v>90.311400000000006</v>
      </c>
      <c r="G148">
        <v>0.23899999999999999</v>
      </c>
      <c r="H148">
        <v>0.24</v>
      </c>
      <c r="J148" t="s">
        <v>0</v>
      </c>
      <c r="K148" t="s">
        <v>50</v>
      </c>
      <c r="L148" t="s">
        <v>51</v>
      </c>
      <c r="M148">
        <v>0</v>
      </c>
      <c r="N148" t="s">
        <v>57</v>
      </c>
      <c r="O148">
        <v>1</v>
      </c>
      <c r="P148" t="s">
        <v>53</v>
      </c>
      <c r="Q148" s="2">
        <v>0.40763888888888888</v>
      </c>
      <c r="R148">
        <f>-0.000107207*3600</f>
        <v>-0.38594520000000004</v>
      </c>
      <c r="S148">
        <f>-0.0012429166*3600</f>
        <v>-4.4744997599999996</v>
      </c>
    </row>
    <row r="149" spans="1:19" x14ac:dyDescent="0.3">
      <c r="A149" s="4" t="s">
        <v>47</v>
      </c>
      <c r="B149" t="s">
        <v>59</v>
      </c>
      <c r="C149">
        <v>298.75160599999998</v>
      </c>
      <c r="D149">
        <v>100.292884</v>
      </c>
      <c r="E149">
        <v>90.328100000000006</v>
      </c>
      <c r="F149">
        <v>90.311599999999999</v>
      </c>
      <c r="G149">
        <v>0.23899999999999999</v>
      </c>
      <c r="H149">
        <v>0.24</v>
      </c>
      <c r="J149" t="s">
        <v>0</v>
      </c>
      <c r="K149" t="s">
        <v>50</v>
      </c>
      <c r="L149" t="s">
        <v>51</v>
      </c>
      <c r="M149">
        <v>0</v>
      </c>
      <c r="N149" t="s">
        <v>57</v>
      </c>
      <c r="O149">
        <v>1</v>
      </c>
      <c r="P149" t="s">
        <v>53</v>
      </c>
      <c r="Q149" s="2">
        <v>0.40763888888888888</v>
      </c>
      <c r="R149">
        <f>-0.0000479799*3600</f>
        <v>-0.17272763999999999</v>
      </c>
      <c r="S149">
        <f>-0.0012249661*3600</f>
        <v>-4.4098779599999993</v>
      </c>
    </row>
    <row r="150" spans="1:19" x14ac:dyDescent="0.3">
      <c r="A150" s="4" t="s">
        <v>47</v>
      </c>
      <c r="B150" t="s">
        <v>59</v>
      </c>
      <c r="C150">
        <v>298.75153399999999</v>
      </c>
      <c r="D150">
        <v>100.292857</v>
      </c>
      <c r="E150">
        <v>90.328000000000003</v>
      </c>
      <c r="F150">
        <v>90.311499999999995</v>
      </c>
      <c r="G150">
        <v>0.23899999999999999</v>
      </c>
      <c r="H150">
        <v>0.24</v>
      </c>
      <c r="J150" t="s">
        <v>0</v>
      </c>
      <c r="K150" t="s">
        <v>50</v>
      </c>
      <c r="L150" t="s">
        <v>51</v>
      </c>
      <c r="M150">
        <v>0</v>
      </c>
      <c r="N150" t="s">
        <v>57</v>
      </c>
      <c r="O150">
        <v>1</v>
      </c>
      <c r="P150" t="s">
        <v>53</v>
      </c>
      <c r="Q150" s="2">
        <v>0.40763888888888888</v>
      </c>
      <c r="R150">
        <f>-0.0000769371*3600</f>
        <v>-0.27697356000000001</v>
      </c>
      <c r="S150">
        <f>-0.0012817837*3600</f>
        <v>-4.6144213199999999</v>
      </c>
    </row>
    <row r="151" spans="1:19" x14ac:dyDescent="0.3">
      <c r="A151" s="4" t="s">
        <v>47</v>
      </c>
      <c r="B151" t="s">
        <v>59</v>
      </c>
      <c r="C151">
        <v>298.75174900000002</v>
      </c>
      <c r="D151">
        <v>100.292768</v>
      </c>
      <c r="E151">
        <v>90.328000000000003</v>
      </c>
      <c r="F151">
        <v>90.311499999999995</v>
      </c>
      <c r="G151">
        <v>0.23899999999999999</v>
      </c>
      <c r="H151">
        <v>0.24</v>
      </c>
      <c r="J151" t="s">
        <v>0</v>
      </c>
      <c r="K151" t="s">
        <v>50</v>
      </c>
      <c r="L151" t="s">
        <v>51</v>
      </c>
      <c r="M151">
        <v>0</v>
      </c>
      <c r="N151" t="s">
        <v>57</v>
      </c>
      <c r="O151">
        <v>1</v>
      </c>
      <c r="P151" t="s">
        <v>53</v>
      </c>
      <c r="Q151" s="2">
        <v>0.40763888888888888</v>
      </c>
      <c r="R151">
        <f>-0.0000963749*3600</f>
        <v>-0.34694964</v>
      </c>
      <c r="S151">
        <f>-0.0015582984*3600</f>
        <v>-5.6098742399999999</v>
      </c>
    </row>
    <row r="152" spans="1:19" x14ac:dyDescent="0.3">
      <c r="A152" s="4" t="s">
        <v>47</v>
      </c>
      <c r="B152" t="s">
        <v>59</v>
      </c>
      <c r="C152">
        <v>298.75169599999998</v>
      </c>
      <c r="D152">
        <v>100.29270699999999</v>
      </c>
      <c r="E152">
        <v>90.3279</v>
      </c>
      <c r="F152">
        <v>90.311400000000006</v>
      </c>
      <c r="G152">
        <v>0.23899999999999999</v>
      </c>
      <c r="H152">
        <v>0.24</v>
      </c>
      <c r="J152" t="s">
        <v>0</v>
      </c>
      <c r="K152" t="s">
        <v>50</v>
      </c>
      <c r="L152" t="s">
        <v>51</v>
      </c>
      <c r="M152">
        <v>0</v>
      </c>
      <c r="N152" t="s">
        <v>57</v>
      </c>
      <c r="O152">
        <v>1</v>
      </c>
      <c r="P152" t="s">
        <v>53</v>
      </c>
      <c r="Q152" s="2">
        <v>0.40763888888888888</v>
      </c>
      <c r="R152">
        <f>-0.0001864098*3600</f>
        <v>-0.67107528000000005</v>
      </c>
      <c r="S152">
        <f>-0.0017102806*3600</f>
        <v>-6.1570101599999996</v>
      </c>
    </row>
    <row r="153" spans="1:19" x14ac:dyDescent="0.3">
      <c r="A153" s="4" t="s">
        <v>47</v>
      </c>
      <c r="B153" t="s">
        <v>59</v>
      </c>
      <c r="C153">
        <v>298.75204200000002</v>
      </c>
      <c r="D153">
        <v>100.29277</v>
      </c>
      <c r="E153">
        <v>90.328000000000003</v>
      </c>
      <c r="F153">
        <v>90.311499999999995</v>
      </c>
      <c r="G153">
        <v>0.23899999999999999</v>
      </c>
      <c r="H153">
        <v>0.24</v>
      </c>
      <c r="J153" t="s">
        <v>0</v>
      </c>
      <c r="K153" t="s">
        <v>50</v>
      </c>
      <c r="L153" t="s">
        <v>51</v>
      </c>
      <c r="M153">
        <v>0</v>
      </c>
      <c r="N153" t="s">
        <v>57</v>
      </c>
      <c r="O153">
        <v>1</v>
      </c>
      <c r="P153" t="s">
        <v>53</v>
      </c>
      <c r="Q153" s="2">
        <v>0.40763888888888888</v>
      </c>
      <c r="R153">
        <f>-0.0003319868*3600</f>
        <v>-1.19515248</v>
      </c>
      <c r="S153">
        <f>-0.0019326516*3600</f>
        <v>-6.9575457600000004</v>
      </c>
    </row>
    <row r="154" spans="1:19" x14ac:dyDescent="0.3">
      <c r="A154" s="4" t="s">
        <v>47</v>
      </c>
      <c r="B154" t="s">
        <v>59</v>
      </c>
      <c r="C154">
        <v>298.75159100000002</v>
      </c>
      <c r="D154">
        <v>100.292631</v>
      </c>
      <c r="E154">
        <v>90.328000000000003</v>
      </c>
      <c r="F154">
        <v>90.311499999999995</v>
      </c>
      <c r="G154">
        <v>0.23899999999999999</v>
      </c>
      <c r="H154">
        <v>0.24</v>
      </c>
      <c r="J154" t="s">
        <v>0</v>
      </c>
      <c r="K154" t="s">
        <v>50</v>
      </c>
      <c r="L154" t="s">
        <v>51</v>
      </c>
      <c r="M154">
        <v>0</v>
      </c>
      <c r="N154" t="s">
        <v>57</v>
      </c>
      <c r="O154">
        <v>1</v>
      </c>
      <c r="P154" t="s">
        <v>53</v>
      </c>
      <c r="Q154" s="2">
        <v>0.40763888888888888</v>
      </c>
      <c r="R154">
        <f>-0.0004029815*3600</f>
        <v>-1.4507334000000001</v>
      </c>
      <c r="S154">
        <f>-0.0019633569*3600</f>
        <v>-7.0680848400000009</v>
      </c>
    </row>
    <row r="155" spans="1:19" x14ac:dyDescent="0.3">
      <c r="A155" s="4" t="s">
        <v>47</v>
      </c>
      <c r="B155" t="s">
        <v>59</v>
      </c>
      <c r="C155">
        <v>298.751486</v>
      </c>
      <c r="D155">
        <v>100.292755</v>
      </c>
      <c r="E155">
        <v>90.327699999999993</v>
      </c>
      <c r="F155">
        <v>90.311199999999999</v>
      </c>
      <c r="G155">
        <v>0.23899999999999999</v>
      </c>
      <c r="H155">
        <v>0.24</v>
      </c>
      <c r="J155" t="s">
        <v>0</v>
      </c>
      <c r="K155" t="s">
        <v>50</v>
      </c>
      <c r="L155" t="s">
        <v>51</v>
      </c>
      <c r="M155">
        <v>0</v>
      </c>
      <c r="N155" t="s">
        <v>57</v>
      </c>
      <c r="O155">
        <v>1</v>
      </c>
      <c r="P155" t="s">
        <v>53</v>
      </c>
      <c r="Q155" s="2">
        <v>0.40763888888888888</v>
      </c>
      <c r="R155">
        <f>-0.0005375972*3600</f>
        <v>-1.9353499199999999</v>
      </c>
      <c r="S155">
        <f>-0.002147066*3600</f>
        <v>-7.7294375999999998</v>
      </c>
    </row>
    <row r="156" spans="1:19" x14ac:dyDescent="0.3">
      <c r="A156" s="4" t="s">
        <v>47</v>
      </c>
      <c r="B156" t="s">
        <v>59</v>
      </c>
      <c r="C156">
        <v>298.75084900000002</v>
      </c>
      <c r="D156">
        <v>100.292903</v>
      </c>
      <c r="E156">
        <v>90.3279</v>
      </c>
      <c r="F156">
        <v>90.311400000000006</v>
      </c>
      <c r="G156">
        <v>0.23899999999999999</v>
      </c>
      <c r="H156">
        <v>0.24</v>
      </c>
      <c r="J156" t="s">
        <v>0</v>
      </c>
      <c r="K156" t="s">
        <v>50</v>
      </c>
      <c r="L156" t="s">
        <v>51</v>
      </c>
      <c r="M156">
        <v>0</v>
      </c>
      <c r="N156" t="s">
        <v>57</v>
      </c>
      <c r="O156">
        <v>1</v>
      </c>
      <c r="P156" t="s">
        <v>53</v>
      </c>
      <c r="Q156" s="2">
        <v>0.40763888888888888</v>
      </c>
      <c r="R156">
        <f>-0.0003269931*3600</f>
        <v>-1.17717516</v>
      </c>
      <c r="S156">
        <f>-0.0015258889*3600</f>
        <v>-5.4932000400000005</v>
      </c>
    </row>
    <row r="157" spans="1:19" x14ac:dyDescent="0.3">
      <c r="A157" s="4" t="s">
        <v>47</v>
      </c>
      <c r="B157" t="s">
        <v>59</v>
      </c>
      <c r="C157">
        <v>298.75154400000002</v>
      </c>
      <c r="D157">
        <v>100.292827</v>
      </c>
      <c r="E157">
        <v>90.328000000000003</v>
      </c>
      <c r="F157">
        <v>90.311499999999995</v>
      </c>
      <c r="G157">
        <v>0.23899999999999999</v>
      </c>
      <c r="H157">
        <v>0.24</v>
      </c>
      <c r="J157" t="s">
        <v>0</v>
      </c>
      <c r="K157" t="s">
        <v>50</v>
      </c>
      <c r="L157" t="s">
        <v>51</v>
      </c>
      <c r="M157">
        <v>0</v>
      </c>
      <c r="N157" t="s">
        <v>57</v>
      </c>
      <c r="O157">
        <v>1</v>
      </c>
      <c r="P157" t="s">
        <v>53</v>
      </c>
      <c r="Q157" s="2">
        <v>0.40833333333333338</v>
      </c>
      <c r="R157">
        <f>-0.0004265085*3600</f>
        <v>-1.5354306</v>
      </c>
      <c r="S157">
        <f>0.0016975758*3600</f>
        <v>6.1112728800000005</v>
      </c>
    </row>
    <row r="158" spans="1:19" x14ac:dyDescent="0.3">
      <c r="A158" s="4" t="s">
        <v>47</v>
      </c>
      <c r="B158" t="s">
        <v>59</v>
      </c>
      <c r="C158">
        <v>298.75190500000002</v>
      </c>
      <c r="D158">
        <v>100.29282600000001</v>
      </c>
      <c r="E158">
        <v>90.328100000000006</v>
      </c>
      <c r="F158">
        <v>90.311599999999999</v>
      </c>
      <c r="G158">
        <v>0.23899999999999999</v>
      </c>
      <c r="H158">
        <v>0.24</v>
      </c>
      <c r="J158" t="s">
        <v>0</v>
      </c>
      <c r="K158" t="s">
        <v>50</v>
      </c>
      <c r="L158" t="s">
        <v>51</v>
      </c>
      <c r="M158">
        <v>0</v>
      </c>
      <c r="N158" t="s">
        <v>57</v>
      </c>
      <c r="O158">
        <v>1</v>
      </c>
      <c r="P158" t="s">
        <v>53</v>
      </c>
      <c r="Q158" s="2">
        <v>0.40833333333333338</v>
      </c>
      <c r="R158">
        <f>-0.0004430447*3600</f>
        <v>-1.5949609199999999</v>
      </c>
      <c r="S158">
        <f>0.0016999815*3600</f>
        <v>6.1199334000000007</v>
      </c>
    </row>
    <row r="159" spans="1:19" x14ac:dyDescent="0.3">
      <c r="A159" s="4" t="s">
        <v>47</v>
      </c>
      <c r="B159" t="s">
        <v>59</v>
      </c>
      <c r="C159">
        <v>298.75143000000003</v>
      </c>
      <c r="D159">
        <v>100.292661</v>
      </c>
      <c r="E159">
        <v>90.328000000000003</v>
      </c>
      <c r="F159">
        <v>90.311499999999995</v>
      </c>
      <c r="G159">
        <v>0.23899999999999999</v>
      </c>
      <c r="H159">
        <v>0.24</v>
      </c>
      <c r="J159" t="s">
        <v>0</v>
      </c>
      <c r="K159" t="s">
        <v>50</v>
      </c>
      <c r="L159" t="s">
        <v>51</v>
      </c>
      <c r="M159">
        <v>0</v>
      </c>
      <c r="N159" t="s">
        <v>57</v>
      </c>
      <c r="O159">
        <v>1</v>
      </c>
      <c r="P159" t="s">
        <v>53</v>
      </c>
      <c r="Q159" s="2">
        <v>0.40833333333333338</v>
      </c>
      <c r="R159">
        <f>-0.0004455188*3600</f>
        <v>-1.60386768</v>
      </c>
      <c r="S159">
        <f>0.001653482*3600</f>
        <v>5.9525351999999998</v>
      </c>
    </row>
    <row r="160" spans="1:19" x14ac:dyDescent="0.3">
      <c r="A160" s="4" t="s">
        <v>47</v>
      </c>
      <c r="B160" t="s">
        <v>59</v>
      </c>
      <c r="C160">
        <v>298.75136300000003</v>
      </c>
      <c r="D160">
        <v>100.292744</v>
      </c>
      <c r="E160">
        <v>90.3279</v>
      </c>
      <c r="F160">
        <v>90.311400000000006</v>
      </c>
      <c r="G160">
        <v>0.23899999999999999</v>
      </c>
      <c r="H160">
        <v>0.24</v>
      </c>
      <c r="J160" t="s">
        <v>0</v>
      </c>
      <c r="K160" t="s">
        <v>50</v>
      </c>
      <c r="L160" t="s">
        <v>51</v>
      </c>
      <c r="M160">
        <v>0</v>
      </c>
      <c r="N160" t="s">
        <v>57</v>
      </c>
      <c r="O160">
        <v>1</v>
      </c>
      <c r="P160" t="s">
        <v>53</v>
      </c>
      <c r="Q160" s="2">
        <v>0.40833333333333338</v>
      </c>
      <c r="R160">
        <f>-0.0004173236*3600</f>
        <v>-1.50236496</v>
      </c>
      <c r="S160">
        <f>0.0016601996*3600</f>
        <v>5.9767185600000001</v>
      </c>
    </row>
    <row r="161" spans="1:19" x14ac:dyDescent="0.3">
      <c r="A161" s="4" t="s">
        <v>47</v>
      </c>
      <c r="B161" t="s">
        <v>59</v>
      </c>
      <c r="C161">
        <v>298.75161000000003</v>
      </c>
      <c r="D161">
        <v>100.292852</v>
      </c>
      <c r="E161">
        <v>90.328000000000003</v>
      </c>
      <c r="F161">
        <v>90.311499999999995</v>
      </c>
      <c r="G161">
        <v>0.23899999999999999</v>
      </c>
      <c r="H161">
        <v>0.24</v>
      </c>
      <c r="J161" t="s">
        <v>0</v>
      </c>
      <c r="K161" t="s">
        <v>50</v>
      </c>
      <c r="L161" t="s">
        <v>51</v>
      </c>
      <c r="M161">
        <v>0</v>
      </c>
      <c r="N161" t="s">
        <v>57</v>
      </c>
      <c r="O161">
        <v>1</v>
      </c>
      <c r="P161" t="s">
        <v>53</v>
      </c>
      <c r="Q161" s="2">
        <v>0.40833333333333338</v>
      </c>
      <c r="R161">
        <f>-0.0005400131*3600</f>
        <v>-1.94404716</v>
      </c>
      <c r="S161">
        <f>0.0015461511*3600</f>
        <v>5.5661439599999998</v>
      </c>
    </row>
    <row r="162" spans="1:19" x14ac:dyDescent="0.3">
      <c r="A162" s="4" t="s">
        <v>47</v>
      </c>
      <c r="B162" t="s">
        <v>59</v>
      </c>
      <c r="C162">
        <v>298.75142599999998</v>
      </c>
      <c r="D162">
        <v>100.292706</v>
      </c>
      <c r="E162">
        <v>90.327799999999996</v>
      </c>
      <c r="F162">
        <v>90.311300000000003</v>
      </c>
      <c r="G162">
        <v>0.23899999999999999</v>
      </c>
      <c r="H162">
        <v>0.24</v>
      </c>
      <c r="J162" t="s">
        <v>0</v>
      </c>
      <c r="K162" t="s">
        <v>50</v>
      </c>
      <c r="L162" t="s">
        <v>51</v>
      </c>
      <c r="M162">
        <v>0</v>
      </c>
      <c r="N162" t="s">
        <v>57</v>
      </c>
      <c r="O162">
        <v>1</v>
      </c>
      <c r="P162" t="s">
        <v>53</v>
      </c>
      <c r="Q162" s="2">
        <v>0.40833333333333338</v>
      </c>
      <c r="R162">
        <f>-0.0004684929*3600</f>
        <v>-1.68657444</v>
      </c>
      <c r="S162">
        <f>0.0016315226*3600</f>
        <v>5.8734813600000004</v>
      </c>
    </row>
    <row r="163" spans="1:19" x14ac:dyDescent="0.3">
      <c r="A163" s="4" t="s">
        <v>47</v>
      </c>
      <c r="B163" t="s">
        <v>59</v>
      </c>
      <c r="C163">
        <v>298.75132000000002</v>
      </c>
      <c r="D163">
        <v>100.292806</v>
      </c>
      <c r="E163">
        <v>90.327600000000004</v>
      </c>
      <c r="F163">
        <v>90.311099999999996</v>
      </c>
      <c r="G163">
        <v>0.23899999999999999</v>
      </c>
      <c r="H163">
        <v>0.24</v>
      </c>
      <c r="J163" t="s">
        <v>0</v>
      </c>
      <c r="K163" t="s">
        <v>50</v>
      </c>
      <c r="L163" t="s">
        <v>51</v>
      </c>
      <c r="M163">
        <v>0</v>
      </c>
      <c r="N163" t="s">
        <v>57</v>
      </c>
      <c r="O163">
        <v>1</v>
      </c>
      <c r="P163" t="s">
        <v>53</v>
      </c>
      <c r="Q163" s="2">
        <v>0.40833333333333338</v>
      </c>
      <c r="R163">
        <f>-0.000450677*3600</f>
        <v>-1.6224372</v>
      </c>
      <c r="S163">
        <f>0.0016747037*3600</f>
        <v>6.0289333200000002</v>
      </c>
    </row>
    <row r="164" spans="1:19" x14ac:dyDescent="0.3">
      <c r="A164" s="4" t="s">
        <v>47</v>
      </c>
      <c r="B164" t="s">
        <v>59</v>
      </c>
      <c r="C164">
        <v>298.75208800000001</v>
      </c>
      <c r="D164">
        <v>100.292795</v>
      </c>
      <c r="E164">
        <v>90.327799999999996</v>
      </c>
      <c r="F164">
        <v>90.311300000000003</v>
      </c>
      <c r="G164">
        <v>0.23899999999999999</v>
      </c>
      <c r="H164">
        <v>0.24</v>
      </c>
      <c r="J164" t="s">
        <v>0</v>
      </c>
      <c r="K164" t="s">
        <v>50</v>
      </c>
      <c r="L164" t="s">
        <v>51</v>
      </c>
      <c r="M164">
        <v>0</v>
      </c>
      <c r="N164" t="s">
        <v>57</v>
      </c>
      <c r="O164">
        <v>1</v>
      </c>
      <c r="P164" t="s">
        <v>53</v>
      </c>
      <c r="Q164" s="2">
        <v>0.40833333333333338</v>
      </c>
      <c r="R164">
        <f>-0.0004973737*3600</f>
        <v>-1.7905453199999999</v>
      </c>
      <c r="S164">
        <f>0.0014977927*3600</f>
        <v>5.3920537199999998</v>
      </c>
    </row>
    <row r="165" spans="1:19" x14ac:dyDescent="0.3">
      <c r="A165" s="4" t="s">
        <v>47</v>
      </c>
      <c r="B165" t="s">
        <v>59</v>
      </c>
      <c r="C165">
        <v>298.751486</v>
      </c>
      <c r="D165">
        <v>100.29280199999999</v>
      </c>
      <c r="E165">
        <v>90.327699999999993</v>
      </c>
      <c r="F165">
        <v>90.311199999999999</v>
      </c>
      <c r="G165">
        <v>0.23899999999999999</v>
      </c>
      <c r="H165">
        <v>0.24</v>
      </c>
      <c r="J165" t="s">
        <v>0</v>
      </c>
      <c r="K165" t="s">
        <v>50</v>
      </c>
      <c r="L165" t="s">
        <v>51</v>
      </c>
      <c r="M165">
        <v>0</v>
      </c>
      <c r="N165" t="s">
        <v>57</v>
      </c>
      <c r="O165">
        <v>1</v>
      </c>
      <c r="P165" t="s">
        <v>53</v>
      </c>
      <c r="Q165" s="2">
        <v>0.40833333333333338</v>
      </c>
      <c r="R165">
        <f>-0.00054492*3600</f>
        <v>-1.9617119999999999</v>
      </c>
      <c r="S165">
        <f>0.0015955071*3600</f>
        <v>5.7438255599999994</v>
      </c>
    </row>
    <row r="166" spans="1:19" x14ac:dyDescent="0.3">
      <c r="A166" s="4" t="s">
        <v>47</v>
      </c>
      <c r="B166" t="s">
        <v>59</v>
      </c>
      <c r="C166">
        <v>298.75127099999997</v>
      </c>
      <c r="D166">
        <v>100.292906</v>
      </c>
      <c r="E166">
        <v>90.327699999999993</v>
      </c>
      <c r="F166">
        <v>90.311199999999999</v>
      </c>
      <c r="G166">
        <v>0.23899999999999999</v>
      </c>
      <c r="H166">
        <v>0.24</v>
      </c>
      <c r="J166" t="s">
        <v>0</v>
      </c>
      <c r="K166" t="s">
        <v>50</v>
      </c>
      <c r="L166" t="s">
        <v>51</v>
      </c>
      <c r="M166">
        <v>0</v>
      </c>
      <c r="N166" t="s">
        <v>57</v>
      </c>
      <c r="O166">
        <v>1</v>
      </c>
      <c r="P166" t="s">
        <v>53</v>
      </c>
      <c r="Q166" s="2">
        <v>0.40833333333333338</v>
      </c>
      <c r="R166">
        <f>-0.0004681992*3600</f>
        <v>-1.6855171200000001</v>
      </c>
      <c r="S166">
        <f>0.0016938705*3600</f>
        <v>6.0979337999999998</v>
      </c>
    </row>
    <row r="167" spans="1:19" x14ac:dyDescent="0.3">
      <c r="A167" s="4" t="s">
        <v>47</v>
      </c>
      <c r="B167" t="s">
        <v>59</v>
      </c>
      <c r="C167">
        <v>298.75175400000001</v>
      </c>
      <c r="D167">
        <v>100.292794</v>
      </c>
      <c r="E167">
        <v>90.327699999999993</v>
      </c>
      <c r="F167">
        <v>90.311199999999999</v>
      </c>
      <c r="G167">
        <v>0.23899999999999999</v>
      </c>
      <c r="H167">
        <v>0.24</v>
      </c>
      <c r="J167" t="s">
        <v>0</v>
      </c>
      <c r="K167" t="s">
        <v>50</v>
      </c>
      <c r="L167" t="s">
        <v>51</v>
      </c>
      <c r="M167">
        <v>0</v>
      </c>
      <c r="N167" t="s">
        <v>57</v>
      </c>
      <c r="O167">
        <v>1</v>
      </c>
      <c r="P167" t="s">
        <v>53</v>
      </c>
      <c r="Q167" s="2">
        <v>0.40833333333333338</v>
      </c>
      <c r="R167">
        <f>-0.0004469148*3600</f>
        <v>-1.6088932800000002</v>
      </c>
      <c r="S167">
        <f>0.0016960758*3600</f>
        <v>6.1058728800000006</v>
      </c>
    </row>
    <row r="168" spans="1:19" x14ac:dyDescent="0.3">
      <c r="A168" s="4" t="s">
        <v>47</v>
      </c>
      <c r="B168" t="s">
        <v>59</v>
      </c>
      <c r="C168">
        <v>298.75142299999999</v>
      </c>
      <c r="D168">
        <v>100.29267900000001</v>
      </c>
      <c r="E168">
        <v>90.327600000000004</v>
      </c>
      <c r="F168">
        <v>90.311099999999996</v>
      </c>
      <c r="G168">
        <v>0.23899999999999999</v>
      </c>
      <c r="H168">
        <v>0.24</v>
      </c>
      <c r="J168" t="s">
        <v>0</v>
      </c>
      <c r="K168" t="s">
        <v>50</v>
      </c>
      <c r="L168" t="s">
        <v>51</v>
      </c>
      <c r="M168">
        <v>0</v>
      </c>
      <c r="N168" t="s">
        <v>57</v>
      </c>
      <c r="O168">
        <v>1</v>
      </c>
      <c r="P168" t="s">
        <v>53</v>
      </c>
      <c r="Q168" s="2">
        <v>0.40833333333333338</v>
      </c>
      <c r="R168">
        <f>-0.0004620911*3600</f>
        <v>-1.6635279600000001</v>
      </c>
      <c r="S168">
        <f>0.0016768118*3600</f>
        <v>6.0365224799999995</v>
      </c>
    </row>
    <row r="169" spans="1:19" x14ac:dyDescent="0.3">
      <c r="A169" s="4" t="s">
        <v>47</v>
      </c>
      <c r="B169" t="s">
        <v>59</v>
      </c>
      <c r="C169">
        <v>298.75124099999999</v>
      </c>
      <c r="D169">
        <v>100.29282499999999</v>
      </c>
      <c r="E169">
        <v>90.327799999999996</v>
      </c>
      <c r="F169">
        <v>90.311300000000003</v>
      </c>
      <c r="G169">
        <v>0.23899999999999999</v>
      </c>
      <c r="H169">
        <v>0.24</v>
      </c>
      <c r="J169" t="s">
        <v>0</v>
      </c>
      <c r="K169" t="s">
        <v>50</v>
      </c>
      <c r="L169" t="s">
        <v>51</v>
      </c>
      <c r="M169">
        <v>0</v>
      </c>
      <c r="N169" t="s">
        <v>57</v>
      </c>
      <c r="O169">
        <v>1</v>
      </c>
      <c r="P169" t="s">
        <v>53</v>
      </c>
      <c r="Q169" s="2">
        <v>0.40833333333333338</v>
      </c>
      <c r="R169">
        <f>-0.0004889035*3600</f>
        <v>-1.7600526000000001</v>
      </c>
      <c r="S169">
        <f>0.0015938954*3600</f>
        <v>5.7380234400000001</v>
      </c>
    </row>
    <row r="170" spans="1:19" x14ac:dyDescent="0.3">
      <c r="A170" s="4" t="s">
        <v>47</v>
      </c>
      <c r="B170" t="s">
        <v>59</v>
      </c>
      <c r="C170">
        <v>298.751575</v>
      </c>
      <c r="D170">
        <v>100.29291000000001</v>
      </c>
      <c r="E170">
        <v>90.327600000000004</v>
      </c>
      <c r="F170">
        <v>90.311099999999996</v>
      </c>
      <c r="G170">
        <v>0.23899999999999999</v>
      </c>
      <c r="H170">
        <v>0.24</v>
      </c>
      <c r="J170" t="s">
        <v>0</v>
      </c>
      <c r="K170" t="s">
        <v>50</v>
      </c>
      <c r="L170" t="s">
        <v>51</v>
      </c>
      <c r="M170">
        <v>0</v>
      </c>
      <c r="N170" t="s">
        <v>57</v>
      </c>
      <c r="O170">
        <v>1</v>
      </c>
      <c r="P170" t="s">
        <v>53</v>
      </c>
      <c r="Q170" s="2">
        <v>0.40833333333333338</v>
      </c>
      <c r="R170">
        <f>-0.0006018913*3600</f>
        <v>-2.1668086799999999</v>
      </c>
      <c r="S170">
        <f>0.0015014751*3600</f>
        <v>5.4053103599999996</v>
      </c>
    </row>
    <row r="171" spans="1:19" x14ac:dyDescent="0.3">
      <c r="A171" s="4" t="s">
        <v>47</v>
      </c>
      <c r="B171" t="s">
        <v>59</v>
      </c>
      <c r="C171">
        <v>298.75152300000002</v>
      </c>
      <c r="D171">
        <v>100.292889</v>
      </c>
      <c r="E171">
        <v>90.327699999999993</v>
      </c>
      <c r="F171">
        <v>90.311199999999999</v>
      </c>
      <c r="G171">
        <v>0.23899999999999999</v>
      </c>
      <c r="H171">
        <v>0.24</v>
      </c>
      <c r="J171" t="s">
        <v>0</v>
      </c>
      <c r="K171" t="s">
        <v>50</v>
      </c>
      <c r="L171" t="s">
        <v>51</v>
      </c>
      <c r="M171">
        <v>0</v>
      </c>
      <c r="N171" t="s">
        <v>57</v>
      </c>
      <c r="O171">
        <v>1</v>
      </c>
      <c r="P171" t="s">
        <v>53</v>
      </c>
      <c r="Q171" s="2">
        <v>0.40902777777777777</v>
      </c>
      <c r="R171">
        <f>-0.0004334102*3600</f>
        <v>-1.5602767200000001</v>
      </c>
      <c r="S171">
        <f>0.0016992652*3600</f>
        <v>6.1173547199999998</v>
      </c>
    </row>
    <row r="172" spans="1:19" x14ac:dyDescent="0.3">
      <c r="A172" s="4" t="s">
        <v>47</v>
      </c>
      <c r="B172" t="s">
        <v>59</v>
      </c>
      <c r="C172">
        <v>298.751193</v>
      </c>
      <c r="D172">
        <v>100.292991</v>
      </c>
      <c r="E172">
        <v>90.327699999999993</v>
      </c>
      <c r="F172">
        <v>90.311199999999999</v>
      </c>
      <c r="G172">
        <v>0.23899999999999999</v>
      </c>
      <c r="H172">
        <v>0.24</v>
      </c>
      <c r="J172" t="s">
        <v>0</v>
      </c>
      <c r="K172" t="s">
        <v>50</v>
      </c>
      <c r="L172" t="s">
        <v>51</v>
      </c>
      <c r="M172">
        <v>0</v>
      </c>
      <c r="N172" t="s">
        <v>57</v>
      </c>
      <c r="O172">
        <v>1</v>
      </c>
      <c r="P172" t="s">
        <v>53</v>
      </c>
      <c r="Q172" s="2">
        <v>0.40902777777777777</v>
      </c>
      <c r="R172">
        <f>-0.0004419968*3600</f>
        <v>-1.59118848</v>
      </c>
      <c r="S172">
        <f>0.0016057004*3600</f>
        <v>5.7805214400000002</v>
      </c>
    </row>
    <row r="173" spans="1:19" x14ac:dyDescent="0.3">
      <c r="A173" s="4" t="s">
        <v>47</v>
      </c>
      <c r="B173" t="s">
        <v>59</v>
      </c>
      <c r="C173">
        <v>298.75148899999999</v>
      </c>
      <c r="D173">
        <v>100.292789</v>
      </c>
      <c r="E173">
        <v>90.327699999999993</v>
      </c>
      <c r="F173">
        <v>90.311199999999999</v>
      </c>
      <c r="G173">
        <v>0.23899999999999999</v>
      </c>
      <c r="H173">
        <v>0.24</v>
      </c>
      <c r="J173" t="s">
        <v>0</v>
      </c>
      <c r="K173" t="s">
        <v>50</v>
      </c>
      <c r="L173" t="s">
        <v>51</v>
      </c>
      <c r="M173">
        <v>0</v>
      </c>
      <c r="N173" t="s">
        <v>57</v>
      </c>
      <c r="O173">
        <v>1</v>
      </c>
      <c r="P173" t="s">
        <v>53</v>
      </c>
      <c r="Q173" s="2">
        <v>0.40902777777777777</v>
      </c>
      <c r="R173">
        <f>-0.0005049341*3600</f>
        <v>-1.8177627599999999</v>
      </c>
      <c r="S173">
        <f>0.0014904242*3600</f>
        <v>5.3655271200000003</v>
      </c>
    </row>
    <row r="174" spans="1:19" x14ac:dyDescent="0.3">
      <c r="A174" s="4" t="s">
        <v>47</v>
      </c>
      <c r="B174" t="s">
        <v>59</v>
      </c>
      <c r="C174">
        <v>298.75139999999999</v>
      </c>
      <c r="D174">
        <v>100.292936</v>
      </c>
      <c r="E174">
        <v>90.327699999999993</v>
      </c>
      <c r="F174">
        <v>90.311199999999999</v>
      </c>
      <c r="G174">
        <v>0.23899999999999999</v>
      </c>
      <c r="H174">
        <v>0.24</v>
      </c>
      <c r="J174" t="s">
        <v>0</v>
      </c>
      <c r="K174" t="s">
        <v>50</v>
      </c>
      <c r="L174" t="s">
        <v>51</v>
      </c>
      <c r="M174">
        <v>0</v>
      </c>
      <c r="N174" t="s">
        <v>57</v>
      </c>
      <c r="O174">
        <v>1</v>
      </c>
      <c r="P174" t="s">
        <v>53</v>
      </c>
      <c r="Q174" s="2">
        <v>0.40902777777777777</v>
      </c>
      <c r="R174">
        <f>-0.0004304793*3600</f>
        <v>-1.54972548</v>
      </c>
      <c r="S174">
        <f>0.0015364367*3600</f>
        <v>5.5311721199999999</v>
      </c>
    </row>
    <row r="175" spans="1:19" x14ac:dyDescent="0.3">
      <c r="A175" s="4" t="s">
        <v>47</v>
      </c>
      <c r="B175" t="s">
        <v>59</v>
      </c>
      <c r="C175">
        <v>298.75213400000001</v>
      </c>
      <c r="D175">
        <v>100.292919</v>
      </c>
      <c r="E175">
        <v>90.327799999999996</v>
      </c>
      <c r="F175">
        <v>90.311300000000003</v>
      </c>
      <c r="G175">
        <v>0.23899999999999999</v>
      </c>
      <c r="H175">
        <v>0.24</v>
      </c>
      <c r="J175" t="s">
        <v>0</v>
      </c>
      <c r="K175" t="s">
        <v>50</v>
      </c>
      <c r="L175" t="s">
        <v>51</v>
      </c>
      <c r="M175">
        <v>0</v>
      </c>
      <c r="N175" t="s">
        <v>57</v>
      </c>
      <c r="O175">
        <v>1</v>
      </c>
      <c r="P175" t="s">
        <v>53</v>
      </c>
      <c r="Q175" s="2">
        <v>0.40902777777777777</v>
      </c>
      <c r="R175">
        <f>-0.0004395533*3600</f>
        <v>-1.5823918800000001</v>
      </c>
      <c r="S175">
        <f>0.0015000034*3600</f>
        <v>5.4000122400000006</v>
      </c>
    </row>
    <row r="176" spans="1:19" x14ac:dyDescent="0.3">
      <c r="A176" s="4" t="s">
        <v>47</v>
      </c>
      <c r="B176" t="s">
        <v>59</v>
      </c>
      <c r="C176">
        <v>298.75118199999997</v>
      </c>
      <c r="D176">
        <v>100.292736</v>
      </c>
      <c r="E176">
        <v>90.327500000000001</v>
      </c>
      <c r="F176">
        <v>90.311000000000007</v>
      </c>
      <c r="G176">
        <v>0.23899999999999999</v>
      </c>
      <c r="H176">
        <v>0.24</v>
      </c>
      <c r="J176" t="s">
        <v>0</v>
      </c>
      <c r="K176" t="s">
        <v>50</v>
      </c>
      <c r="L176" t="s">
        <v>51</v>
      </c>
      <c r="M176">
        <v>0</v>
      </c>
      <c r="N176" t="s">
        <v>57</v>
      </c>
      <c r="O176">
        <v>1</v>
      </c>
      <c r="P176" t="s">
        <v>53</v>
      </c>
      <c r="Q176" s="2">
        <v>0.40902777777777777</v>
      </c>
      <c r="R176">
        <f>-0.0004099777*3600</f>
        <v>-1.4759197199999998</v>
      </c>
      <c r="S176">
        <f>0.001549335*3600</f>
        <v>5.5776060000000003</v>
      </c>
    </row>
    <row r="177" spans="1:19" x14ac:dyDescent="0.3">
      <c r="A177" s="4" t="s">
        <v>47</v>
      </c>
      <c r="B177" t="s">
        <v>59</v>
      </c>
      <c r="C177">
        <v>298.751238</v>
      </c>
      <c r="D177">
        <v>100.29279099999999</v>
      </c>
      <c r="E177">
        <v>90.327699999999993</v>
      </c>
      <c r="F177">
        <v>90.311199999999999</v>
      </c>
      <c r="G177">
        <v>0.23899999999999999</v>
      </c>
      <c r="H177">
        <v>0.24</v>
      </c>
      <c r="J177" t="s">
        <v>0</v>
      </c>
      <c r="K177" t="s">
        <v>50</v>
      </c>
      <c r="L177" t="s">
        <v>51</v>
      </c>
      <c r="M177">
        <v>0</v>
      </c>
      <c r="N177" t="s">
        <v>57</v>
      </c>
      <c r="O177">
        <v>1</v>
      </c>
      <c r="P177" t="s">
        <v>53</v>
      </c>
      <c r="Q177" s="2">
        <v>0.40902777777777777</v>
      </c>
      <c r="R177">
        <f>-0.0004072802*3600</f>
        <v>-1.46620872</v>
      </c>
      <c r="S177">
        <f>0.0015479741*3600</f>
        <v>5.57270676</v>
      </c>
    </row>
    <row r="178" spans="1:19" x14ac:dyDescent="0.3">
      <c r="A178" s="4" t="s">
        <v>47</v>
      </c>
      <c r="B178" t="s">
        <v>59</v>
      </c>
      <c r="C178">
        <v>298.75125200000002</v>
      </c>
      <c r="D178">
        <v>100.292711</v>
      </c>
      <c r="E178">
        <v>90.327500000000001</v>
      </c>
      <c r="F178">
        <v>90.311000000000007</v>
      </c>
      <c r="G178">
        <v>0.23899999999999999</v>
      </c>
      <c r="H178">
        <v>0.24</v>
      </c>
      <c r="J178" t="s">
        <v>0</v>
      </c>
      <c r="K178" t="s">
        <v>50</v>
      </c>
      <c r="L178" t="s">
        <v>51</v>
      </c>
      <c r="M178">
        <v>0</v>
      </c>
      <c r="N178" t="s">
        <v>57</v>
      </c>
      <c r="O178">
        <v>1</v>
      </c>
      <c r="P178" t="s">
        <v>53</v>
      </c>
      <c r="Q178" s="2">
        <v>0.40902777777777777</v>
      </c>
      <c r="R178">
        <f>-0.0003951321*3600</f>
        <v>-1.4224755600000001</v>
      </c>
      <c r="S178">
        <f>0.0014765023*3600</f>
        <v>5.3154082800000007</v>
      </c>
    </row>
    <row r="179" spans="1:19" x14ac:dyDescent="0.3">
      <c r="A179" s="4" t="s">
        <v>47</v>
      </c>
      <c r="B179" t="s">
        <v>59</v>
      </c>
      <c r="C179">
        <v>298.75135699999998</v>
      </c>
      <c r="D179">
        <v>100.292979</v>
      </c>
      <c r="E179">
        <v>90.327600000000004</v>
      </c>
      <c r="F179">
        <v>90.311099999999996</v>
      </c>
      <c r="G179">
        <v>0.23899999999999999</v>
      </c>
      <c r="H179">
        <v>0.24</v>
      </c>
      <c r="J179" t="s">
        <v>0</v>
      </c>
      <c r="K179" t="s">
        <v>50</v>
      </c>
      <c r="L179" t="s">
        <v>51</v>
      </c>
      <c r="M179">
        <v>0</v>
      </c>
      <c r="N179" t="s">
        <v>57</v>
      </c>
      <c r="O179">
        <v>1</v>
      </c>
      <c r="P179" t="s">
        <v>53</v>
      </c>
      <c r="Q179" s="2">
        <v>0.40902777777777777</v>
      </c>
      <c r="R179">
        <f>-0.0003828486*3600</f>
        <v>-1.37825496</v>
      </c>
      <c r="S179">
        <f>0.0014859771*3600</f>
        <v>5.3495175599999998</v>
      </c>
    </row>
    <row r="180" spans="1:19" x14ac:dyDescent="0.3">
      <c r="A180" s="4" t="s">
        <v>47</v>
      </c>
      <c r="B180" t="s">
        <v>59</v>
      </c>
      <c r="C180">
        <v>298.75107300000002</v>
      </c>
      <c r="D180">
        <v>100.29276</v>
      </c>
      <c r="E180">
        <v>90.327699999999993</v>
      </c>
      <c r="F180">
        <v>90.311199999999999</v>
      </c>
      <c r="G180">
        <v>0.23899999999999999</v>
      </c>
      <c r="H180">
        <v>0.24</v>
      </c>
      <c r="J180" t="s">
        <v>0</v>
      </c>
      <c r="K180" t="s">
        <v>50</v>
      </c>
      <c r="L180" t="s">
        <v>51</v>
      </c>
      <c r="M180">
        <v>0</v>
      </c>
      <c r="N180" t="s">
        <v>57</v>
      </c>
      <c r="O180">
        <v>1</v>
      </c>
      <c r="P180" t="s">
        <v>53</v>
      </c>
      <c r="Q180" s="2">
        <v>0.40902777777777777</v>
      </c>
      <c r="R180">
        <f>-0.0004079357*3600</f>
        <v>-1.46856852</v>
      </c>
      <c r="S180">
        <f>0.0014554061*3600</f>
        <v>5.2394619599999999</v>
      </c>
    </row>
    <row r="181" spans="1:19" x14ac:dyDescent="0.3">
      <c r="A181" s="4" t="s">
        <v>47</v>
      </c>
      <c r="B181" t="s">
        <v>59</v>
      </c>
      <c r="C181">
        <v>298.75117999999998</v>
      </c>
      <c r="D181">
        <v>100.292789</v>
      </c>
      <c r="E181">
        <v>90.327699999999993</v>
      </c>
      <c r="F181">
        <v>90.311199999999999</v>
      </c>
      <c r="G181">
        <v>0.23899999999999999</v>
      </c>
      <c r="H181">
        <v>0.24</v>
      </c>
      <c r="J181" t="s">
        <v>0</v>
      </c>
      <c r="K181" t="s">
        <v>50</v>
      </c>
      <c r="L181" t="s">
        <v>51</v>
      </c>
      <c r="M181">
        <v>0</v>
      </c>
      <c r="N181" t="s">
        <v>57</v>
      </c>
      <c r="O181">
        <v>1</v>
      </c>
      <c r="P181" t="s">
        <v>53</v>
      </c>
      <c r="Q181" s="2">
        <v>0.40902777777777777</v>
      </c>
      <c r="R181">
        <f>-0.000527941*3600</f>
        <v>-1.9005875999999999</v>
      </c>
      <c r="S181">
        <f>0.0013388669*3600</f>
        <v>4.81992084</v>
      </c>
    </row>
    <row r="182" spans="1:19" x14ac:dyDescent="0.3">
      <c r="A182" s="4" t="s">
        <v>47</v>
      </c>
      <c r="B182" t="s">
        <v>59</v>
      </c>
      <c r="C182">
        <v>298.751351</v>
      </c>
      <c r="D182">
        <v>100.292762</v>
      </c>
      <c r="E182">
        <v>90.327600000000004</v>
      </c>
      <c r="F182">
        <v>90.311099999999996</v>
      </c>
      <c r="G182">
        <v>0.23899999999999999</v>
      </c>
      <c r="H182">
        <v>0.24</v>
      </c>
      <c r="J182" t="s">
        <v>0</v>
      </c>
      <c r="K182" t="s">
        <v>50</v>
      </c>
      <c r="L182" t="s">
        <v>51</v>
      </c>
      <c r="M182">
        <v>0</v>
      </c>
      <c r="N182" t="s">
        <v>57</v>
      </c>
      <c r="O182">
        <v>1</v>
      </c>
      <c r="P182" t="s">
        <v>53</v>
      </c>
      <c r="Q182" s="2">
        <v>0.40902777777777777</v>
      </c>
      <c r="R182">
        <f>-0.0004196808*3600</f>
        <v>-1.51085088</v>
      </c>
      <c r="S182">
        <f>0.0014380507*3600</f>
        <v>5.1769825200000001</v>
      </c>
    </row>
    <row r="183" spans="1:19" x14ac:dyDescent="0.3">
      <c r="A183" s="4" t="s">
        <v>47</v>
      </c>
      <c r="B183" t="s">
        <v>59</v>
      </c>
      <c r="C183">
        <v>98.751334</v>
      </c>
      <c r="D183">
        <v>299.70659699999999</v>
      </c>
      <c r="E183">
        <v>90.327500000000001</v>
      </c>
      <c r="F183">
        <v>90.311000000000007</v>
      </c>
      <c r="G183">
        <v>0.23899999999999999</v>
      </c>
      <c r="H183">
        <v>0.24</v>
      </c>
      <c r="J183" t="s">
        <v>0</v>
      </c>
      <c r="K183" t="s">
        <v>50</v>
      </c>
      <c r="L183" t="s">
        <v>51</v>
      </c>
      <c r="M183">
        <v>0</v>
      </c>
      <c r="N183" t="s">
        <v>57</v>
      </c>
      <c r="O183">
        <v>1</v>
      </c>
      <c r="P183" t="s">
        <v>53</v>
      </c>
      <c r="Q183" s="2">
        <v>0.40902777777777777</v>
      </c>
      <c r="R183">
        <f>-0.0003932165*3600</f>
        <v>-1.4155793999999999</v>
      </c>
      <c r="S183">
        <f>0.0014694887*3600</f>
        <v>5.2901593199999999</v>
      </c>
    </row>
    <row r="184" spans="1:19" x14ac:dyDescent="0.3">
      <c r="A184" s="4" t="s">
        <v>47</v>
      </c>
      <c r="B184" t="s">
        <v>59</v>
      </c>
      <c r="C184">
        <v>98.751041000000001</v>
      </c>
      <c r="D184">
        <v>299.70664099999999</v>
      </c>
      <c r="E184">
        <v>90.327299999999994</v>
      </c>
      <c r="F184">
        <v>90.3108</v>
      </c>
      <c r="G184">
        <v>0.23899999999999999</v>
      </c>
      <c r="H184">
        <v>0.24</v>
      </c>
      <c r="J184" t="s">
        <v>0</v>
      </c>
      <c r="K184" t="s">
        <v>50</v>
      </c>
      <c r="L184" t="s">
        <v>51</v>
      </c>
      <c r="M184">
        <v>0</v>
      </c>
      <c r="N184" t="s">
        <v>57</v>
      </c>
      <c r="O184">
        <v>1</v>
      </c>
      <c r="P184" t="s">
        <v>53</v>
      </c>
      <c r="Q184" s="2">
        <v>0.40902777777777777</v>
      </c>
      <c r="R184">
        <f>-0.000394655*3600</f>
        <v>-1.420758</v>
      </c>
      <c r="S184">
        <f>0.0014260672*3600</f>
        <v>5.1338419200000001</v>
      </c>
    </row>
    <row r="185" spans="1:19" x14ac:dyDescent="0.3">
      <c r="A185" s="4" t="s">
        <v>47</v>
      </c>
      <c r="B185" t="s">
        <v>59</v>
      </c>
      <c r="C185">
        <v>98.751587999999998</v>
      </c>
      <c r="D185">
        <v>299.70682900000003</v>
      </c>
      <c r="E185">
        <v>90.327500000000001</v>
      </c>
      <c r="F185">
        <v>90.311000000000007</v>
      </c>
      <c r="G185">
        <v>0.23899999999999999</v>
      </c>
      <c r="H185">
        <v>0.24</v>
      </c>
      <c r="J185" t="s">
        <v>0</v>
      </c>
      <c r="K185" t="s">
        <v>50</v>
      </c>
      <c r="L185" t="s">
        <v>51</v>
      </c>
      <c r="M185">
        <v>0</v>
      </c>
      <c r="N185" t="s">
        <v>57</v>
      </c>
      <c r="O185">
        <v>1</v>
      </c>
      <c r="P185" t="s">
        <v>53</v>
      </c>
      <c r="Q185" s="2">
        <v>0.40902777777777777</v>
      </c>
      <c r="R185">
        <f>-0.000509692*3600</f>
        <v>-1.8348911999999999</v>
      </c>
      <c r="S185">
        <f>0.0013045264*3600</f>
        <v>4.6962950399999999</v>
      </c>
    </row>
    <row r="186" spans="1:19" x14ac:dyDescent="0.3">
      <c r="A186" s="4" t="s">
        <v>47</v>
      </c>
      <c r="B186" t="s">
        <v>56</v>
      </c>
      <c r="C186">
        <v>295.65473800000001</v>
      </c>
      <c r="D186">
        <v>100.637529</v>
      </c>
      <c r="E186">
        <v>39.7239</v>
      </c>
      <c r="F186">
        <v>39.7151</v>
      </c>
      <c r="G186">
        <v>0.23899999999999999</v>
      </c>
      <c r="H186">
        <v>0</v>
      </c>
      <c r="J186" t="s">
        <v>0</v>
      </c>
      <c r="K186" t="s">
        <v>50</v>
      </c>
      <c r="L186" t="s">
        <v>51</v>
      </c>
      <c r="M186">
        <v>0</v>
      </c>
      <c r="N186" t="s">
        <v>57</v>
      </c>
      <c r="O186">
        <v>1</v>
      </c>
      <c r="P186" t="s">
        <v>53</v>
      </c>
      <c r="Q186" s="2">
        <v>0.40972222222222227</v>
      </c>
      <c r="R186">
        <f>-0.0003925491*3600</f>
        <v>-1.41317676</v>
      </c>
      <c r="S186">
        <f>0.0014542384*3600</f>
        <v>5.2352582400000003</v>
      </c>
    </row>
    <row r="187" spans="1:19" x14ac:dyDescent="0.3">
      <c r="A187" s="4" t="s">
        <v>47</v>
      </c>
      <c r="B187" t="s">
        <v>56</v>
      </c>
      <c r="C187">
        <v>95.653981999999999</v>
      </c>
      <c r="D187">
        <v>299.3623</v>
      </c>
      <c r="E187">
        <v>39.723799999999997</v>
      </c>
      <c r="F187">
        <v>39.715000000000003</v>
      </c>
      <c r="G187">
        <v>0.23899999999999999</v>
      </c>
      <c r="H187">
        <v>0</v>
      </c>
      <c r="J187" t="s">
        <v>0</v>
      </c>
      <c r="K187" t="s">
        <v>50</v>
      </c>
      <c r="L187" t="s">
        <v>51</v>
      </c>
      <c r="M187">
        <v>0</v>
      </c>
      <c r="N187" t="s">
        <v>57</v>
      </c>
      <c r="O187">
        <v>1</v>
      </c>
      <c r="P187" t="s">
        <v>53</v>
      </c>
      <c r="Q187" s="2">
        <v>0.40972222222222227</v>
      </c>
      <c r="R187">
        <f>-0.0004595426*3600</f>
        <v>-1.65435336</v>
      </c>
      <c r="S187">
        <f>0.0013228967*3600</f>
        <v>4.76242812</v>
      </c>
    </row>
    <row r="188" spans="1:19" x14ac:dyDescent="0.3">
      <c r="A188" s="4" t="s">
        <v>47</v>
      </c>
      <c r="B188" t="s">
        <v>56</v>
      </c>
      <c r="C188">
        <v>295.65418099999999</v>
      </c>
      <c r="D188">
        <v>100.637714</v>
      </c>
      <c r="E188">
        <v>39.723999999999997</v>
      </c>
      <c r="F188">
        <v>39.715200000000003</v>
      </c>
      <c r="G188">
        <v>0.23899999999999999</v>
      </c>
      <c r="H188">
        <v>0</v>
      </c>
      <c r="J188" t="s">
        <v>0</v>
      </c>
      <c r="K188" t="s">
        <v>50</v>
      </c>
      <c r="L188" t="s">
        <v>51</v>
      </c>
      <c r="M188">
        <v>0</v>
      </c>
      <c r="N188" t="s">
        <v>57</v>
      </c>
      <c r="O188">
        <v>1</v>
      </c>
      <c r="P188" t="s">
        <v>53</v>
      </c>
      <c r="Q188" s="2">
        <v>0.40972222222222227</v>
      </c>
      <c r="R188">
        <f>-0.0003606454*3600</f>
        <v>-1.2983234400000001</v>
      </c>
      <c r="S188">
        <f>0.0013953616*3600</f>
        <v>5.0233017599999998</v>
      </c>
    </row>
    <row r="189" spans="1:19" x14ac:dyDescent="0.3">
      <c r="A189" s="4" t="s">
        <v>47</v>
      </c>
      <c r="B189" t="s">
        <v>56</v>
      </c>
      <c r="C189">
        <v>95.653773000000001</v>
      </c>
      <c r="D189">
        <v>299.362031</v>
      </c>
      <c r="E189">
        <v>39.7239</v>
      </c>
      <c r="F189">
        <v>39.7151</v>
      </c>
      <c r="G189">
        <v>0.23899999999999999</v>
      </c>
      <c r="H189">
        <v>0</v>
      </c>
      <c r="J189" t="s">
        <v>0</v>
      </c>
      <c r="K189" t="s">
        <v>61</v>
      </c>
      <c r="L189">
        <v>3.4000000000000002E-2</v>
      </c>
      <c r="M189" t="s">
        <v>52</v>
      </c>
      <c r="N189">
        <v>1</v>
      </c>
      <c r="O189" t="s">
        <v>53</v>
      </c>
      <c r="P189" s="2">
        <v>0.41041666666666665</v>
      </c>
      <c r="Q189">
        <f>-0.0004838228*3600</f>
        <v>-1.74176208</v>
      </c>
      <c r="R189">
        <f>0.0017913902*3600</f>
        <v>6.4490047199999996</v>
      </c>
    </row>
    <row r="190" spans="1:19" x14ac:dyDescent="0.3">
      <c r="A190" s="4" t="s">
        <v>47</v>
      </c>
      <c r="B190" t="s">
        <v>56</v>
      </c>
      <c r="C190">
        <v>295.65446600000001</v>
      </c>
      <c r="D190">
        <v>100.63766099999999</v>
      </c>
      <c r="E190">
        <v>39.723599999999998</v>
      </c>
      <c r="F190">
        <v>39.714799999999997</v>
      </c>
      <c r="G190">
        <v>0.23899999999999999</v>
      </c>
      <c r="H190">
        <v>0</v>
      </c>
      <c r="J190" t="s">
        <v>0</v>
      </c>
      <c r="K190" t="s">
        <v>61</v>
      </c>
      <c r="L190">
        <v>0</v>
      </c>
      <c r="M190" t="s">
        <v>52</v>
      </c>
      <c r="N190">
        <v>1</v>
      </c>
      <c r="O190" t="s">
        <v>63</v>
      </c>
      <c r="P190" s="2">
        <v>0.41041666666666665</v>
      </c>
      <c r="Q190">
        <f>-0.0003580452*3600</f>
        <v>-1.28896272</v>
      </c>
      <c r="R190">
        <f>0.0017387751*3600</f>
        <v>6.2595903599999998</v>
      </c>
    </row>
    <row r="191" spans="1:19" x14ac:dyDescent="0.3">
      <c r="A191" s="4" t="s">
        <v>47</v>
      </c>
      <c r="B191" t="s">
        <v>56</v>
      </c>
      <c r="C191">
        <v>95.6541</v>
      </c>
      <c r="D191">
        <v>299.36223999999999</v>
      </c>
      <c r="E191">
        <v>39.723700000000001</v>
      </c>
      <c r="F191">
        <v>39.7149</v>
      </c>
      <c r="G191">
        <v>0.23899999999999999</v>
      </c>
      <c r="H191">
        <v>0</v>
      </c>
      <c r="J191" t="s">
        <v>0</v>
      </c>
      <c r="K191" t="s">
        <v>61</v>
      </c>
      <c r="L191">
        <v>0</v>
      </c>
      <c r="M191" t="s">
        <v>52</v>
      </c>
      <c r="N191">
        <v>1</v>
      </c>
      <c r="O191" t="s">
        <v>63</v>
      </c>
      <c r="P191" s="2">
        <v>0.41041666666666665</v>
      </c>
      <c r="Q191">
        <f>-0.0002924093*3600</f>
        <v>-1.0526734799999999</v>
      </c>
      <c r="R191">
        <f>0.0016083173*3600</f>
        <v>5.78994228</v>
      </c>
    </row>
    <row r="192" spans="1:19" x14ac:dyDescent="0.3">
      <c r="A192" s="4" t="s">
        <v>47</v>
      </c>
      <c r="B192" t="s">
        <v>56</v>
      </c>
      <c r="C192">
        <v>295.654515</v>
      </c>
      <c r="D192">
        <v>100.637685</v>
      </c>
      <c r="E192">
        <v>39.723799999999997</v>
      </c>
      <c r="F192">
        <v>39.715000000000003</v>
      </c>
      <c r="G192">
        <v>0.23899999999999999</v>
      </c>
      <c r="H192">
        <v>0</v>
      </c>
      <c r="J192" t="s">
        <v>0</v>
      </c>
      <c r="K192" t="s">
        <v>61</v>
      </c>
      <c r="L192">
        <v>0</v>
      </c>
      <c r="M192" t="s">
        <v>52</v>
      </c>
      <c r="N192">
        <v>1</v>
      </c>
      <c r="O192" t="s">
        <v>63</v>
      </c>
      <c r="P192" s="2">
        <v>0.41041666666666665</v>
      </c>
      <c r="Q192">
        <f>-0.0004572789*3600</f>
        <v>-1.64620404</v>
      </c>
      <c r="R192">
        <f>0.0016373972*3600</f>
        <v>5.8946299199999999</v>
      </c>
    </row>
    <row r="193" spans="1:18" x14ac:dyDescent="0.3">
      <c r="A193" s="4" t="s">
        <v>47</v>
      </c>
      <c r="B193" t="s">
        <v>56</v>
      </c>
      <c r="C193">
        <v>95.65401</v>
      </c>
      <c r="D193">
        <v>299.36220900000001</v>
      </c>
      <c r="E193">
        <v>39.723599999999998</v>
      </c>
      <c r="F193">
        <v>39.714799999999997</v>
      </c>
      <c r="G193">
        <v>0.23899999999999999</v>
      </c>
      <c r="H193">
        <v>0</v>
      </c>
      <c r="J193" t="s">
        <v>0</v>
      </c>
      <c r="K193" t="s">
        <v>61</v>
      </c>
      <c r="L193">
        <v>0</v>
      </c>
      <c r="M193" t="s">
        <v>52</v>
      </c>
      <c r="N193">
        <v>1</v>
      </c>
      <c r="O193" t="s">
        <v>63</v>
      </c>
      <c r="P193" s="2">
        <v>0.41041666666666665</v>
      </c>
      <c r="Q193">
        <f>-0.0003537917*3600</f>
        <v>-1.2736501200000001</v>
      </c>
      <c r="R193">
        <f>0.0017459442*3600</f>
        <v>6.2853991200000001</v>
      </c>
    </row>
    <row r="194" spans="1:18" x14ac:dyDescent="0.3">
      <c r="A194" s="4" t="s">
        <v>47</v>
      </c>
      <c r="B194" t="s">
        <v>56</v>
      </c>
      <c r="C194">
        <v>295.65598899999998</v>
      </c>
      <c r="D194">
        <v>100.63755</v>
      </c>
      <c r="E194">
        <v>39.7241</v>
      </c>
      <c r="F194">
        <v>39.715299999999999</v>
      </c>
      <c r="G194">
        <v>0.23899999999999999</v>
      </c>
      <c r="H194">
        <v>0</v>
      </c>
      <c r="J194" t="s">
        <v>0</v>
      </c>
      <c r="K194" t="s">
        <v>61</v>
      </c>
      <c r="L194">
        <v>0</v>
      </c>
      <c r="M194" t="s">
        <v>52</v>
      </c>
      <c r="N194">
        <v>1</v>
      </c>
      <c r="O194" t="s">
        <v>63</v>
      </c>
      <c r="P194" s="2">
        <v>0.41041666666666665</v>
      </c>
      <c r="Q194">
        <f>-0.0003803089*3600</f>
        <v>-1.3691120399999999</v>
      </c>
      <c r="R194">
        <f>0.0016783706*3600</f>
        <v>6.0421341599999998</v>
      </c>
    </row>
    <row r="195" spans="1:18" x14ac:dyDescent="0.3">
      <c r="A195" s="4" t="s">
        <v>47</v>
      </c>
      <c r="B195" t="s">
        <v>56</v>
      </c>
      <c r="C195">
        <v>95.655139000000005</v>
      </c>
      <c r="D195">
        <v>299.36180400000001</v>
      </c>
      <c r="E195">
        <v>39.723599999999998</v>
      </c>
      <c r="F195">
        <v>39.714799999999997</v>
      </c>
      <c r="G195">
        <v>0.23899999999999999</v>
      </c>
      <c r="H195">
        <v>0</v>
      </c>
      <c r="J195" t="s">
        <v>0</v>
      </c>
      <c r="K195" t="s">
        <v>61</v>
      </c>
      <c r="L195">
        <v>0</v>
      </c>
      <c r="M195" t="s">
        <v>52</v>
      </c>
      <c r="N195">
        <v>1</v>
      </c>
      <c r="O195" t="s">
        <v>63</v>
      </c>
      <c r="P195" s="2">
        <v>0.41041666666666665</v>
      </c>
      <c r="Q195">
        <f>-0.0003905882*3600</f>
        <v>-1.40611752</v>
      </c>
      <c r="R195">
        <f>0.0016634864*3600</f>
        <v>5.9885510399999999</v>
      </c>
    </row>
    <row r="196" spans="1:18" x14ac:dyDescent="0.3">
      <c r="A196" s="4" t="s">
        <v>47</v>
      </c>
      <c r="B196" t="s">
        <v>56</v>
      </c>
      <c r="C196">
        <v>295.65561700000001</v>
      </c>
      <c r="D196">
        <v>100.637297</v>
      </c>
      <c r="E196">
        <v>39.723799999999997</v>
      </c>
      <c r="F196">
        <v>39.715000000000003</v>
      </c>
      <c r="G196">
        <v>0.23899999999999999</v>
      </c>
      <c r="H196">
        <v>0</v>
      </c>
      <c r="J196" t="s">
        <v>0</v>
      </c>
      <c r="K196" t="s">
        <v>61</v>
      </c>
      <c r="L196">
        <v>0</v>
      </c>
      <c r="M196" t="s">
        <v>52</v>
      </c>
      <c r="N196">
        <v>1</v>
      </c>
      <c r="O196" t="s">
        <v>63</v>
      </c>
      <c r="P196" s="2">
        <v>0.41041666666666665</v>
      </c>
      <c r="Q196">
        <f>-0.0004314209*3600</f>
        <v>-1.5531152399999999</v>
      </c>
      <c r="R196">
        <f>0.0016826562*3600</f>
        <v>6.0575623200000006</v>
      </c>
    </row>
    <row r="197" spans="1:18" x14ac:dyDescent="0.3">
      <c r="A197" s="4" t="s">
        <v>47</v>
      </c>
      <c r="B197" t="s">
        <v>56</v>
      </c>
      <c r="C197">
        <v>95.655122000000006</v>
      </c>
      <c r="D197">
        <v>299.36193500000002</v>
      </c>
      <c r="E197">
        <v>39.7239</v>
      </c>
      <c r="F197">
        <v>39.7151</v>
      </c>
      <c r="G197">
        <v>0.23899999999999999</v>
      </c>
      <c r="H197">
        <v>0</v>
      </c>
      <c r="J197" t="s">
        <v>0</v>
      </c>
      <c r="K197" t="s">
        <v>61</v>
      </c>
      <c r="L197">
        <v>0</v>
      </c>
      <c r="M197" t="s">
        <v>52</v>
      </c>
      <c r="N197">
        <v>1</v>
      </c>
      <c r="O197" t="s">
        <v>63</v>
      </c>
      <c r="P197" s="2">
        <v>0.41041666666666665</v>
      </c>
      <c r="Q197">
        <f>-0.0004524963*3600</f>
        <v>-1.6289866799999999</v>
      </c>
      <c r="R197">
        <f>0.0016164597*3600</f>
        <v>5.8192549199999997</v>
      </c>
    </row>
    <row r="198" spans="1:18" x14ac:dyDescent="0.3">
      <c r="A198" s="4" t="s">
        <v>47</v>
      </c>
      <c r="B198" t="s">
        <v>56</v>
      </c>
      <c r="C198">
        <v>295.65549700000003</v>
      </c>
      <c r="D198">
        <v>100.63737</v>
      </c>
      <c r="E198">
        <v>39.723799999999997</v>
      </c>
      <c r="F198">
        <v>39.715000000000003</v>
      </c>
      <c r="G198">
        <v>0.23899999999999999</v>
      </c>
      <c r="H198">
        <v>0</v>
      </c>
      <c r="J198" t="s">
        <v>0</v>
      </c>
      <c r="K198" t="s">
        <v>61</v>
      </c>
      <c r="L198">
        <v>0</v>
      </c>
      <c r="M198" t="s">
        <v>52</v>
      </c>
      <c r="N198">
        <v>1</v>
      </c>
      <c r="O198" t="s">
        <v>63</v>
      </c>
      <c r="P198" s="2">
        <v>0.41041666666666665</v>
      </c>
      <c r="Q198">
        <f>-0.0003839382*3600</f>
        <v>-1.3821775200000002</v>
      </c>
      <c r="R198">
        <f>0.0017128948*3600</f>
        <v>6.1664212799999998</v>
      </c>
    </row>
    <row r="199" spans="1:18" x14ac:dyDescent="0.3">
      <c r="A199" s="4" t="s">
        <v>47</v>
      </c>
      <c r="B199" t="s">
        <v>56</v>
      </c>
      <c r="C199">
        <v>95.654908000000006</v>
      </c>
      <c r="D199">
        <v>299.36171000000002</v>
      </c>
      <c r="E199">
        <v>39.723700000000001</v>
      </c>
      <c r="F199">
        <v>39.7149</v>
      </c>
      <c r="G199">
        <v>0.23899999999999999</v>
      </c>
      <c r="H199">
        <v>0</v>
      </c>
      <c r="J199" t="s">
        <v>0</v>
      </c>
      <c r="K199" t="s">
        <v>61</v>
      </c>
      <c r="L199">
        <v>0</v>
      </c>
      <c r="M199" t="s">
        <v>52</v>
      </c>
      <c r="N199">
        <v>1</v>
      </c>
      <c r="O199" t="s">
        <v>63</v>
      </c>
      <c r="P199" s="2">
        <v>0.41041666666666665</v>
      </c>
      <c r="Q199">
        <f>-0.0003626379*3600</f>
        <v>-1.30549644</v>
      </c>
      <c r="R199">
        <f>0.001775444*3600</f>
        <v>6.3915983999999995</v>
      </c>
    </row>
    <row r="200" spans="1:18" x14ac:dyDescent="0.3">
      <c r="A200" s="4" t="s">
        <v>47</v>
      </c>
      <c r="B200" s="16" t="s">
        <v>60</v>
      </c>
      <c r="C200">
        <v>297.47790700000002</v>
      </c>
      <c r="D200">
        <v>106.612574</v>
      </c>
      <c r="E200">
        <v>1.4867999999999999</v>
      </c>
      <c r="F200">
        <v>1.4784999999999999</v>
      </c>
      <c r="G200">
        <v>0.23899999999999999</v>
      </c>
      <c r="H200">
        <v>0</v>
      </c>
      <c r="J200" t="s">
        <v>0</v>
      </c>
      <c r="K200" t="s">
        <v>61</v>
      </c>
      <c r="L200">
        <v>0</v>
      </c>
      <c r="M200" t="s">
        <v>52</v>
      </c>
      <c r="N200">
        <v>1</v>
      </c>
      <c r="O200" t="s">
        <v>63</v>
      </c>
      <c r="P200" s="2">
        <v>0.41111111111111115</v>
      </c>
      <c r="Q200">
        <f>-0.0003146952*3600</f>
        <v>-1.1329027199999999</v>
      </c>
      <c r="R200">
        <f>0.0017493804*3600</f>
        <v>6.2977694399999997</v>
      </c>
    </row>
    <row r="201" spans="1:18" x14ac:dyDescent="0.3">
      <c r="A201" s="4" t="s">
        <v>47</v>
      </c>
      <c r="B201" s="16" t="s">
        <v>62</v>
      </c>
      <c r="C201">
        <v>297.49399099999999</v>
      </c>
      <c r="D201">
        <v>92.628082000000006</v>
      </c>
      <c r="E201">
        <v>1</v>
      </c>
      <c r="F201">
        <v>1</v>
      </c>
      <c r="G201">
        <v>0.23899999999999999</v>
      </c>
      <c r="H201">
        <v>0</v>
      </c>
      <c r="J201" t="s">
        <v>0</v>
      </c>
      <c r="K201" t="s">
        <v>61</v>
      </c>
      <c r="L201">
        <v>3.4000000000000002E-2</v>
      </c>
      <c r="M201" t="s">
        <v>52</v>
      </c>
      <c r="N201">
        <v>1</v>
      </c>
      <c r="O201" t="s">
        <v>53</v>
      </c>
      <c r="P201" s="2">
        <v>0.41111111111111115</v>
      </c>
      <c r="Q201">
        <f>-0.0003424396*3600</f>
        <v>-1.23278256</v>
      </c>
      <c r="R201">
        <f>0.0016602107*3600</f>
        <v>5.9767585200000006</v>
      </c>
    </row>
    <row r="202" spans="1:18" x14ac:dyDescent="0.3">
      <c r="A202" s="4" t="s">
        <v>47</v>
      </c>
      <c r="B202" s="16" t="s">
        <v>64</v>
      </c>
      <c r="C202">
        <v>297.48952700000001</v>
      </c>
      <c r="D202">
        <v>92.998675000000006</v>
      </c>
      <c r="E202">
        <v>1</v>
      </c>
      <c r="F202">
        <v>1</v>
      </c>
      <c r="G202">
        <v>0.23899999999999999</v>
      </c>
      <c r="H202">
        <v>0</v>
      </c>
      <c r="J202" t="s">
        <v>0</v>
      </c>
      <c r="K202" t="s">
        <v>61</v>
      </c>
      <c r="L202">
        <v>0</v>
      </c>
      <c r="M202" t="s">
        <v>52</v>
      </c>
      <c r="N202">
        <v>1</v>
      </c>
      <c r="O202" t="s">
        <v>63</v>
      </c>
      <c r="P202" s="2">
        <v>0.41111111111111115</v>
      </c>
      <c r="Q202">
        <f>-0.0004158948*3600</f>
        <v>-1.49722128</v>
      </c>
      <c r="R202">
        <f>0.0015834095*3600</f>
        <v>5.7002742</v>
      </c>
    </row>
    <row r="203" spans="1:18" x14ac:dyDescent="0.3">
      <c r="A203" s="4" t="s">
        <v>47</v>
      </c>
      <c r="B203" s="16" t="s">
        <v>65</v>
      </c>
      <c r="C203">
        <v>297.49039900000002</v>
      </c>
      <c r="D203">
        <v>92.998327000000003</v>
      </c>
      <c r="E203">
        <v>1</v>
      </c>
      <c r="F203">
        <v>1</v>
      </c>
      <c r="G203">
        <v>0.23899999999999999</v>
      </c>
      <c r="H203">
        <v>0</v>
      </c>
      <c r="J203" t="s">
        <v>0</v>
      </c>
      <c r="K203" t="s">
        <v>61</v>
      </c>
      <c r="L203">
        <v>0</v>
      </c>
      <c r="M203" t="s">
        <v>52</v>
      </c>
      <c r="N203">
        <v>1</v>
      </c>
      <c r="O203" t="s">
        <v>63</v>
      </c>
      <c r="P203" s="2">
        <v>0.41111111111111115</v>
      </c>
      <c r="Q203">
        <f>-0.000305884*3600</f>
        <v>-1.1011823999999999</v>
      </c>
      <c r="R203">
        <f>0.0017819011*3600</f>
        <v>6.4148439599999998</v>
      </c>
    </row>
    <row r="204" spans="1:18" x14ac:dyDescent="0.3">
      <c r="A204" s="4" t="s">
        <v>47</v>
      </c>
      <c r="B204" s="16" t="s">
        <v>66</v>
      </c>
      <c r="C204">
        <v>297.49061999999998</v>
      </c>
      <c r="D204">
        <v>92.998150999999993</v>
      </c>
      <c r="E204">
        <v>1</v>
      </c>
      <c r="F204">
        <v>1</v>
      </c>
      <c r="G204">
        <v>0.23899999999999999</v>
      </c>
      <c r="H204">
        <v>0</v>
      </c>
      <c r="J204" t="s">
        <v>0</v>
      </c>
      <c r="K204" t="s">
        <v>61</v>
      </c>
      <c r="L204">
        <v>0</v>
      </c>
      <c r="M204" t="s">
        <v>52</v>
      </c>
      <c r="N204">
        <v>1</v>
      </c>
      <c r="O204" t="s">
        <v>63</v>
      </c>
      <c r="P204" s="2">
        <v>0.41111111111111115</v>
      </c>
      <c r="Q204">
        <f>-0.0003565248*3600</f>
        <v>-1.28348928</v>
      </c>
      <c r="R204">
        <f>0.001718483*3600</f>
        <v>6.1865388000000001</v>
      </c>
    </row>
    <row r="205" spans="1:18" x14ac:dyDescent="0.3">
      <c r="A205" s="4" t="s">
        <v>47</v>
      </c>
      <c r="B205" s="16" t="s">
        <v>67</v>
      </c>
      <c r="C205">
        <v>297.49113999999997</v>
      </c>
      <c r="D205">
        <v>93.014669999999995</v>
      </c>
      <c r="E205">
        <v>1</v>
      </c>
      <c r="F205">
        <v>1</v>
      </c>
      <c r="G205">
        <v>0.23899999999999999</v>
      </c>
      <c r="H205">
        <v>0</v>
      </c>
      <c r="J205" t="s">
        <v>0</v>
      </c>
      <c r="K205" t="s">
        <v>61</v>
      </c>
      <c r="L205">
        <v>0</v>
      </c>
      <c r="M205" t="s">
        <v>52</v>
      </c>
      <c r="N205">
        <v>1</v>
      </c>
      <c r="O205" t="s">
        <v>63</v>
      </c>
      <c r="P205" s="2">
        <v>0.41111111111111115</v>
      </c>
      <c r="Q205">
        <f>-0.0003848038*3600</f>
        <v>-1.3852936800000002</v>
      </c>
      <c r="R205">
        <f>0.0017784376*3600</f>
        <v>6.4023753600000006</v>
      </c>
    </row>
    <row r="206" spans="1:18" x14ac:dyDescent="0.3">
      <c r="A206" s="4" t="s">
        <v>47</v>
      </c>
      <c r="B206" s="16" t="s">
        <v>68</v>
      </c>
      <c r="C206">
        <v>297.48990800000001</v>
      </c>
      <c r="D206">
        <v>93.014753999999996</v>
      </c>
      <c r="E206">
        <v>1</v>
      </c>
      <c r="F206">
        <v>1</v>
      </c>
      <c r="G206">
        <v>0.23899999999999999</v>
      </c>
      <c r="H206">
        <v>0</v>
      </c>
      <c r="J206" t="s">
        <v>0</v>
      </c>
      <c r="K206" t="s">
        <v>61</v>
      </c>
      <c r="L206">
        <v>0</v>
      </c>
      <c r="M206" t="s">
        <v>52</v>
      </c>
      <c r="N206">
        <v>1</v>
      </c>
      <c r="O206" t="s">
        <v>63</v>
      </c>
      <c r="P206" s="2">
        <v>0.41111111111111115</v>
      </c>
      <c r="Q206">
        <f>-0.0004019996*3600</f>
        <v>-1.4471985599999999</v>
      </c>
      <c r="R206">
        <f>0.0018153045*3600</f>
        <v>6.5350961999999999</v>
      </c>
    </row>
    <row r="207" spans="1:18" x14ac:dyDescent="0.3">
      <c r="A207" s="4" t="s">
        <v>47</v>
      </c>
      <c r="B207" s="16" t="s">
        <v>69</v>
      </c>
      <c r="C207">
        <v>297.49019199999998</v>
      </c>
      <c r="D207">
        <v>93.014540999999994</v>
      </c>
      <c r="E207">
        <v>1</v>
      </c>
      <c r="F207">
        <v>1</v>
      </c>
      <c r="G207">
        <v>0.23899999999999999</v>
      </c>
      <c r="H207">
        <v>0</v>
      </c>
      <c r="J207" t="s">
        <v>0</v>
      </c>
      <c r="K207" t="s">
        <v>61</v>
      </c>
      <c r="L207">
        <v>0</v>
      </c>
      <c r="M207" t="s">
        <v>52</v>
      </c>
      <c r="N207">
        <v>1</v>
      </c>
      <c r="O207" t="s">
        <v>63</v>
      </c>
      <c r="P207" s="2">
        <v>0.41111111111111115</v>
      </c>
      <c r="Q207">
        <f>-0.0003678424*3600</f>
        <v>-1.32423264</v>
      </c>
      <c r="R207">
        <f>0.0017748709*3600</f>
        <v>6.3895352400000007</v>
      </c>
    </row>
    <row r="208" spans="1:18" x14ac:dyDescent="0.3">
      <c r="A208" s="4" t="s">
        <v>47</v>
      </c>
      <c r="B208" s="16" t="s">
        <v>70</v>
      </c>
      <c r="C208">
        <v>297.48743000000002</v>
      </c>
      <c r="D208">
        <v>93.014600999999999</v>
      </c>
      <c r="E208">
        <v>1</v>
      </c>
      <c r="F208">
        <v>1</v>
      </c>
      <c r="G208">
        <v>0.23899999999999999</v>
      </c>
      <c r="H208">
        <v>0</v>
      </c>
      <c r="J208" t="s">
        <v>0</v>
      </c>
      <c r="K208" t="s">
        <v>61</v>
      </c>
      <c r="L208">
        <v>0</v>
      </c>
      <c r="M208" t="s">
        <v>52</v>
      </c>
      <c r="N208">
        <v>1</v>
      </c>
      <c r="O208" t="s">
        <v>63</v>
      </c>
      <c r="P208" s="2">
        <v>0.41111111111111115</v>
      </c>
      <c r="Q208">
        <f>-0.0003626491*3600</f>
        <v>-1.3055367600000001</v>
      </c>
      <c r="R208">
        <f>0.0017904447*3600</f>
        <v>6.4456009200000004</v>
      </c>
    </row>
    <row r="209" spans="1:18" x14ac:dyDescent="0.3">
      <c r="A209" s="4" t="s">
        <v>47</v>
      </c>
      <c r="B209" s="16" t="s">
        <v>71</v>
      </c>
      <c r="C209">
        <v>297.48802899999998</v>
      </c>
      <c r="D209">
        <v>93.014585999999994</v>
      </c>
      <c r="E209">
        <v>1</v>
      </c>
      <c r="F209">
        <v>1</v>
      </c>
      <c r="G209">
        <v>0.23899999999999999</v>
      </c>
      <c r="H209">
        <v>0</v>
      </c>
      <c r="J209" t="s">
        <v>0</v>
      </c>
      <c r="K209" t="s">
        <v>61</v>
      </c>
      <c r="L209">
        <v>0</v>
      </c>
      <c r="M209" t="s">
        <v>52</v>
      </c>
      <c r="N209">
        <v>1</v>
      </c>
      <c r="O209" t="s">
        <v>63</v>
      </c>
      <c r="P209" s="2">
        <v>0.41111111111111115</v>
      </c>
      <c r="Q209">
        <f>-0.0003478215*3600</f>
        <v>-1.2521574</v>
      </c>
      <c r="R209">
        <f>0.0018191409*3600</f>
        <v>6.5489072400000001</v>
      </c>
    </row>
    <row r="210" spans="1:18" x14ac:dyDescent="0.3">
      <c r="A210" s="4" t="s">
        <v>47</v>
      </c>
      <c r="B210" s="16" t="s">
        <v>72</v>
      </c>
      <c r="C210">
        <v>297.48989999999998</v>
      </c>
      <c r="D210">
        <v>93.014610000000005</v>
      </c>
      <c r="E210">
        <v>1</v>
      </c>
      <c r="F210">
        <v>1</v>
      </c>
      <c r="G210">
        <v>0.23899999999999999</v>
      </c>
      <c r="H210">
        <v>0</v>
      </c>
      <c r="J210" t="s">
        <v>0</v>
      </c>
      <c r="K210" t="s">
        <v>61</v>
      </c>
      <c r="L210">
        <v>0</v>
      </c>
      <c r="M210" t="s">
        <v>52</v>
      </c>
      <c r="N210">
        <v>1</v>
      </c>
      <c r="O210" t="s">
        <v>63</v>
      </c>
      <c r="P210" s="2">
        <v>0.41111111111111115</v>
      </c>
      <c r="Q210">
        <f>-0.0003841852*3600</f>
        <v>-1.38306672</v>
      </c>
      <c r="R210">
        <f>0.0015153139*3600</f>
        <v>5.4551300400000002</v>
      </c>
    </row>
    <row r="211" spans="1:18" x14ac:dyDescent="0.3">
      <c r="A211" s="4" t="s">
        <v>47</v>
      </c>
      <c r="B211" s="16" t="s">
        <v>73</v>
      </c>
      <c r="C211">
        <v>297.48346800000002</v>
      </c>
      <c r="D211">
        <v>106.281137</v>
      </c>
      <c r="E211">
        <v>1.4861</v>
      </c>
      <c r="F211">
        <v>1.4785999999999999</v>
      </c>
      <c r="G211">
        <v>0.23899999999999999</v>
      </c>
      <c r="H211">
        <v>0</v>
      </c>
      <c r="J211" t="s">
        <v>0</v>
      </c>
      <c r="K211" t="s">
        <v>61</v>
      </c>
      <c r="L211">
        <v>0</v>
      </c>
      <c r="M211" t="s">
        <v>52</v>
      </c>
      <c r="N211">
        <v>1</v>
      </c>
      <c r="O211" t="s">
        <v>63</v>
      </c>
      <c r="P211" s="2">
        <v>0.41180555555555554</v>
      </c>
      <c r="Q211">
        <f>-0.0003833306*3600</f>
        <v>-1.37999016</v>
      </c>
      <c r="R211">
        <f>0.0017261732*3600</f>
        <v>6.21422352</v>
      </c>
    </row>
    <row r="212" spans="1:18" x14ac:dyDescent="0.3">
      <c r="A212" s="4" t="s">
        <v>47</v>
      </c>
      <c r="B212" s="16" t="s">
        <v>74</v>
      </c>
      <c r="C212">
        <v>297.48466100000002</v>
      </c>
      <c r="D212">
        <v>103.14296899999999</v>
      </c>
      <c r="E212">
        <v>1.4795</v>
      </c>
      <c r="F212">
        <v>1.4775</v>
      </c>
      <c r="G212">
        <v>0.23899999999999999</v>
      </c>
      <c r="H212">
        <v>0</v>
      </c>
      <c r="J212" t="s">
        <v>0</v>
      </c>
      <c r="K212" t="s">
        <v>61</v>
      </c>
      <c r="L212">
        <v>3.4000000000000002E-2</v>
      </c>
      <c r="M212" t="s">
        <v>52</v>
      </c>
      <c r="N212">
        <v>1</v>
      </c>
      <c r="O212" t="s">
        <v>53</v>
      </c>
      <c r="P212" s="2">
        <v>0.41180555555555554</v>
      </c>
      <c r="Q212">
        <f>-0.000314376*3600</f>
        <v>-1.1317535999999999</v>
      </c>
      <c r="R212">
        <f>0.0018084648*3600</f>
        <v>6.5104732799999994</v>
      </c>
    </row>
    <row r="213" spans="1:18" x14ac:dyDescent="0.3">
      <c r="A213" s="4" t="s">
        <v>47</v>
      </c>
      <c r="B213" s="16" t="s">
        <v>75</v>
      </c>
      <c r="C213">
        <v>297.49148200000002</v>
      </c>
      <c r="D213">
        <v>92.734611000000001</v>
      </c>
      <c r="E213">
        <v>1</v>
      </c>
      <c r="F213">
        <v>1</v>
      </c>
      <c r="G213">
        <v>0.23899999999999999</v>
      </c>
      <c r="H213">
        <v>0</v>
      </c>
      <c r="J213" t="s">
        <v>0</v>
      </c>
      <c r="K213" t="s">
        <v>61</v>
      </c>
      <c r="L213">
        <v>0</v>
      </c>
      <c r="M213" t="s">
        <v>52</v>
      </c>
      <c r="N213">
        <v>1</v>
      </c>
      <c r="O213" t="s">
        <v>63</v>
      </c>
      <c r="P213" s="2">
        <v>0.41180555555555554</v>
      </c>
      <c r="Q213">
        <f>-0.0002147505*3600</f>
        <v>-0.77310179999999995</v>
      </c>
      <c r="R213">
        <f>0.0017738192*3600</f>
        <v>6.3857491199999998</v>
      </c>
    </row>
    <row r="214" spans="1:18" x14ac:dyDescent="0.3">
      <c r="A214" s="4" t="s">
        <v>47</v>
      </c>
      <c r="B214" s="16" t="s">
        <v>76</v>
      </c>
      <c r="C214">
        <v>297.49174099999999</v>
      </c>
      <c r="D214">
        <v>92.734487000000001</v>
      </c>
      <c r="E214">
        <v>1</v>
      </c>
      <c r="F214">
        <v>1</v>
      </c>
      <c r="G214">
        <v>0.23899999999999999</v>
      </c>
      <c r="H214">
        <v>0</v>
      </c>
      <c r="J214" t="s">
        <v>0</v>
      </c>
      <c r="K214" t="s">
        <v>61</v>
      </c>
      <c r="L214">
        <v>0</v>
      </c>
      <c r="M214" t="s">
        <v>52</v>
      </c>
      <c r="N214">
        <v>1</v>
      </c>
      <c r="O214" t="s">
        <v>63</v>
      </c>
      <c r="P214" s="2">
        <v>0.41180555555555554</v>
      </c>
      <c r="Q214">
        <f>-0.0003248113*3600</f>
        <v>-1.16932068</v>
      </c>
      <c r="R214">
        <f>0.0018569267*3600</f>
        <v>6.6849361200000006</v>
      </c>
    </row>
    <row r="215" spans="1:18" x14ac:dyDescent="0.3">
      <c r="A215" s="4" t="s">
        <v>47</v>
      </c>
      <c r="B215" s="16" t="s">
        <v>77</v>
      </c>
      <c r="C215">
        <v>297.49188900000001</v>
      </c>
      <c r="D215">
        <v>92.734443999999996</v>
      </c>
      <c r="E215">
        <v>1</v>
      </c>
      <c r="F215">
        <v>1</v>
      </c>
      <c r="G215">
        <v>0.23899999999999999</v>
      </c>
      <c r="H215">
        <v>0</v>
      </c>
      <c r="J215" t="s">
        <v>0</v>
      </c>
      <c r="K215" t="s">
        <v>61</v>
      </c>
      <c r="L215">
        <v>0</v>
      </c>
      <c r="M215" t="s">
        <v>52</v>
      </c>
      <c r="N215">
        <v>1</v>
      </c>
      <c r="O215" t="s">
        <v>63</v>
      </c>
      <c r="P215" s="2">
        <v>0.41180555555555554</v>
      </c>
      <c r="Q215">
        <f>-0.0004783626*3600</f>
        <v>-1.72210536</v>
      </c>
      <c r="R215">
        <f>0.0017652307*3600</f>
        <v>6.3548305200000001</v>
      </c>
    </row>
    <row r="216" spans="1:18" x14ac:dyDescent="0.3">
      <c r="A216" s="4" t="s">
        <v>47</v>
      </c>
      <c r="B216" s="16" t="s">
        <v>78</v>
      </c>
      <c r="C216">
        <v>297.491941</v>
      </c>
      <c r="D216">
        <v>92.734218999999996</v>
      </c>
      <c r="E216">
        <v>1</v>
      </c>
      <c r="F216">
        <v>1</v>
      </c>
      <c r="G216">
        <v>0.23899999999999999</v>
      </c>
      <c r="H216">
        <v>0</v>
      </c>
      <c r="J216" t="s">
        <v>0</v>
      </c>
      <c r="K216" t="s">
        <v>61</v>
      </c>
      <c r="L216">
        <v>0</v>
      </c>
      <c r="M216" t="s">
        <v>52</v>
      </c>
      <c r="N216">
        <v>1</v>
      </c>
      <c r="O216" t="s">
        <v>63</v>
      </c>
      <c r="P216" s="2">
        <v>0.41180555555555554</v>
      </c>
      <c r="Q216">
        <f>-0.0004463749*3600</f>
        <v>-1.6069496400000001</v>
      </c>
      <c r="R216">
        <f>0.0017302047*3600</f>
        <v>6.2287369200000002</v>
      </c>
    </row>
    <row r="217" spans="1:18" x14ac:dyDescent="0.3">
      <c r="A217" s="4" t="s">
        <v>47</v>
      </c>
      <c r="B217" s="16" t="s">
        <v>79</v>
      </c>
      <c r="C217">
        <v>297.49140499999999</v>
      </c>
      <c r="D217">
        <v>92.734172999999998</v>
      </c>
      <c r="E217">
        <v>1</v>
      </c>
      <c r="F217">
        <v>1</v>
      </c>
      <c r="G217">
        <v>0.23899999999999999</v>
      </c>
      <c r="H217">
        <v>0</v>
      </c>
      <c r="J217" t="s">
        <v>0</v>
      </c>
      <c r="K217" t="s">
        <v>61</v>
      </c>
      <c r="L217">
        <v>0</v>
      </c>
      <c r="M217" t="s">
        <v>52</v>
      </c>
      <c r="N217">
        <v>1</v>
      </c>
      <c r="O217" t="s">
        <v>63</v>
      </c>
      <c r="P217" s="2">
        <v>0.41180555555555554</v>
      </c>
      <c r="Q217">
        <f>-0.0002705532*3600</f>
        <v>-0.97399152</v>
      </c>
      <c r="R217">
        <f>0.0018482708*3600</f>
        <v>6.6537748800000003</v>
      </c>
    </row>
    <row r="218" spans="1:18" x14ac:dyDescent="0.3">
      <c r="A218" s="4" t="s">
        <v>47</v>
      </c>
      <c r="B218" s="16" t="s">
        <v>80</v>
      </c>
      <c r="C218">
        <v>297.49111499999998</v>
      </c>
      <c r="D218">
        <v>92.735229000000004</v>
      </c>
      <c r="E218">
        <v>1</v>
      </c>
      <c r="F218">
        <v>1</v>
      </c>
      <c r="G218">
        <v>0.23899999999999999</v>
      </c>
      <c r="H218">
        <v>0</v>
      </c>
      <c r="J218" t="s">
        <v>0</v>
      </c>
      <c r="K218" t="s">
        <v>61</v>
      </c>
      <c r="L218">
        <v>0</v>
      </c>
      <c r="M218" t="s">
        <v>52</v>
      </c>
      <c r="N218">
        <v>1</v>
      </c>
      <c r="O218" t="s">
        <v>63</v>
      </c>
      <c r="P218" s="2">
        <v>0.41180555555555554</v>
      </c>
      <c r="Q218">
        <f>-0.00025118*3600</f>
        <v>-0.90424799999999994</v>
      </c>
      <c r="R218">
        <f>0.0017982695*3600</f>
        <v>6.4737702000000006</v>
      </c>
    </row>
    <row r="219" spans="1:18" x14ac:dyDescent="0.3">
      <c r="A219" s="4" t="s">
        <v>47</v>
      </c>
      <c r="B219" s="16" t="s">
        <v>81</v>
      </c>
      <c r="C219">
        <v>297.49104199999999</v>
      </c>
      <c r="D219">
        <v>92.735125999999994</v>
      </c>
      <c r="E219">
        <v>1</v>
      </c>
      <c r="F219">
        <v>1</v>
      </c>
      <c r="G219">
        <v>0.23899999999999999</v>
      </c>
      <c r="H219">
        <v>0</v>
      </c>
      <c r="J219" t="s">
        <v>0</v>
      </c>
      <c r="K219" t="s">
        <v>61</v>
      </c>
      <c r="L219">
        <v>3.4000000000000002E-2</v>
      </c>
      <c r="M219" t="s">
        <v>52</v>
      </c>
      <c r="N219">
        <v>1</v>
      </c>
      <c r="O219" t="s">
        <v>53</v>
      </c>
      <c r="P219" s="2">
        <v>0.41250000000000003</v>
      </c>
      <c r="Q219">
        <f>-0.0005732193*3600</f>
        <v>-2.0635894800000001</v>
      </c>
      <c r="R219">
        <f>0.0016341504*3600</f>
        <v>5.8829414399999997</v>
      </c>
    </row>
    <row r="220" spans="1:18" x14ac:dyDescent="0.3">
      <c r="A220" s="4" t="s">
        <v>47</v>
      </c>
      <c r="B220" s="16" t="s">
        <v>82</v>
      </c>
      <c r="C220">
        <v>297.49077599999998</v>
      </c>
      <c r="D220">
        <v>92.735476000000006</v>
      </c>
      <c r="E220">
        <v>1</v>
      </c>
      <c r="F220">
        <v>1</v>
      </c>
      <c r="G220">
        <v>0.23899999999999999</v>
      </c>
      <c r="H220">
        <v>0</v>
      </c>
      <c r="J220" t="s">
        <v>0</v>
      </c>
      <c r="K220" t="s">
        <v>61</v>
      </c>
      <c r="L220">
        <v>0</v>
      </c>
      <c r="M220" t="s">
        <v>52</v>
      </c>
      <c r="N220">
        <v>1</v>
      </c>
      <c r="O220" t="s">
        <v>63</v>
      </c>
      <c r="P220" s="2">
        <v>0.41250000000000003</v>
      </c>
      <c r="Q220">
        <f>-0.0005885129*3600</f>
        <v>-2.11864644</v>
      </c>
      <c r="R220">
        <f>0.0016119576*3600</f>
        <v>5.8030473599999999</v>
      </c>
    </row>
    <row r="221" spans="1:18" x14ac:dyDescent="0.3">
      <c r="A221" s="4" t="s">
        <v>47</v>
      </c>
      <c r="B221" s="16" t="s">
        <v>83</v>
      </c>
      <c r="C221">
        <v>297.48894100000001</v>
      </c>
      <c r="D221">
        <v>93.159567999999993</v>
      </c>
      <c r="E221">
        <v>1</v>
      </c>
      <c r="F221">
        <v>1</v>
      </c>
      <c r="G221">
        <v>0.23899999999999999</v>
      </c>
      <c r="H221">
        <v>0</v>
      </c>
      <c r="J221" t="s">
        <v>0</v>
      </c>
      <c r="K221" t="s">
        <v>61</v>
      </c>
      <c r="L221">
        <v>0</v>
      </c>
      <c r="M221" t="s">
        <v>52</v>
      </c>
      <c r="N221">
        <v>1</v>
      </c>
      <c r="O221" t="s">
        <v>63</v>
      </c>
      <c r="P221" s="2">
        <v>0.41250000000000003</v>
      </c>
      <c r="Q221">
        <f>-0.0004384031*3600</f>
        <v>-1.57825116</v>
      </c>
      <c r="R221">
        <f>0.0019586502*3600</f>
        <v>7.0511407200000011</v>
      </c>
    </row>
    <row r="222" spans="1:18" x14ac:dyDescent="0.3">
      <c r="A222" s="4" t="s">
        <v>47</v>
      </c>
      <c r="B222" s="16" t="s">
        <v>84</v>
      </c>
      <c r="C222">
        <v>297.48978699999998</v>
      </c>
      <c r="D222">
        <v>93.159076999999996</v>
      </c>
      <c r="E222">
        <v>1</v>
      </c>
      <c r="F222">
        <v>1</v>
      </c>
      <c r="G222">
        <v>0.23899999999999999</v>
      </c>
      <c r="H222">
        <v>0</v>
      </c>
      <c r="J222" t="s">
        <v>0</v>
      </c>
      <c r="K222" t="s">
        <v>61</v>
      </c>
      <c r="L222">
        <v>0</v>
      </c>
      <c r="M222" t="s">
        <v>52</v>
      </c>
      <c r="N222">
        <v>1</v>
      </c>
      <c r="O222" t="s">
        <v>63</v>
      </c>
      <c r="P222" s="2">
        <v>0.41250000000000003</v>
      </c>
      <c r="Q222">
        <f>-0.0003603841*3600</f>
        <v>-1.2973827599999999</v>
      </c>
      <c r="R222">
        <f>0.0017935736*3600</f>
        <v>6.4568649599999999</v>
      </c>
    </row>
    <row r="223" spans="1:18" x14ac:dyDescent="0.3">
      <c r="A223" s="4" t="s">
        <v>47</v>
      </c>
      <c r="B223" s="16" t="s">
        <v>85</v>
      </c>
      <c r="C223">
        <v>297.48992800000002</v>
      </c>
      <c r="D223">
        <v>93.159203000000005</v>
      </c>
      <c r="E223">
        <v>1</v>
      </c>
      <c r="F223">
        <v>1</v>
      </c>
      <c r="G223">
        <v>0.23899999999999999</v>
      </c>
      <c r="H223">
        <v>0</v>
      </c>
      <c r="J223" t="s">
        <v>0</v>
      </c>
      <c r="K223" t="s">
        <v>61</v>
      </c>
      <c r="L223">
        <v>0</v>
      </c>
      <c r="M223" t="s">
        <v>52</v>
      </c>
      <c r="N223">
        <v>1</v>
      </c>
      <c r="O223" t="s">
        <v>63</v>
      </c>
      <c r="P223" s="2">
        <v>0.41250000000000003</v>
      </c>
      <c r="Q223">
        <f>-0.0002775365*3600</f>
        <v>-0.9991314</v>
      </c>
      <c r="R223">
        <f>0.0018908949*3600</f>
        <v>6.8072216399999999</v>
      </c>
    </row>
    <row r="224" spans="1:18" x14ac:dyDescent="0.3">
      <c r="A224" s="4" t="s">
        <v>47</v>
      </c>
      <c r="B224" s="16" t="s">
        <v>86</v>
      </c>
      <c r="C224">
        <v>297.49171899999999</v>
      </c>
      <c r="D224">
        <v>93.158880999999994</v>
      </c>
      <c r="E224">
        <v>1</v>
      </c>
      <c r="F224">
        <v>1</v>
      </c>
      <c r="G224">
        <v>0.23899999999999999</v>
      </c>
      <c r="H224">
        <v>0</v>
      </c>
      <c r="J224" t="s">
        <v>0</v>
      </c>
      <c r="K224" t="s">
        <v>61</v>
      </c>
      <c r="L224">
        <v>0</v>
      </c>
      <c r="M224" t="s">
        <v>52</v>
      </c>
      <c r="N224">
        <v>1</v>
      </c>
      <c r="O224" t="s">
        <v>63</v>
      </c>
      <c r="P224" s="2">
        <v>0.41250000000000003</v>
      </c>
      <c r="Q224">
        <f>-0.0004424347*3600</f>
        <v>-1.59276492</v>
      </c>
      <c r="R224">
        <f>0.0020052106*3600</f>
        <v>7.2187581600000001</v>
      </c>
    </row>
    <row r="225" spans="1:18" x14ac:dyDescent="0.3">
      <c r="A225" s="4" t="s">
        <v>47</v>
      </c>
      <c r="B225" s="16" t="s">
        <v>87</v>
      </c>
      <c r="C225">
        <v>297.488338</v>
      </c>
      <c r="D225">
        <v>93.159154999999998</v>
      </c>
      <c r="E225">
        <v>1</v>
      </c>
      <c r="F225">
        <v>1</v>
      </c>
      <c r="G225">
        <v>0.23899999999999999</v>
      </c>
      <c r="H225">
        <v>0</v>
      </c>
      <c r="J225" t="s">
        <v>0</v>
      </c>
      <c r="K225" t="s">
        <v>61</v>
      </c>
      <c r="L225">
        <v>0</v>
      </c>
      <c r="M225" t="s">
        <v>52</v>
      </c>
      <c r="N225">
        <v>1</v>
      </c>
      <c r="O225" t="s">
        <v>63</v>
      </c>
      <c r="P225" s="2">
        <v>0.41250000000000003</v>
      </c>
      <c r="Q225">
        <f>-0.0003037893*3600</f>
        <v>-1.0936414800000001</v>
      </c>
      <c r="R225">
        <f>0.0020094962*3600</f>
        <v>7.2341863200000001</v>
      </c>
    </row>
    <row r="226" spans="1:18" x14ac:dyDescent="0.3">
      <c r="A226" s="4" t="s">
        <v>47</v>
      </c>
      <c r="B226" s="16" t="s">
        <v>88</v>
      </c>
      <c r="C226">
        <v>297.490253</v>
      </c>
      <c r="D226">
        <v>93.159287000000006</v>
      </c>
      <c r="E226">
        <v>1</v>
      </c>
      <c r="F226">
        <v>1</v>
      </c>
      <c r="G226">
        <v>0.23899999999999999</v>
      </c>
      <c r="H226">
        <v>0</v>
      </c>
      <c r="J226" t="s">
        <v>0</v>
      </c>
      <c r="K226" t="s">
        <v>61</v>
      </c>
      <c r="L226">
        <v>0</v>
      </c>
      <c r="M226" t="s">
        <v>52</v>
      </c>
      <c r="N226">
        <v>1</v>
      </c>
      <c r="O226" t="s">
        <v>63</v>
      </c>
      <c r="P226" s="2">
        <v>0.41250000000000003</v>
      </c>
      <c r="Q226">
        <f>-0.0003223747*3600</f>
        <v>-1.1605489200000001</v>
      </c>
      <c r="R226">
        <f>0.0019719324*3600</f>
        <v>7.0989566400000008</v>
      </c>
    </row>
    <row r="227" spans="1:18" x14ac:dyDescent="0.3">
      <c r="A227" s="4" t="s">
        <v>47</v>
      </c>
      <c r="B227" s="16" t="s">
        <v>89</v>
      </c>
      <c r="C227">
        <v>297.486918</v>
      </c>
      <c r="D227">
        <v>93.159086000000002</v>
      </c>
      <c r="E227">
        <v>1</v>
      </c>
      <c r="F227">
        <v>1</v>
      </c>
      <c r="G227">
        <v>0.23899999999999999</v>
      </c>
      <c r="H227">
        <v>0</v>
      </c>
      <c r="J227" t="s">
        <v>0</v>
      </c>
      <c r="K227" t="s">
        <v>61</v>
      </c>
      <c r="L227">
        <v>0</v>
      </c>
      <c r="M227" t="s">
        <v>52</v>
      </c>
      <c r="N227">
        <v>1</v>
      </c>
      <c r="O227" t="s">
        <v>63</v>
      </c>
      <c r="P227" s="2">
        <v>0.41250000000000003</v>
      </c>
      <c r="Q227">
        <f>-0.0003740093*3600</f>
        <v>-1.34643348</v>
      </c>
      <c r="R227">
        <f>0.0019543816*3600</f>
        <v>7.0357737600000005</v>
      </c>
    </row>
    <row r="228" spans="1:18" x14ac:dyDescent="0.3">
      <c r="A228" s="4" t="s">
        <v>47</v>
      </c>
      <c r="B228" s="16" t="s">
        <v>90</v>
      </c>
      <c r="C228">
        <v>297.48826800000001</v>
      </c>
      <c r="D228">
        <v>93.159073000000006</v>
      </c>
      <c r="E228">
        <v>1</v>
      </c>
      <c r="F228">
        <v>1</v>
      </c>
      <c r="G228">
        <v>0.23899999999999999</v>
      </c>
      <c r="H228">
        <v>0</v>
      </c>
      <c r="J228" t="s">
        <v>0</v>
      </c>
      <c r="K228" t="s">
        <v>61</v>
      </c>
      <c r="L228">
        <v>0</v>
      </c>
      <c r="M228" t="s">
        <v>52</v>
      </c>
      <c r="N228">
        <v>1</v>
      </c>
      <c r="O228" t="s">
        <v>63</v>
      </c>
      <c r="P228" s="2">
        <v>0.41250000000000003</v>
      </c>
      <c r="Q228">
        <f>-0.0002729947*3600</f>
        <v>-0.98278092000000006</v>
      </c>
      <c r="R228">
        <f>0.0020075788*3600</f>
        <v>7.2272836800000002</v>
      </c>
    </row>
    <row r="229" spans="1:18" x14ac:dyDescent="0.3">
      <c r="A229" s="4" t="s">
        <v>47</v>
      </c>
      <c r="B229" s="16" t="s">
        <v>91</v>
      </c>
      <c r="C229">
        <v>297.48899399999999</v>
      </c>
      <c r="D229">
        <v>93.159237000000005</v>
      </c>
      <c r="E229">
        <v>1</v>
      </c>
      <c r="F229">
        <v>1</v>
      </c>
      <c r="G229">
        <v>0.23899999999999999</v>
      </c>
      <c r="H229">
        <v>0</v>
      </c>
      <c r="J229" t="s">
        <v>0</v>
      </c>
      <c r="K229" t="s">
        <v>61</v>
      </c>
      <c r="L229">
        <v>0</v>
      </c>
      <c r="M229" t="s">
        <v>52</v>
      </c>
      <c r="N229">
        <v>1</v>
      </c>
      <c r="O229" t="s">
        <v>63</v>
      </c>
      <c r="P229" s="2">
        <v>0.41250000000000003</v>
      </c>
      <c r="Q229">
        <f>-0.000305217*3600</f>
        <v>-1.0987811999999999</v>
      </c>
      <c r="R229">
        <f>0.0018141132*3600</f>
        <v>6.5308075200000006</v>
      </c>
    </row>
    <row r="230" spans="1:18" x14ac:dyDescent="0.3">
      <c r="A230" s="4" t="s">
        <v>47</v>
      </c>
      <c r="B230" s="16" t="s">
        <v>92</v>
      </c>
      <c r="C230">
        <v>297.483362</v>
      </c>
      <c r="D230">
        <v>103.069828</v>
      </c>
      <c r="E230">
        <v>1.4794</v>
      </c>
      <c r="F230">
        <v>1.4774</v>
      </c>
      <c r="G230">
        <v>0.23899999999999999</v>
      </c>
      <c r="H230">
        <v>0</v>
      </c>
      <c r="J230" t="s">
        <v>0</v>
      </c>
      <c r="K230" t="s">
        <v>61</v>
      </c>
      <c r="L230">
        <v>0</v>
      </c>
      <c r="M230" t="s">
        <v>52</v>
      </c>
      <c r="N230">
        <v>1</v>
      </c>
      <c r="O230" t="s">
        <v>63</v>
      </c>
      <c r="P230" s="2">
        <v>0.41250000000000003</v>
      </c>
      <c r="Q230">
        <f>-0.0002807861*3600</f>
        <v>-1.0108299600000001</v>
      </c>
      <c r="R230">
        <f>0.0019705155*3600</f>
        <v>7.0938558</v>
      </c>
    </row>
    <row r="231" spans="1:18" x14ac:dyDescent="0.3">
      <c r="A231" s="4" t="s">
        <v>47</v>
      </c>
      <c r="B231" s="16" t="s">
        <v>93</v>
      </c>
      <c r="C231">
        <v>297.481539</v>
      </c>
      <c r="D231">
        <v>103.06998900000001</v>
      </c>
      <c r="E231">
        <v>1.4799</v>
      </c>
      <c r="F231">
        <v>1.4779</v>
      </c>
      <c r="G231">
        <v>0.23899999999999999</v>
      </c>
      <c r="H231">
        <v>0</v>
      </c>
      <c r="J231" t="s">
        <v>0</v>
      </c>
      <c r="K231" t="s">
        <v>61</v>
      </c>
      <c r="L231">
        <v>3.4000000000000002E-2</v>
      </c>
      <c r="M231" t="s">
        <v>52</v>
      </c>
      <c r="N231">
        <v>1</v>
      </c>
      <c r="O231" t="s">
        <v>53</v>
      </c>
      <c r="P231" s="2">
        <v>0.41319444444444442</v>
      </c>
      <c r="Q231">
        <f>-0.0004183668*3600</f>
        <v>-1.5061204799999999</v>
      </c>
      <c r="R231">
        <f>0.0016346323*3600</f>
        <v>5.8846762799999999</v>
      </c>
    </row>
    <row r="232" spans="1:18" x14ac:dyDescent="0.3">
      <c r="A232" s="4" t="s">
        <v>47</v>
      </c>
      <c r="B232" s="16" t="s">
        <v>156</v>
      </c>
      <c r="C232">
        <v>97.470794999999995</v>
      </c>
      <c r="D232">
        <v>296.12498199999999</v>
      </c>
      <c r="E232">
        <v>1.4823</v>
      </c>
      <c r="F232">
        <v>1.4793000000000001</v>
      </c>
      <c r="G232">
        <v>0.23899999999999999</v>
      </c>
      <c r="H232">
        <v>0</v>
      </c>
      <c r="J232" t="s">
        <v>0</v>
      </c>
      <c r="K232" t="s">
        <v>61</v>
      </c>
      <c r="L232">
        <v>0</v>
      </c>
      <c r="M232" t="s">
        <v>52</v>
      </c>
      <c r="N232">
        <v>1</v>
      </c>
      <c r="O232" t="s">
        <v>63</v>
      </c>
      <c r="P232" s="2">
        <v>0.41319444444444442</v>
      </c>
      <c r="Q232">
        <f>-0.0003362157*3600</f>
        <v>-1.2103765199999998</v>
      </c>
      <c r="R232">
        <f>0.0017814725*3600</f>
        <v>6.4133010000000006</v>
      </c>
    </row>
    <row r="233" spans="1:18" x14ac:dyDescent="0.3">
      <c r="A233" s="4" t="s">
        <v>47</v>
      </c>
      <c r="B233" s="16" t="s">
        <v>157</v>
      </c>
      <c r="C233">
        <v>97.475004999999996</v>
      </c>
      <c r="D233">
        <v>298.56807199999997</v>
      </c>
      <c r="E233">
        <v>1</v>
      </c>
      <c r="F233">
        <v>1</v>
      </c>
      <c r="G233">
        <v>0.23899999999999999</v>
      </c>
      <c r="H233">
        <v>0</v>
      </c>
      <c r="J233" t="s">
        <v>0</v>
      </c>
      <c r="K233" t="s">
        <v>61</v>
      </c>
      <c r="L233">
        <v>0</v>
      </c>
      <c r="M233" t="s">
        <v>52</v>
      </c>
      <c r="N233">
        <v>1</v>
      </c>
      <c r="O233" t="s">
        <v>63</v>
      </c>
      <c r="P233" s="2">
        <v>0.41319444444444442</v>
      </c>
      <c r="Q233">
        <f>-0.0004572892*3600</f>
        <v>-1.64624112</v>
      </c>
      <c r="R233">
        <f>0.0016802033*3600</f>
        <v>6.0487318800000001</v>
      </c>
    </row>
    <row r="234" spans="1:18" x14ac:dyDescent="0.3">
      <c r="A234" s="4" t="s">
        <v>47</v>
      </c>
      <c r="B234" s="16" t="s">
        <v>158</v>
      </c>
      <c r="C234">
        <v>97.474464999999995</v>
      </c>
      <c r="D234">
        <v>298.56849699999998</v>
      </c>
      <c r="E234">
        <v>1</v>
      </c>
      <c r="F234">
        <v>1</v>
      </c>
      <c r="G234">
        <v>0.23899999999999999</v>
      </c>
      <c r="H234">
        <v>0</v>
      </c>
      <c r="J234" t="s">
        <v>0</v>
      </c>
      <c r="K234" t="s">
        <v>61</v>
      </c>
      <c r="L234">
        <v>0</v>
      </c>
      <c r="M234" t="s">
        <v>52</v>
      </c>
      <c r="N234">
        <v>1</v>
      </c>
      <c r="O234" t="s">
        <v>63</v>
      </c>
      <c r="P234" s="2">
        <v>0.41319444444444442</v>
      </c>
      <c r="Q234">
        <f>-0.0003708062*3600</f>
        <v>-1.3349023200000001</v>
      </c>
      <c r="R234">
        <f>0.0017347969*3600</f>
        <v>6.2452688399999996</v>
      </c>
    </row>
    <row r="235" spans="1:18" x14ac:dyDescent="0.3">
      <c r="A235" s="4" t="s">
        <v>47</v>
      </c>
      <c r="B235" s="16" t="s">
        <v>159</v>
      </c>
      <c r="C235">
        <v>97.474160999999995</v>
      </c>
      <c r="D235">
        <v>298.56836199999998</v>
      </c>
      <c r="E235">
        <v>1</v>
      </c>
      <c r="F235">
        <v>1</v>
      </c>
      <c r="G235">
        <v>0.23899999999999999</v>
      </c>
      <c r="H235">
        <v>0</v>
      </c>
      <c r="J235" t="s">
        <v>0</v>
      </c>
      <c r="K235" t="s">
        <v>61</v>
      </c>
      <c r="L235">
        <v>0</v>
      </c>
      <c r="M235" t="s">
        <v>52</v>
      </c>
      <c r="N235">
        <v>1</v>
      </c>
      <c r="O235" t="s">
        <v>63</v>
      </c>
      <c r="P235" s="2">
        <v>0.41319444444444442</v>
      </c>
      <c r="Q235">
        <f>-0.000393317*3600</f>
        <v>-1.4159412</v>
      </c>
      <c r="R235">
        <f>0.0017591706*3600</f>
        <v>6.3330141600000003</v>
      </c>
    </row>
    <row r="236" spans="1:18" x14ac:dyDescent="0.3">
      <c r="A236" s="4" t="s">
        <v>47</v>
      </c>
      <c r="B236" s="16" t="s">
        <v>160</v>
      </c>
      <c r="C236">
        <v>97.473763000000005</v>
      </c>
      <c r="D236">
        <v>298.56844999999998</v>
      </c>
      <c r="E236">
        <v>1</v>
      </c>
      <c r="F236">
        <v>1</v>
      </c>
      <c r="G236">
        <v>0.23899999999999999</v>
      </c>
      <c r="H236">
        <v>0</v>
      </c>
      <c r="J236" t="s">
        <v>0</v>
      </c>
      <c r="K236" t="s">
        <v>61</v>
      </c>
      <c r="L236">
        <v>0</v>
      </c>
      <c r="M236" t="s">
        <v>52</v>
      </c>
      <c r="N236">
        <v>1</v>
      </c>
      <c r="O236" t="s">
        <v>63</v>
      </c>
      <c r="P236" s="2">
        <v>0.41319444444444442</v>
      </c>
      <c r="Q236">
        <f>-0.0003159121*3600</f>
        <v>-1.13728356</v>
      </c>
      <c r="R236">
        <f>0.0017649144*3600</f>
        <v>6.3536918399999998</v>
      </c>
    </row>
    <row r="237" spans="1:18" x14ac:dyDescent="0.3">
      <c r="A237" s="4" t="s">
        <v>47</v>
      </c>
      <c r="B237" s="16" t="s">
        <v>161</v>
      </c>
      <c r="C237">
        <v>97.473405</v>
      </c>
      <c r="D237">
        <v>298.56858899999997</v>
      </c>
      <c r="E237">
        <v>1</v>
      </c>
      <c r="F237">
        <v>1</v>
      </c>
      <c r="G237">
        <v>0.23899999999999999</v>
      </c>
      <c r="H237">
        <v>0</v>
      </c>
      <c r="J237" t="s">
        <v>0</v>
      </c>
      <c r="K237" t="s">
        <v>61</v>
      </c>
      <c r="L237">
        <v>0</v>
      </c>
      <c r="M237" t="s">
        <v>52</v>
      </c>
      <c r="N237">
        <v>1</v>
      </c>
      <c r="O237" t="s">
        <v>63</v>
      </c>
      <c r="P237" s="2">
        <v>0.41319444444444442</v>
      </c>
      <c r="Q237">
        <f>-0.0002734588*3600</f>
        <v>-0.98445168000000005</v>
      </c>
      <c r="R237">
        <f>0.0017535546*3600</f>
        <v>6.3127965599999998</v>
      </c>
    </row>
    <row r="238" spans="1:18" x14ac:dyDescent="0.3">
      <c r="A238" s="4" t="s">
        <v>47</v>
      </c>
      <c r="B238" s="16" t="s">
        <v>162</v>
      </c>
      <c r="C238">
        <v>97.471509999999995</v>
      </c>
      <c r="D238">
        <v>298.56859600000001</v>
      </c>
      <c r="E238">
        <v>1</v>
      </c>
      <c r="F238">
        <v>1</v>
      </c>
      <c r="G238">
        <v>0.23899999999999999</v>
      </c>
      <c r="H238">
        <v>0</v>
      </c>
      <c r="J238" t="s">
        <v>0</v>
      </c>
      <c r="K238" t="s">
        <v>61</v>
      </c>
      <c r="L238">
        <v>0</v>
      </c>
      <c r="M238" t="s">
        <v>52</v>
      </c>
      <c r="N238">
        <v>1</v>
      </c>
      <c r="O238" t="s">
        <v>63</v>
      </c>
      <c r="P238" s="2">
        <v>0.41319444444444442</v>
      </c>
      <c r="Q238">
        <f>-0.0003650885*3600</f>
        <v>-1.3143186</v>
      </c>
      <c r="R238">
        <f>0.0018449046*3600</f>
        <v>6.6416565600000004</v>
      </c>
    </row>
    <row r="239" spans="1:18" x14ac:dyDescent="0.3">
      <c r="A239" s="4" t="s">
        <v>47</v>
      </c>
      <c r="B239" s="16" t="s">
        <v>163</v>
      </c>
      <c r="C239">
        <v>97.471575000000001</v>
      </c>
      <c r="D239">
        <v>298.568556</v>
      </c>
      <c r="E239">
        <v>1</v>
      </c>
      <c r="F239">
        <v>1</v>
      </c>
      <c r="G239">
        <v>0.23899999999999999</v>
      </c>
      <c r="H239">
        <v>0</v>
      </c>
      <c r="J239" t="s">
        <v>0</v>
      </c>
      <c r="K239" t="s">
        <v>61</v>
      </c>
      <c r="L239">
        <v>0</v>
      </c>
      <c r="M239" t="s">
        <v>52</v>
      </c>
      <c r="N239">
        <v>1</v>
      </c>
      <c r="O239" t="s">
        <v>63</v>
      </c>
      <c r="P239" s="2">
        <v>0.41319444444444442</v>
      </c>
      <c r="Q239">
        <f>-0.000243187*3600</f>
        <v>-0.87547319999999995</v>
      </c>
      <c r="R239">
        <f>0.0017497187*3600</f>
        <v>6.2989873200000002</v>
      </c>
    </row>
    <row r="240" spans="1:18" x14ac:dyDescent="0.3">
      <c r="A240" s="4" t="s">
        <v>47</v>
      </c>
      <c r="B240" s="16" t="s">
        <v>164</v>
      </c>
      <c r="C240">
        <v>97.471360000000004</v>
      </c>
      <c r="D240">
        <v>298.56852400000002</v>
      </c>
      <c r="E240">
        <v>1</v>
      </c>
      <c r="F240">
        <v>1</v>
      </c>
      <c r="G240">
        <v>0.23899999999999999</v>
      </c>
      <c r="H240">
        <v>0</v>
      </c>
      <c r="J240" t="s">
        <v>0</v>
      </c>
      <c r="K240" t="s">
        <v>61</v>
      </c>
      <c r="L240">
        <v>0</v>
      </c>
      <c r="M240" t="s">
        <v>52</v>
      </c>
      <c r="N240">
        <v>1</v>
      </c>
      <c r="O240" t="s">
        <v>63</v>
      </c>
      <c r="P240" s="2">
        <v>0.41319444444444442</v>
      </c>
      <c r="Q240">
        <f>-0.000352802*3600</f>
        <v>-1.2700871999999999</v>
      </c>
      <c r="R240">
        <f>0.0017009732*3600</f>
        <v>6.1235035199999999</v>
      </c>
    </row>
    <row r="241" spans="1:19" x14ac:dyDescent="0.3">
      <c r="A241" s="4" t="s">
        <v>47</v>
      </c>
      <c r="B241" s="16" t="s">
        <v>165</v>
      </c>
      <c r="C241">
        <v>97.473625999999996</v>
      </c>
      <c r="D241">
        <v>298.56858199999999</v>
      </c>
      <c r="E241">
        <v>1</v>
      </c>
      <c r="F241">
        <v>1</v>
      </c>
      <c r="G241">
        <v>0.23899999999999999</v>
      </c>
      <c r="H241">
        <v>0</v>
      </c>
      <c r="J241" t="s">
        <v>0</v>
      </c>
      <c r="K241" t="s">
        <v>61</v>
      </c>
      <c r="L241">
        <v>0</v>
      </c>
      <c r="M241" t="s">
        <v>52</v>
      </c>
      <c r="N241">
        <v>1</v>
      </c>
      <c r="O241" t="s">
        <v>63</v>
      </c>
      <c r="P241" s="2">
        <v>0.41319444444444442</v>
      </c>
      <c r="Q241">
        <f>-0.0003767754*3600</f>
        <v>-1.3563914400000001</v>
      </c>
      <c r="R241">
        <f>0.0017642953*3600</f>
        <v>6.3514630800000003</v>
      </c>
    </row>
    <row r="242" spans="1:19" x14ac:dyDescent="0.3">
      <c r="A242" s="4" t="s">
        <v>47</v>
      </c>
      <c r="B242" s="16" t="s">
        <v>166</v>
      </c>
      <c r="C242">
        <v>97.474486999999996</v>
      </c>
      <c r="D242">
        <v>298.56841200000002</v>
      </c>
      <c r="E242">
        <v>1</v>
      </c>
      <c r="F242">
        <v>1</v>
      </c>
      <c r="G242">
        <v>0.23899999999999999</v>
      </c>
      <c r="H242">
        <v>0</v>
      </c>
      <c r="J242" t="s">
        <v>0</v>
      </c>
      <c r="K242" t="s">
        <v>61</v>
      </c>
      <c r="L242">
        <v>3.4000000000000002E-2</v>
      </c>
      <c r="M242" t="s">
        <v>52</v>
      </c>
      <c r="N242">
        <v>1</v>
      </c>
      <c r="O242" t="s">
        <v>53</v>
      </c>
      <c r="P242" s="2">
        <v>0.41388888888888892</v>
      </c>
      <c r="Q242">
        <f>-0.000460342*3600</f>
        <v>-1.6572312</v>
      </c>
      <c r="R242">
        <f>0.0017859994*3600</f>
        <v>6.4295978400000005</v>
      </c>
    </row>
    <row r="243" spans="1:19" x14ac:dyDescent="0.3">
      <c r="A243" s="4" t="s">
        <v>47</v>
      </c>
      <c r="B243" s="16" t="s">
        <v>167</v>
      </c>
      <c r="C243">
        <v>97.474089000000006</v>
      </c>
      <c r="D243">
        <v>298.56858299999999</v>
      </c>
      <c r="E243">
        <v>1</v>
      </c>
      <c r="F243">
        <v>1</v>
      </c>
      <c r="G243">
        <v>0.23899999999999999</v>
      </c>
      <c r="H243">
        <v>0</v>
      </c>
      <c r="J243" t="s">
        <v>0</v>
      </c>
      <c r="K243" t="s">
        <v>61</v>
      </c>
      <c r="L243">
        <v>0</v>
      </c>
      <c r="M243" t="s">
        <v>52</v>
      </c>
      <c r="N243">
        <v>1</v>
      </c>
      <c r="O243" t="s">
        <v>63</v>
      </c>
      <c r="P243" s="2">
        <v>0.41388888888888892</v>
      </c>
      <c r="Q243">
        <f>-0.0002206633*3600</f>
        <v>-0.79438788000000005</v>
      </c>
      <c r="R243">
        <f>0.0020727633*3600</f>
        <v>7.4619478800000003</v>
      </c>
    </row>
    <row r="244" spans="1:19" x14ac:dyDescent="0.3">
      <c r="A244" s="4" t="s">
        <v>47</v>
      </c>
      <c r="B244" s="16" t="s">
        <v>168</v>
      </c>
      <c r="C244">
        <v>97.472499999999997</v>
      </c>
      <c r="D244">
        <v>293.74012199999999</v>
      </c>
      <c r="E244">
        <v>1.4861</v>
      </c>
      <c r="F244">
        <v>1.4786999999999999</v>
      </c>
      <c r="G244">
        <v>0.23899999999999999</v>
      </c>
      <c r="H244">
        <v>0</v>
      </c>
      <c r="J244" t="s">
        <v>0</v>
      </c>
      <c r="K244" t="s">
        <v>61</v>
      </c>
      <c r="L244">
        <v>0</v>
      </c>
      <c r="M244" t="s">
        <v>52</v>
      </c>
      <c r="N244">
        <v>1</v>
      </c>
      <c r="O244" t="s">
        <v>63</v>
      </c>
      <c r="P244" s="2">
        <v>0.41388888888888892</v>
      </c>
      <c r="Q244">
        <f>-0.0003476474*3600</f>
        <v>-1.2515306399999999</v>
      </c>
      <c r="R244">
        <f>0.0018562638*3600</f>
        <v>6.6825496800000002</v>
      </c>
    </row>
    <row r="245" spans="1:19" x14ac:dyDescent="0.3">
      <c r="A245" s="4" t="s">
        <v>47</v>
      </c>
      <c r="B245" s="16" t="s">
        <v>169</v>
      </c>
      <c r="C245">
        <v>97.473922999999999</v>
      </c>
      <c r="D245">
        <v>298.39122300000002</v>
      </c>
      <c r="E245">
        <v>1</v>
      </c>
      <c r="F245">
        <v>1</v>
      </c>
      <c r="G245">
        <v>0.23899999999999999</v>
      </c>
      <c r="H245">
        <v>0</v>
      </c>
      <c r="J245" t="s">
        <v>0</v>
      </c>
      <c r="K245" t="s">
        <v>61</v>
      </c>
      <c r="L245">
        <v>0</v>
      </c>
      <c r="M245" t="s">
        <v>52</v>
      </c>
      <c r="N245">
        <v>1</v>
      </c>
      <c r="O245" t="s">
        <v>63</v>
      </c>
      <c r="P245" s="2">
        <v>0.41388888888888892</v>
      </c>
      <c r="Q245">
        <f>-0.0004165233*3600</f>
        <v>-1.4994838800000001</v>
      </c>
      <c r="R245">
        <f>0.0018750429*3600</f>
        <v>6.7501544400000002</v>
      </c>
    </row>
    <row r="246" spans="1:19" x14ac:dyDescent="0.3">
      <c r="A246" s="4" t="s">
        <v>47</v>
      </c>
      <c r="B246" s="16" t="s">
        <v>170</v>
      </c>
      <c r="C246">
        <v>97.474288000000001</v>
      </c>
      <c r="D246">
        <v>298.391099</v>
      </c>
      <c r="E246">
        <v>1</v>
      </c>
      <c r="F246">
        <v>1</v>
      </c>
      <c r="G246">
        <v>0.23899999999999999</v>
      </c>
      <c r="H246">
        <v>0</v>
      </c>
      <c r="J246" t="s">
        <v>0</v>
      </c>
      <c r="K246" t="s">
        <v>61</v>
      </c>
      <c r="L246">
        <v>0</v>
      </c>
      <c r="M246" t="s">
        <v>52</v>
      </c>
      <c r="N246">
        <v>1</v>
      </c>
      <c r="O246" t="s">
        <v>63</v>
      </c>
      <c r="P246" s="2">
        <v>0.41388888888888892</v>
      </c>
      <c r="Q246">
        <f>-0.0004541096*3600</f>
        <v>-1.63479456</v>
      </c>
      <c r="R246">
        <f>0.0019031719*3600</f>
        <v>6.85141884</v>
      </c>
    </row>
    <row r="247" spans="1:19" x14ac:dyDescent="0.3">
      <c r="A247" s="4" t="s">
        <v>47</v>
      </c>
      <c r="B247" s="16" t="s">
        <v>171</v>
      </c>
      <c r="C247">
        <v>97.47587</v>
      </c>
      <c r="D247">
        <v>298.39115399999997</v>
      </c>
      <c r="E247">
        <v>1</v>
      </c>
      <c r="F247">
        <v>1</v>
      </c>
      <c r="G247">
        <v>0.23899999999999999</v>
      </c>
      <c r="H247">
        <v>0</v>
      </c>
      <c r="J247" t="s">
        <v>0</v>
      </c>
      <c r="K247" t="s">
        <v>61</v>
      </c>
      <c r="L247">
        <v>0</v>
      </c>
      <c r="M247" t="s">
        <v>52</v>
      </c>
      <c r="N247">
        <v>1</v>
      </c>
      <c r="O247" t="s">
        <v>63</v>
      </c>
      <c r="P247" s="2">
        <v>0.41388888888888892</v>
      </c>
      <c r="Q247">
        <f>-0.000345621*3600</f>
        <v>-1.2442356000000001</v>
      </c>
      <c r="R247">
        <f>0.0019945419*3600</f>
        <v>7.1803508400000009</v>
      </c>
    </row>
    <row r="248" spans="1:19" x14ac:dyDescent="0.3">
      <c r="A248" s="4" t="s">
        <v>47</v>
      </c>
      <c r="B248" s="16" t="s">
        <v>172</v>
      </c>
      <c r="C248">
        <v>97.476089999999999</v>
      </c>
      <c r="D248">
        <v>298.39117900000002</v>
      </c>
      <c r="E248">
        <v>1</v>
      </c>
      <c r="F248">
        <v>1</v>
      </c>
      <c r="G248">
        <v>0.23899999999999999</v>
      </c>
      <c r="H248">
        <v>0</v>
      </c>
      <c r="J248" t="s">
        <v>0</v>
      </c>
      <c r="K248" t="s">
        <v>61</v>
      </c>
      <c r="L248">
        <v>0</v>
      </c>
      <c r="M248" t="s">
        <v>52</v>
      </c>
      <c r="N248">
        <v>1</v>
      </c>
      <c r="O248" t="s">
        <v>63</v>
      </c>
      <c r="P248" s="2">
        <v>0.41388888888888892</v>
      </c>
      <c r="Q248">
        <f>-0.0004723642*3600</f>
        <v>-1.7005111199999998</v>
      </c>
      <c r="R248">
        <f>0.0015883452*3600</f>
        <v>5.7180427199999997</v>
      </c>
    </row>
    <row r="249" spans="1:19" x14ac:dyDescent="0.3">
      <c r="A249" s="4" t="s">
        <v>47</v>
      </c>
      <c r="B249" s="16" t="s">
        <v>173</v>
      </c>
      <c r="C249">
        <v>97.475531000000004</v>
      </c>
      <c r="D249">
        <v>298.39118500000001</v>
      </c>
      <c r="E249">
        <v>1</v>
      </c>
      <c r="F249">
        <v>1</v>
      </c>
      <c r="G249">
        <v>0.23899999999999999</v>
      </c>
      <c r="H249">
        <v>0</v>
      </c>
      <c r="J249" t="s">
        <v>0</v>
      </c>
      <c r="K249" t="s">
        <v>50</v>
      </c>
      <c r="L249" t="s">
        <v>51</v>
      </c>
      <c r="M249">
        <v>0</v>
      </c>
      <c r="N249" t="s">
        <v>57</v>
      </c>
      <c r="O249">
        <v>1</v>
      </c>
      <c r="P249" t="s">
        <v>53</v>
      </c>
      <c r="Q249" s="2">
        <v>0.4145833333333333</v>
      </c>
      <c r="R249">
        <f>-0.000221223*3600</f>
        <v>-0.79640279999999997</v>
      </c>
      <c r="S249">
        <f>0.001870575*3600</f>
        <v>6.73407</v>
      </c>
    </row>
    <row r="250" spans="1:19" x14ac:dyDescent="0.3">
      <c r="A250" s="4" t="s">
        <v>47</v>
      </c>
      <c r="B250" s="16" t="s">
        <v>174</v>
      </c>
      <c r="C250">
        <v>97.475635999999994</v>
      </c>
      <c r="D250">
        <v>298.39117399999998</v>
      </c>
      <c r="E250">
        <v>1</v>
      </c>
      <c r="F250">
        <v>1</v>
      </c>
      <c r="G250">
        <v>0.23899999999999999</v>
      </c>
      <c r="H250">
        <v>0</v>
      </c>
      <c r="J250" t="s">
        <v>0</v>
      </c>
      <c r="K250" t="s">
        <v>50</v>
      </c>
      <c r="L250" t="s">
        <v>51</v>
      </c>
      <c r="M250">
        <v>0</v>
      </c>
      <c r="N250" t="s">
        <v>57</v>
      </c>
      <c r="O250">
        <v>1</v>
      </c>
      <c r="P250" t="s">
        <v>53</v>
      </c>
      <c r="Q250" s="2">
        <v>0.4145833333333333</v>
      </c>
      <c r="R250">
        <f>-0.0000340377*3600</f>
        <v>-0.12253572</v>
      </c>
      <c r="S250">
        <f>-0.0014405717*3600</f>
        <v>-5.1860581200000002</v>
      </c>
    </row>
    <row r="251" spans="1:19" x14ac:dyDescent="0.3">
      <c r="A251" s="4" t="s">
        <v>47</v>
      </c>
      <c r="B251" s="16" t="s">
        <v>175</v>
      </c>
      <c r="C251">
        <v>97.475297999999995</v>
      </c>
      <c r="D251">
        <v>298.39125100000001</v>
      </c>
      <c r="E251">
        <v>1</v>
      </c>
      <c r="F251">
        <v>1</v>
      </c>
      <c r="G251">
        <v>0.23899999999999999</v>
      </c>
      <c r="H251">
        <v>0</v>
      </c>
      <c r="J251" t="s">
        <v>0</v>
      </c>
      <c r="K251" t="s">
        <v>50</v>
      </c>
      <c r="L251" t="s">
        <v>51</v>
      </c>
      <c r="M251">
        <v>0</v>
      </c>
      <c r="N251" t="s">
        <v>57</v>
      </c>
      <c r="O251">
        <v>1</v>
      </c>
      <c r="P251" t="s">
        <v>53</v>
      </c>
      <c r="Q251" s="2">
        <v>0.4145833333333333</v>
      </c>
      <c r="R251">
        <f>-0.0000355204*3600</f>
        <v>-0.12787344</v>
      </c>
      <c r="S251">
        <f>-0.0014923574*3600</f>
        <v>-5.37248664</v>
      </c>
    </row>
    <row r="252" spans="1:19" x14ac:dyDescent="0.3">
      <c r="A252" s="4" t="s">
        <v>47</v>
      </c>
      <c r="B252" s="16" t="s">
        <v>176</v>
      </c>
      <c r="C252">
        <v>97.475667000000001</v>
      </c>
      <c r="D252">
        <v>298.39116100000001</v>
      </c>
      <c r="E252">
        <v>1</v>
      </c>
      <c r="F252">
        <v>1</v>
      </c>
      <c r="G252">
        <v>0.23899999999999999</v>
      </c>
      <c r="H252">
        <v>0</v>
      </c>
      <c r="J252" t="s">
        <v>0</v>
      </c>
      <c r="K252" t="s">
        <v>50</v>
      </c>
      <c r="L252" t="s">
        <v>51</v>
      </c>
      <c r="M252">
        <v>0</v>
      </c>
      <c r="N252" t="s">
        <v>57</v>
      </c>
      <c r="O252">
        <v>1</v>
      </c>
      <c r="P252" t="s">
        <v>53</v>
      </c>
      <c r="Q252" s="2">
        <v>0.4145833333333333</v>
      </c>
      <c r="R252">
        <f>0.0000223905*3600</f>
        <v>8.0605799999999991E-2</v>
      </c>
      <c r="S252">
        <f>-0.0014738781*3600</f>
        <v>-5.3059611599999998</v>
      </c>
    </row>
    <row r="253" spans="1:19" x14ac:dyDescent="0.3">
      <c r="A253" s="4" t="s">
        <v>47</v>
      </c>
      <c r="B253" s="16" t="s">
        <v>177</v>
      </c>
      <c r="C253">
        <v>97.475855999999993</v>
      </c>
      <c r="D253">
        <v>298.39108800000002</v>
      </c>
      <c r="E253">
        <v>1</v>
      </c>
      <c r="F253">
        <v>1</v>
      </c>
      <c r="G253">
        <v>0.23899999999999999</v>
      </c>
      <c r="H253">
        <v>0</v>
      </c>
      <c r="J253" t="s">
        <v>0</v>
      </c>
      <c r="K253" t="s">
        <v>50</v>
      </c>
      <c r="L253" t="s">
        <v>51</v>
      </c>
      <c r="M253">
        <v>0</v>
      </c>
      <c r="N253" t="s">
        <v>57</v>
      </c>
      <c r="O253">
        <v>1</v>
      </c>
      <c r="P253" t="s">
        <v>53</v>
      </c>
      <c r="Q253" s="2">
        <v>0.4145833333333333</v>
      </c>
      <c r="R253">
        <f>-0.0007756996*3600</f>
        <v>-2.79251856</v>
      </c>
      <c r="S253">
        <f>0.0020244387*3600</f>
        <v>7.2879793200000007</v>
      </c>
    </row>
    <row r="254" spans="1:19" x14ac:dyDescent="0.3">
      <c r="A254" s="4" t="s">
        <v>47</v>
      </c>
      <c r="B254" s="16" t="s">
        <v>178</v>
      </c>
      <c r="C254">
        <v>97.475837999999996</v>
      </c>
      <c r="D254">
        <v>298.39117099999999</v>
      </c>
      <c r="E254">
        <v>1</v>
      </c>
      <c r="F254">
        <v>1</v>
      </c>
      <c r="G254">
        <v>0.23899999999999999</v>
      </c>
      <c r="H254">
        <v>0</v>
      </c>
      <c r="J254" t="s">
        <v>0</v>
      </c>
      <c r="K254" t="s">
        <v>50</v>
      </c>
      <c r="L254" t="s">
        <v>51</v>
      </c>
      <c r="M254">
        <v>0</v>
      </c>
      <c r="N254" t="s">
        <v>57</v>
      </c>
      <c r="O254">
        <v>1</v>
      </c>
      <c r="P254" t="s">
        <v>53</v>
      </c>
      <c r="Q254" s="2">
        <v>0.4145833333333333</v>
      </c>
      <c r="R254">
        <f>-0.0006481867*3600</f>
        <v>-2.3334721200000001</v>
      </c>
      <c r="S254">
        <f>0.001969554*3600</f>
        <v>7.0903944000000001</v>
      </c>
    </row>
    <row r="255" spans="1:19" x14ac:dyDescent="0.3">
      <c r="A255" s="4" t="s">
        <v>47</v>
      </c>
      <c r="B255" s="16" t="s">
        <v>179</v>
      </c>
      <c r="C255">
        <v>97.471988999999994</v>
      </c>
      <c r="D255">
        <v>293.75764700000002</v>
      </c>
      <c r="E255">
        <v>1.4863</v>
      </c>
      <c r="F255">
        <v>1.4789000000000001</v>
      </c>
      <c r="G255">
        <v>0.23899999999999999</v>
      </c>
      <c r="H255">
        <v>0</v>
      </c>
      <c r="J255" t="s">
        <v>0</v>
      </c>
      <c r="K255" t="s">
        <v>50</v>
      </c>
      <c r="L255" t="s">
        <v>51</v>
      </c>
      <c r="M255">
        <v>0</v>
      </c>
      <c r="N255" t="s">
        <v>57</v>
      </c>
      <c r="O255">
        <v>1</v>
      </c>
      <c r="P255" t="s">
        <v>53</v>
      </c>
      <c r="Q255" s="2">
        <v>0.4145833333333333</v>
      </c>
      <c r="R255">
        <f>-0.000652247*3600</f>
        <v>-2.3480892</v>
      </c>
      <c r="S255">
        <f>0.0020633471*3600</f>
        <v>7.4280495600000007</v>
      </c>
    </row>
    <row r="256" spans="1:19" x14ac:dyDescent="0.3">
      <c r="A256" s="4" t="s">
        <v>47</v>
      </c>
      <c r="B256" s="16" t="s">
        <v>180</v>
      </c>
      <c r="C256">
        <v>97.476163</v>
      </c>
      <c r="D256">
        <v>298.46218699999997</v>
      </c>
      <c r="E256">
        <v>1</v>
      </c>
      <c r="F256">
        <v>1</v>
      </c>
      <c r="G256">
        <v>0.23899999999999999</v>
      </c>
      <c r="H256">
        <v>0</v>
      </c>
      <c r="J256" t="s">
        <v>0</v>
      </c>
      <c r="K256" t="s">
        <v>50</v>
      </c>
      <c r="L256" t="s">
        <v>51</v>
      </c>
      <c r="M256">
        <v>0</v>
      </c>
      <c r="N256" t="s">
        <v>57</v>
      </c>
      <c r="O256">
        <v>1</v>
      </c>
      <c r="P256" t="s">
        <v>53</v>
      </c>
      <c r="Q256" s="2">
        <v>0.4145833333333333</v>
      </c>
      <c r="R256">
        <f>-0.0002226472*3600</f>
        <v>-0.80152992000000001</v>
      </c>
      <c r="S256">
        <f>-0.0015043262*3600</f>
        <v>-5.4155743199999993</v>
      </c>
    </row>
    <row r="257" spans="1:19" x14ac:dyDescent="0.3">
      <c r="A257" s="4" t="s">
        <v>47</v>
      </c>
      <c r="B257" s="16" t="s">
        <v>181</v>
      </c>
      <c r="C257">
        <v>97.477189999999993</v>
      </c>
      <c r="D257">
        <v>298.46194500000001</v>
      </c>
      <c r="E257">
        <v>1</v>
      </c>
      <c r="F257">
        <v>1</v>
      </c>
      <c r="G257">
        <v>0.23899999999999999</v>
      </c>
      <c r="H257">
        <v>0</v>
      </c>
      <c r="J257" t="s">
        <v>0</v>
      </c>
      <c r="K257" t="s">
        <v>50</v>
      </c>
      <c r="L257" t="s">
        <v>51</v>
      </c>
      <c r="M257">
        <v>0</v>
      </c>
      <c r="N257" t="s">
        <v>57</v>
      </c>
      <c r="O257">
        <v>1</v>
      </c>
      <c r="P257" t="s">
        <v>53</v>
      </c>
      <c r="Q257" s="2">
        <v>0.4145833333333333</v>
      </c>
      <c r="R257">
        <f>-0.0004839369*3600</f>
        <v>-1.7421728400000001</v>
      </c>
      <c r="S257">
        <f>0.0021045227*3600</f>
        <v>7.5762817199999999</v>
      </c>
    </row>
    <row r="258" spans="1:19" x14ac:dyDescent="0.3">
      <c r="A258" s="4" t="s">
        <v>47</v>
      </c>
      <c r="B258" s="16" t="s">
        <v>182</v>
      </c>
      <c r="C258">
        <v>97.476590000000002</v>
      </c>
      <c r="D258">
        <v>298.46195499999999</v>
      </c>
      <c r="E258">
        <v>1</v>
      </c>
      <c r="F258">
        <v>1</v>
      </c>
      <c r="G258">
        <v>0.23899999999999999</v>
      </c>
      <c r="H258">
        <v>0</v>
      </c>
      <c r="J258" t="s">
        <v>0</v>
      </c>
      <c r="K258" t="s">
        <v>50</v>
      </c>
      <c r="L258" t="s">
        <v>51</v>
      </c>
      <c r="M258">
        <v>0</v>
      </c>
      <c r="N258" t="s">
        <v>57</v>
      </c>
      <c r="O258">
        <v>1</v>
      </c>
      <c r="P258" t="s">
        <v>53</v>
      </c>
      <c r="Q258" s="2">
        <v>0.4152777777777778</v>
      </c>
      <c r="R258">
        <f>0.0002228346*3600</f>
        <v>0.80220455999999996</v>
      </c>
      <c r="S258">
        <f>-0.0014773919*3600</f>
        <v>-5.3186108400000007</v>
      </c>
    </row>
    <row r="259" spans="1:19" x14ac:dyDescent="0.3">
      <c r="A259" s="4" t="s">
        <v>47</v>
      </c>
      <c r="B259" s="16" t="s">
        <v>183</v>
      </c>
      <c r="C259">
        <v>97.476248999999996</v>
      </c>
      <c r="D259">
        <v>298.46193799999998</v>
      </c>
      <c r="E259">
        <v>1</v>
      </c>
      <c r="F259">
        <v>1</v>
      </c>
      <c r="G259">
        <v>0.23899999999999999</v>
      </c>
      <c r="H259">
        <v>0</v>
      </c>
      <c r="J259" t="s">
        <v>0</v>
      </c>
      <c r="K259" t="s">
        <v>50</v>
      </c>
      <c r="L259" t="s">
        <v>51</v>
      </c>
      <c r="M259">
        <v>0</v>
      </c>
      <c r="N259" t="s">
        <v>57</v>
      </c>
      <c r="O259">
        <v>1</v>
      </c>
      <c r="P259" t="s">
        <v>53</v>
      </c>
      <c r="Q259" s="2">
        <v>0.4152777777777778</v>
      </c>
      <c r="R259">
        <f>0.0001976804*3600</f>
        <v>0.71164943999999997</v>
      </c>
      <c r="S259">
        <f>-0.0014153102*3600</f>
        <v>-5.09511672</v>
      </c>
    </row>
    <row r="260" spans="1:19" x14ac:dyDescent="0.3">
      <c r="A260" s="4" t="s">
        <v>47</v>
      </c>
      <c r="B260" s="16" t="s">
        <v>184</v>
      </c>
      <c r="C260">
        <v>97.476144000000005</v>
      </c>
      <c r="D260">
        <v>298.46204799999998</v>
      </c>
      <c r="E260">
        <v>1</v>
      </c>
      <c r="F260">
        <v>1</v>
      </c>
      <c r="G260">
        <v>0.23899999999999999</v>
      </c>
      <c r="H260">
        <v>0</v>
      </c>
      <c r="J260" t="s">
        <v>0</v>
      </c>
      <c r="K260" t="s">
        <v>50</v>
      </c>
      <c r="L260" t="s">
        <v>51</v>
      </c>
      <c r="M260">
        <v>0</v>
      </c>
      <c r="N260" t="s">
        <v>57</v>
      </c>
      <c r="O260">
        <v>1</v>
      </c>
      <c r="P260" t="s">
        <v>53</v>
      </c>
      <c r="Q260" s="2">
        <v>0.4152777777777778</v>
      </c>
      <c r="R260">
        <f>0.0002505383*3600</f>
        <v>0.90193788000000008</v>
      </c>
      <c r="S260">
        <f>-0.0014734534*3600</f>
        <v>-5.3044322399999997</v>
      </c>
    </row>
    <row r="261" spans="1:19" x14ac:dyDescent="0.3">
      <c r="A261" s="4" t="s">
        <v>47</v>
      </c>
      <c r="B261" s="16" t="s">
        <v>185</v>
      </c>
      <c r="C261">
        <v>97.475971000000001</v>
      </c>
      <c r="D261">
        <v>298.46161699999999</v>
      </c>
      <c r="E261">
        <v>1</v>
      </c>
      <c r="F261">
        <v>1</v>
      </c>
      <c r="G261">
        <v>0.23899999999999999</v>
      </c>
      <c r="H261">
        <v>0</v>
      </c>
      <c r="J261" t="s">
        <v>0</v>
      </c>
      <c r="K261" t="s">
        <v>50</v>
      </c>
      <c r="L261" t="s">
        <v>51</v>
      </c>
      <c r="M261">
        <v>0</v>
      </c>
      <c r="N261" t="s">
        <v>57</v>
      </c>
      <c r="O261">
        <v>1</v>
      </c>
      <c r="P261" t="s">
        <v>53</v>
      </c>
      <c r="Q261" s="2">
        <v>0.4152777777777778</v>
      </c>
      <c r="R261">
        <f>-0.0007142995*3600</f>
        <v>-2.5714782</v>
      </c>
      <c r="S261">
        <f>0.0019770597*3600</f>
        <v>7.1174149199999999</v>
      </c>
    </row>
    <row r="262" spans="1:19" x14ac:dyDescent="0.3">
      <c r="A262" s="4" t="s">
        <v>47</v>
      </c>
      <c r="B262" s="16" t="s">
        <v>186</v>
      </c>
      <c r="C262">
        <v>297.46049499999998</v>
      </c>
      <c r="D262">
        <v>106.610107</v>
      </c>
      <c r="E262">
        <v>1.4867999999999999</v>
      </c>
      <c r="F262">
        <v>1.4784999999999999</v>
      </c>
      <c r="G262">
        <v>0.23899999999999999</v>
      </c>
      <c r="H262">
        <v>0</v>
      </c>
      <c r="J262" t="s">
        <v>0</v>
      </c>
      <c r="K262" t="s">
        <v>50</v>
      </c>
      <c r="L262" t="s">
        <v>51</v>
      </c>
      <c r="M262">
        <v>0</v>
      </c>
      <c r="N262" t="s">
        <v>57</v>
      </c>
      <c r="O262">
        <v>1</v>
      </c>
      <c r="P262" t="s">
        <v>53</v>
      </c>
      <c r="Q262" s="2">
        <v>0.4152777777777778</v>
      </c>
      <c r="R262">
        <f>-0.0006864319*3600</f>
        <v>-2.4711548400000001</v>
      </c>
      <c r="S262">
        <f>0.0019356791*3600</f>
        <v>6.9684447600000006</v>
      </c>
    </row>
    <row r="263" spans="1:19" x14ac:dyDescent="0.3">
      <c r="A263" s="4" t="s">
        <v>47</v>
      </c>
      <c r="B263" s="16" t="s">
        <v>187</v>
      </c>
      <c r="C263">
        <v>297.469607</v>
      </c>
      <c r="D263">
        <v>101.270248</v>
      </c>
      <c r="E263">
        <v>1</v>
      </c>
      <c r="F263">
        <v>1</v>
      </c>
      <c r="G263">
        <v>0.23899999999999999</v>
      </c>
      <c r="H263">
        <v>0</v>
      </c>
      <c r="J263" t="s">
        <v>0</v>
      </c>
      <c r="K263" t="s">
        <v>50</v>
      </c>
      <c r="L263" t="s">
        <v>51</v>
      </c>
      <c r="M263">
        <v>0</v>
      </c>
      <c r="N263" t="s">
        <v>57</v>
      </c>
      <c r="O263">
        <v>1</v>
      </c>
      <c r="P263" t="s">
        <v>53</v>
      </c>
      <c r="Q263" s="2">
        <v>0.4152777777777778</v>
      </c>
      <c r="R263">
        <f>-0.0007001941*3600</f>
        <v>-2.5206987600000001</v>
      </c>
      <c r="S263">
        <f>0.0020662073*3600</f>
        <v>7.4383462800000002</v>
      </c>
    </row>
    <row r="264" spans="1:19" x14ac:dyDescent="0.3">
      <c r="A264" s="4" t="s">
        <v>47</v>
      </c>
      <c r="B264" s="16" t="s">
        <v>188</v>
      </c>
      <c r="C264">
        <v>297.46959299999997</v>
      </c>
      <c r="D264">
        <v>101.270184</v>
      </c>
      <c r="E264">
        <v>1</v>
      </c>
      <c r="F264">
        <v>1</v>
      </c>
      <c r="G264">
        <v>0.23899999999999999</v>
      </c>
      <c r="H264">
        <v>0</v>
      </c>
      <c r="J264" t="s">
        <v>0</v>
      </c>
      <c r="K264" t="s">
        <v>50</v>
      </c>
      <c r="L264" t="s">
        <v>51</v>
      </c>
      <c r="M264">
        <v>0</v>
      </c>
      <c r="N264" t="s">
        <v>57</v>
      </c>
      <c r="O264">
        <v>1</v>
      </c>
      <c r="P264" t="s">
        <v>53</v>
      </c>
      <c r="Q264" s="2">
        <v>0.4152777777777778</v>
      </c>
      <c r="R264">
        <f>-0.000058536*3600</f>
        <v>-0.21072960000000002</v>
      </c>
      <c r="S264">
        <f>-0.001435098*3600</f>
        <v>-5.1663528000000003</v>
      </c>
    </row>
    <row r="265" spans="1:19" x14ac:dyDescent="0.3">
      <c r="A265" s="4" t="s">
        <v>47</v>
      </c>
      <c r="B265" s="16" t="s">
        <v>189</v>
      </c>
      <c r="C265">
        <v>297.46986700000002</v>
      </c>
      <c r="D265">
        <v>101.270578</v>
      </c>
      <c r="E265">
        <v>1</v>
      </c>
      <c r="F265">
        <v>1</v>
      </c>
      <c r="G265">
        <v>0.23899999999999999</v>
      </c>
      <c r="H265">
        <v>0</v>
      </c>
      <c r="J265" t="s">
        <v>0</v>
      </c>
      <c r="K265" t="s">
        <v>50</v>
      </c>
      <c r="L265" t="s">
        <v>51</v>
      </c>
      <c r="M265">
        <v>0</v>
      </c>
      <c r="N265" t="s">
        <v>57</v>
      </c>
      <c r="O265">
        <v>1</v>
      </c>
      <c r="P265" t="s">
        <v>53</v>
      </c>
      <c r="Q265" s="2">
        <v>0.4152777777777778</v>
      </c>
      <c r="R265">
        <f>-0.0005047513*3600</f>
        <v>-1.8171046799999999</v>
      </c>
      <c r="S265">
        <f>0.0020933445*3600</f>
        <v>7.5360402000000004</v>
      </c>
    </row>
    <row r="266" spans="1:19" x14ac:dyDescent="0.3">
      <c r="A266" s="4" t="s">
        <v>47</v>
      </c>
      <c r="B266" s="16" t="s">
        <v>190</v>
      </c>
      <c r="C266">
        <v>297.47061300000001</v>
      </c>
      <c r="D266">
        <v>101.270645</v>
      </c>
      <c r="E266">
        <v>1</v>
      </c>
      <c r="F266">
        <v>1</v>
      </c>
      <c r="G266">
        <v>0.23899999999999999</v>
      </c>
      <c r="H266">
        <v>0</v>
      </c>
      <c r="J266" t="s">
        <v>0</v>
      </c>
      <c r="K266" t="s">
        <v>50</v>
      </c>
      <c r="L266" t="s">
        <v>51</v>
      </c>
      <c r="M266">
        <v>0</v>
      </c>
      <c r="N266" t="s">
        <v>57</v>
      </c>
      <c r="O266">
        <v>1</v>
      </c>
      <c r="P266" t="s">
        <v>53</v>
      </c>
      <c r="Q266" s="2">
        <v>0.41597222222222219</v>
      </c>
      <c r="R266">
        <f>0.0002949027*3600</f>
        <v>1.0616497200000001</v>
      </c>
      <c r="S266">
        <f>-0.001327018*3600</f>
        <v>-4.7772647999999993</v>
      </c>
    </row>
    <row r="267" spans="1:19" x14ac:dyDescent="0.3">
      <c r="A267" s="4" t="s">
        <v>47</v>
      </c>
      <c r="B267" s="16" t="s">
        <v>191</v>
      </c>
      <c r="C267">
        <v>297.47245299999997</v>
      </c>
      <c r="D267">
        <v>101.27051</v>
      </c>
      <c r="E267">
        <v>1</v>
      </c>
      <c r="F267">
        <v>1</v>
      </c>
      <c r="G267">
        <v>0.23899999999999999</v>
      </c>
      <c r="H267">
        <v>0</v>
      </c>
      <c r="J267" t="s">
        <v>0</v>
      </c>
      <c r="K267" t="s">
        <v>50</v>
      </c>
      <c r="L267" t="s">
        <v>51</v>
      </c>
      <c r="M267">
        <v>0</v>
      </c>
      <c r="N267" t="s">
        <v>57</v>
      </c>
      <c r="O267">
        <v>1</v>
      </c>
      <c r="P267" t="s">
        <v>53</v>
      </c>
      <c r="Q267" s="2">
        <v>0.41597222222222219</v>
      </c>
      <c r="R267">
        <f>0.0003269362*3600</f>
        <v>1.1769703200000001</v>
      </c>
      <c r="S267">
        <f>-0.0013090083*3600</f>
        <v>-4.7124298800000002</v>
      </c>
    </row>
    <row r="268" spans="1:19" x14ac:dyDescent="0.3">
      <c r="A268" s="4" t="s">
        <v>47</v>
      </c>
      <c r="B268" s="16" t="s">
        <v>192</v>
      </c>
      <c r="C268">
        <v>297.47345799999999</v>
      </c>
      <c r="D268">
        <v>101.27049700000001</v>
      </c>
      <c r="E268">
        <v>1</v>
      </c>
      <c r="F268">
        <v>1</v>
      </c>
      <c r="G268">
        <v>0.23899999999999999</v>
      </c>
      <c r="H268">
        <v>0</v>
      </c>
      <c r="J268" t="s">
        <v>0</v>
      </c>
      <c r="K268" t="s">
        <v>50</v>
      </c>
      <c r="L268" t="s">
        <v>51</v>
      </c>
      <c r="M268">
        <v>0</v>
      </c>
      <c r="N268" t="s">
        <v>57</v>
      </c>
      <c r="O268">
        <v>1</v>
      </c>
      <c r="P268" t="s">
        <v>53</v>
      </c>
      <c r="Q268" s="2">
        <v>0.41597222222222219</v>
      </c>
      <c r="R268">
        <f>0.0003626856*3600</f>
        <v>1.30566816</v>
      </c>
      <c r="S268">
        <f>-0.0013959252*3600</f>
        <v>-5.0253307199999995</v>
      </c>
    </row>
    <row r="269" spans="1:19" x14ac:dyDescent="0.3">
      <c r="A269" s="4" t="s">
        <v>47</v>
      </c>
      <c r="B269" s="16" t="s">
        <v>193</v>
      </c>
      <c r="C269">
        <v>297.473952</v>
      </c>
      <c r="D269">
        <v>101.270554</v>
      </c>
      <c r="E269">
        <v>1</v>
      </c>
      <c r="F269">
        <v>1</v>
      </c>
      <c r="G269">
        <v>0.23899999999999999</v>
      </c>
      <c r="H269">
        <v>0</v>
      </c>
      <c r="J269" t="s">
        <v>0</v>
      </c>
      <c r="K269" t="s">
        <v>50</v>
      </c>
      <c r="L269" t="s">
        <v>51</v>
      </c>
      <c r="M269">
        <v>0</v>
      </c>
      <c r="N269" t="s">
        <v>57</v>
      </c>
      <c r="O269">
        <v>1</v>
      </c>
      <c r="P269" t="s">
        <v>53</v>
      </c>
      <c r="Q269" s="2">
        <v>0.41597222222222219</v>
      </c>
      <c r="R269">
        <f>-0.0005629282*3600</f>
        <v>-2.0265415200000003</v>
      </c>
      <c r="S269">
        <f>0.0015712158*3600</f>
        <v>5.6563768799999998</v>
      </c>
    </row>
    <row r="270" spans="1:19" x14ac:dyDescent="0.3">
      <c r="A270" s="4" t="s">
        <v>47</v>
      </c>
      <c r="B270" s="16" t="s">
        <v>194</v>
      </c>
      <c r="C270">
        <v>297.47328700000003</v>
      </c>
      <c r="D270">
        <v>101.27051899999999</v>
      </c>
      <c r="E270">
        <v>1</v>
      </c>
      <c r="F270">
        <v>1</v>
      </c>
      <c r="G270">
        <v>0.23899999999999999</v>
      </c>
      <c r="H270">
        <v>0</v>
      </c>
      <c r="J270" t="s">
        <v>0</v>
      </c>
      <c r="K270" t="s">
        <v>50</v>
      </c>
      <c r="L270" t="s">
        <v>51</v>
      </c>
      <c r="M270">
        <v>0</v>
      </c>
      <c r="N270" t="s">
        <v>57</v>
      </c>
      <c r="O270">
        <v>1</v>
      </c>
      <c r="P270" t="s">
        <v>53</v>
      </c>
      <c r="Q270" s="2">
        <v>0.41597222222222219</v>
      </c>
      <c r="R270">
        <f>-0.0005892687*3600</f>
        <v>-2.1213673200000001</v>
      </c>
      <c r="S270">
        <f>0.0016585566*3600</f>
        <v>5.9708037599999999</v>
      </c>
    </row>
    <row r="271" spans="1:19" x14ac:dyDescent="0.3">
      <c r="A271" s="4" t="s">
        <v>47</v>
      </c>
      <c r="B271" s="16" t="s">
        <v>195</v>
      </c>
      <c r="C271">
        <v>297.440899</v>
      </c>
      <c r="D271">
        <v>106.604028</v>
      </c>
      <c r="E271">
        <v>1.4874000000000001</v>
      </c>
      <c r="F271">
        <v>1.4792000000000001</v>
      </c>
      <c r="G271">
        <v>0.23899999999999999</v>
      </c>
      <c r="H271">
        <v>0</v>
      </c>
      <c r="J271" t="s">
        <v>0</v>
      </c>
      <c r="K271" t="s">
        <v>50</v>
      </c>
      <c r="L271" t="s">
        <v>51</v>
      </c>
      <c r="M271">
        <v>0</v>
      </c>
      <c r="N271" t="s">
        <v>57</v>
      </c>
      <c r="O271">
        <v>1</v>
      </c>
      <c r="P271" t="s">
        <v>53</v>
      </c>
      <c r="Q271" s="2">
        <v>0.41597222222222219</v>
      </c>
      <c r="R271">
        <f>-0.0004762107*3600</f>
        <v>-1.71435852</v>
      </c>
      <c r="S271">
        <f>0.0017080516*3600</f>
        <v>6.1489857599999995</v>
      </c>
    </row>
    <row r="272" spans="1:19" x14ac:dyDescent="0.3">
      <c r="A272" s="4" t="s">
        <v>47</v>
      </c>
      <c r="B272" s="16" t="s">
        <v>196</v>
      </c>
      <c r="C272">
        <v>297.470305</v>
      </c>
      <c r="D272">
        <v>102.261683</v>
      </c>
      <c r="E272">
        <v>1</v>
      </c>
      <c r="F272">
        <v>1</v>
      </c>
      <c r="G272">
        <v>0.23899999999999999</v>
      </c>
      <c r="H272">
        <v>0</v>
      </c>
      <c r="J272" t="s">
        <v>0</v>
      </c>
      <c r="K272" t="s">
        <v>50</v>
      </c>
      <c r="L272" t="s">
        <v>51</v>
      </c>
      <c r="M272">
        <v>0</v>
      </c>
      <c r="N272" t="s">
        <v>57</v>
      </c>
      <c r="O272">
        <v>1</v>
      </c>
      <c r="P272" t="s">
        <v>53</v>
      </c>
      <c r="Q272" s="2">
        <v>0.41597222222222219</v>
      </c>
      <c r="R272">
        <f>0.00013441*3600</f>
        <v>0.48387600000000003</v>
      </c>
      <c r="S272">
        <f>-0.00148264*3600</f>
        <v>-5.337504</v>
      </c>
    </row>
    <row r="273" spans="1:18" x14ac:dyDescent="0.3">
      <c r="A273" s="4" t="s">
        <v>47</v>
      </c>
      <c r="B273" s="16" t="s">
        <v>197</v>
      </c>
      <c r="C273">
        <v>297.46838600000001</v>
      </c>
      <c r="D273">
        <v>102.261673</v>
      </c>
      <c r="E273">
        <v>1</v>
      </c>
      <c r="F273">
        <v>1</v>
      </c>
      <c r="G273">
        <v>0.23899999999999999</v>
      </c>
      <c r="H273">
        <v>0</v>
      </c>
      <c r="J273" t="s">
        <v>0</v>
      </c>
      <c r="K273" t="s">
        <v>61</v>
      </c>
      <c r="L273">
        <v>3.4000000000000002E-2</v>
      </c>
      <c r="M273" t="s">
        <v>52</v>
      </c>
      <c r="N273">
        <v>1</v>
      </c>
      <c r="O273" t="s">
        <v>53</v>
      </c>
      <c r="P273" s="2">
        <v>0.41736111111111113</v>
      </c>
      <c r="Q273">
        <f>0.0002467728*3600</f>
        <v>0.88838207999999996</v>
      </c>
      <c r="R273">
        <f>-0.0011757799*3600</f>
        <v>-4.2328076399999999</v>
      </c>
    </row>
    <row r="274" spans="1:18" x14ac:dyDescent="0.3">
      <c r="A274" s="4" t="s">
        <v>47</v>
      </c>
      <c r="B274" s="16" t="s">
        <v>198</v>
      </c>
      <c r="C274">
        <v>297.46838100000002</v>
      </c>
      <c r="D274">
        <v>102.261702</v>
      </c>
      <c r="E274">
        <v>1</v>
      </c>
      <c r="F274">
        <v>1</v>
      </c>
      <c r="G274">
        <v>0.23899999999999999</v>
      </c>
      <c r="H274">
        <v>0</v>
      </c>
      <c r="J274" t="s">
        <v>0</v>
      </c>
      <c r="K274" t="s">
        <v>61</v>
      </c>
      <c r="L274">
        <v>0</v>
      </c>
      <c r="M274" t="s">
        <v>52</v>
      </c>
      <c r="N274">
        <v>1</v>
      </c>
      <c r="O274" t="s">
        <v>63</v>
      </c>
      <c r="P274" s="2">
        <v>0.41805555555555557</v>
      </c>
      <c r="Q274">
        <f>0.0003217528*3600</f>
        <v>1.1583100800000001</v>
      </c>
      <c r="R274">
        <f>-0.0009621656*3600</f>
        <v>-3.4637961599999998</v>
      </c>
    </row>
    <row r="275" spans="1:18" x14ac:dyDescent="0.3">
      <c r="A275" s="4" t="s">
        <v>47</v>
      </c>
      <c r="B275" s="16" t="s">
        <v>199</v>
      </c>
      <c r="C275">
        <v>297.46602999999999</v>
      </c>
      <c r="D275">
        <v>102.26157499999999</v>
      </c>
      <c r="E275">
        <v>1</v>
      </c>
      <c r="F275">
        <v>1</v>
      </c>
      <c r="G275">
        <v>0.23899999999999999</v>
      </c>
      <c r="H275">
        <v>0</v>
      </c>
      <c r="J275" t="s">
        <v>0</v>
      </c>
      <c r="K275" t="s">
        <v>61</v>
      </c>
      <c r="L275">
        <v>0</v>
      </c>
      <c r="M275" t="s">
        <v>52</v>
      </c>
      <c r="N275">
        <v>1</v>
      </c>
      <c r="O275" t="s">
        <v>63</v>
      </c>
      <c r="P275" s="2">
        <v>0.41805555555555557</v>
      </c>
      <c r="Q275">
        <f>0.0003010946*3600</f>
        <v>1.0839405600000001</v>
      </c>
      <c r="R275">
        <f>-0.0010290469*3600</f>
        <v>-3.7045688399999999</v>
      </c>
    </row>
    <row r="276" spans="1:18" x14ac:dyDescent="0.3">
      <c r="A276" s="4" t="s">
        <v>47</v>
      </c>
      <c r="B276" s="16" t="s">
        <v>200</v>
      </c>
      <c r="C276">
        <v>297.46467000000001</v>
      </c>
      <c r="D276">
        <v>102.261571</v>
      </c>
      <c r="E276">
        <v>1</v>
      </c>
      <c r="F276">
        <v>1</v>
      </c>
      <c r="G276">
        <v>0.23899999999999999</v>
      </c>
      <c r="H276">
        <v>0</v>
      </c>
      <c r="J276" t="s">
        <v>0</v>
      </c>
      <c r="K276" t="s">
        <v>61</v>
      </c>
      <c r="L276">
        <v>0</v>
      </c>
      <c r="M276" t="s">
        <v>52</v>
      </c>
      <c r="N276">
        <v>1</v>
      </c>
      <c r="O276" t="s">
        <v>63</v>
      </c>
      <c r="P276" s="2">
        <v>0.41875000000000001</v>
      </c>
      <c r="Q276">
        <f>0.0003151876*3600</f>
        <v>1.1346753600000001</v>
      </c>
      <c r="R276">
        <f>-0.0009711372*3600</f>
        <v>-3.4960939200000003</v>
      </c>
    </row>
    <row r="277" spans="1:18" x14ac:dyDescent="0.3">
      <c r="A277" s="4" t="s">
        <v>47</v>
      </c>
      <c r="B277" s="16" t="s">
        <v>201</v>
      </c>
      <c r="C277">
        <v>297.47023799999999</v>
      </c>
      <c r="D277">
        <v>102.260313</v>
      </c>
      <c r="E277">
        <v>1</v>
      </c>
      <c r="F277">
        <v>1</v>
      </c>
      <c r="G277">
        <v>0.23899999999999999</v>
      </c>
      <c r="H277">
        <v>0</v>
      </c>
      <c r="J277" t="s">
        <v>0</v>
      </c>
      <c r="K277" t="s">
        <v>61</v>
      </c>
      <c r="L277">
        <v>0</v>
      </c>
      <c r="M277" t="s">
        <v>52</v>
      </c>
      <c r="N277">
        <v>1</v>
      </c>
      <c r="O277" t="s">
        <v>63</v>
      </c>
      <c r="P277" s="2">
        <v>0.41875000000000001</v>
      </c>
      <c r="Q277">
        <f>0.0003577753*3600</f>
        <v>1.2879910800000001</v>
      </c>
      <c r="R277">
        <f>-0.000904881*3600</f>
        <v>-3.2575715999999999</v>
      </c>
    </row>
    <row r="278" spans="1:18" x14ac:dyDescent="0.3">
      <c r="A278" s="4" t="s">
        <v>47</v>
      </c>
      <c r="B278" s="16" t="s">
        <v>202</v>
      </c>
      <c r="C278">
        <v>297.47012699999999</v>
      </c>
      <c r="D278">
        <v>102.260214</v>
      </c>
      <c r="E278">
        <v>1</v>
      </c>
      <c r="F278">
        <v>1</v>
      </c>
      <c r="G278">
        <v>0.23899999999999999</v>
      </c>
      <c r="H278">
        <v>0</v>
      </c>
      <c r="J278" t="s">
        <v>0</v>
      </c>
      <c r="K278" t="s">
        <v>61</v>
      </c>
      <c r="L278">
        <v>0</v>
      </c>
      <c r="M278" t="s">
        <v>52</v>
      </c>
      <c r="N278">
        <v>1</v>
      </c>
      <c r="O278" t="s">
        <v>63</v>
      </c>
      <c r="P278" s="2">
        <v>0.41875000000000001</v>
      </c>
      <c r="Q278">
        <f>0.0002760879*3600</f>
        <v>0.9939164399999999</v>
      </c>
      <c r="R278">
        <f>-0.0010335903*3600</f>
        <v>-3.7209250799999998</v>
      </c>
    </row>
    <row r="279" spans="1:18" x14ac:dyDescent="0.3">
      <c r="A279" s="4" t="s">
        <v>47</v>
      </c>
      <c r="B279" s="16" t="s">
        <v>203</v>
      </c>
      <c r="C279">
        <v>297.47010399999999</v>
      </c>
      <c r="D279">
        <v>102.26022500000001</v>
      </c>
      <c r="E279">
        <v>1</v>
      </c>
      <c r="F279">
        <v>1</v>
      </c>
      <c r="G279">
        <v>0.23899999999999999</v>
      </c>
      <c r="H279">
        <v>0</v>
      </c>
      <c r="J279" t="s">
        <v>0</v>
      </c>
      <c r="K279" t="s">
        <v>61</v>
      </c>
      <c r="L279">
        <v>0</v>
      </c>
      <c r="M279" t="s">
        <v>52</v>
      </c>
      <c r="N279">
        <v>1</v>
      </c>
      <c r="O279" t="s">
        <v>63</v>
      </c>
      <c r="P279" s="2">
        <v>0.41875000000000001</v>
      </c>
      <c r="Q279">
        <f>0.0003769815*3600</f>
        <v>1.3571333999999999</v>
      </c>
      <c r="R279">
        <f>-0.0010390589*3600</f>
        <v>-3.7406120399999998</v>
      </c>
    </row>
    <row r="280" spans="1:18" x14ac:dyDescent="0.3">
      <c r="A280" s="4" t="s">
        <v>47</v>
      </c>
      <c r="B280" s="16" t="s">
        <v>204</v>
      </c>
      <c r="C280">
        <v>297.47090700000001</v>
      </c>
      <c r="D280">
        <v>102.260231</v>
      </c>
      <c r="E280">
        <v>1</v>
      </c>
      <c r="F280">
        <v>1</v>
      </c>
      <c r="G280">
        <v>0.23899999999999999</v>
      </c>
      <c r="H280">
        <v>0</v>
      </c>
      <c r="J280" t="s">
        <v>0</v>
      </c>
      <c r="K280" t="s">
        <v>61</v>
      </c>
      <c r="L280">
        <v>0</v>
      </c>
      <c r="M280" t="s">
        <v>52</v>
      </c>
      <c r="N280">
        <v>1</v>
      </c>
      <c r="O280" t="s">
        <v>63</v>
      </c>
      <c r="P280" s="2">
        <v>0.41875000000000001</v>
      </c>
      <c r="Q280">
        <f>0.0003360364*3600</f>
        <v>1.2097310399999999</v>
      </c>
      <c r="R280">
        <f>-0.0010183201*3600</f>
        <v>-3.6659523599999995</v>
      </c>
    </row>
    <row r="281" spans="1:18" x14ac:dyDescent="0.3">
      <c r="A281" s="4" t="s">
        <v>47</v>
      </c>
      <c r="B281" s="16" t="s">
        <v>205</v>
      </c>
      <c r="C281">
        <v>297.47034600000001</v>
      </c>
      <c r="D281">
        <v>102.260301</v>
      </c>
      <c r="E281">
        <v>1</v>
      </c>
      <c r="F281">
        <v>1</v>
      </c>
      <c r="G281">
        <v>0.23899999999999999</v>
      </c>
      <c r="H281">
        <v>0</v>
      </c>
      <c r="J281" t="s">
        <v>0</v>
      </c>
      <c r="K281" t="s">
        <v>61</v>
      </c>
      <c r="L281">
        <v>0</v>
      </c>
      <c r="M281" t="s">
        <v>52</v>
      </c>
      <c r="N281">
        <v>1</v>
      </c>
      <c r="O281" t="s">
        <v>63</v>
      </c>
      <c r="P281" s="2">
        <v>0.41875000000000001</v>
      </c>
      <c r="Q281">
        <f>0.0002652574*3600</f>
        <v>0.95492664000000005</v>
      </c>
      <c r="R281">
        <f>-0.0010464708*3600</f>
        <v>-3.7672948799999997</v>
      </c>
    </row>
    <row r="282" spans="1:18" x14ac:dyDescent="0.3">
      <c r="A282" s="4" t="s">
        <v>47</v>
      </c>
      <c r="B282" s="16" t="s">
        <v>206</v>
      </c>
      <c r="C282">
        <v>297.43287900000001</v>
      </c>
      <c r="D282">
        <v>106.60212</v>
      </c>
      <c r="E282">
        <v>1.4873000000000001</v>
      </c>
      <c r="F282">
        <v>1.4791000000000001</v>
      </c>
      <c r="G282">
        <v>0.23899999999999999</v>
      </c>
      <c r="H282">
        <v>0</v>
      </c>
      <c r="J282" t="s">
        <v>0</v>
      </c>
      <c r="K282" t="s">
        <v>61</v>
      </c>
      <c r="L282">
        <v>3.4000000000000002E-2</v>
      </c>
      <c r="M282" t="s">
        <v>52</v>
      </c>
      <c r="N282">
        <v>1</v>
      </c>
      <c r="O282" t="s">
        <v>53</v>
      </c>
      <c r="P282" s="2">
        <v>0.41875000000000001</v>
      </c>
      <c r="Q282">
        <f>0.0002458953*3600</f>
        <v>0.88522307999999994</v>
      </c>
      <c r="R282">
        <f>-0.0009523722*3600</f>
        <v>-3.42853992</v>
      </c>
    </row>
    <row r="283" spans="1:18" x14ac:dyDescent="0.3">
      <c r="A283" s="4" t="s">
        <v>47</v>
      </c>
      <c r="B283" s="16" t="s">
        <v>207</v>
      </c>
      <c r="C283">
        <v>297.47851000000003</v>
      </c>
      <c r="D283">
        <v>99.680971999999997</v>
      </c>
      <c r="E283">
        <v>1</v>
      </c>
      <c r="F283">
        <v>1</v>
      </c>
      <c r="G283">
        <v>0.23899999999999999</v>
      </c>
      <c r="H283">
        <v>0</v>
      </c>
      <c r="J283" t="s">
        <v>0</v>
      </c>
      <c r="K283" t="s">
        <v>61</v>
      </c>
      <c r="L283">
        <v>0</v>
      </c>
      <c r="M283" t="s">
        <v>52</v>
      </c>
      <c r="N283">
        <v>1</v>
      </c>
      <c r="O283" t="s">
        <v>63</v>
      </c>
      <c r="P283" s="2">
        <v>0.41944444444444445</v>
      </c>
      <c r="Q283">
        <f>0.0002402325*3600</f>
        <v>0.86483700000000008</v>
      </c>
      <c r="R283">
        <f>-0.0009276191*3600</f>
        <v>-3.3394287600000001</v>
      </c>
    </row>
    <row r="284" spans="1:18" x14ac:dyDescent="0.3">
      <c r="A284" s="4" t="s">
        <v>47</v>
      </c>
      <c r="B284" s="16" t="s">
        <v>208</v>
      </c>
      <c r="C284">
        <v>297.47786200000002</v>
      </c>
      <c r="D284">
        <v>99.681073999999995</v>
      </c>
      <c r="E284">
        <v>1</v>
      </c>
      <c r="F284">
        <v>1</v>
      </c>
      <c r="G284">
        <v>0.23899999999999999</v>
      </c>
      <c r="H284">
        <v>0</v>
      </c>
      <c r="J284" t="s">
        <v>0</v>
      </c>
      <c r="K284" t="s">
        <v>61</v>
      </c>
      <c r="L284">
        <v>0</v>
      </c>
      <c r="M284" t="s">
        <v>52</v>
      </c>
      <c r="N284">
        <v>1</v>
      </c>
      <c r="O284" t="s">
        <v>63</v>
      </c>
      <c r="P284" s="2">
        <v>0.41944444444444445</v>
      </c>
      <c r="Q284">
        <f>0.0001314641*3600</f>
        <v>0.47327076000000001</v>
      </c>
      <c r="R284">
        <f>-0.0009064898*3600</f>
        <v>-3.2633632799999996</v>
      </c>
    </row>
    <row r="285" spans="1:18" x14ac:dyDescent="0.3">
      <c r="A285" s="4" t="s">
        <v>47</v>
      </c>
      <c r="B285" s="16" t="s">
        <v>209</v>
      </c>
      <c r="C285">
        <v>297.47485</v>
      </c>
      <c r="D285">
        <v>99.681034999999994</v>
      </c>
      <c r="E285">
        <v>1</v>
      </c>
      <c r="F285">
        <v>1</v>
      </c>
      <c r="G285">
        <v>0.23899999999999999</v>
      </c>
      <c r="H285">
        <v>0</v>
      </c>
      <c r="J285" t="s">
        <v>0</v>
      </c>
      <c r="K285" t="s">
        <v>61</v>
      </c>
      <c r="L285">
        <v>0</v>
      </c>
      <c r="M285" t="s">
        <v>52</v>
      </c>
      <c r="N285">
        <v>1</v>
      </c>
      <c r="O285" t="s">
        <v>63</v>
      </c>
      <c r="P285" s="2">
        <v>0.41944444444444445</v>
      </c>
      <c r="Q285">
        <f>0.0001067432*3600</f>
        <v>0.38427552000000004</v>
      </c>
      <c r="R285">
        <f>-0.0008903236*3600</f>
        <v>-3.2051649600000003</v>
      </c>
    </row>
    <row r="286" spans="1:18" x14ac:dyDescent="0.3">
      <c r="A286" s="4" t="s">
        <v>47</v>
      </c>
      <c r="B286" s="16" t="s">
        <v>210</v>
      </c>
      <c r="C286">
        <v>297.47875199999999</v>
      </c>
      <c r="D286">
        <v>99.681073999999995</v>
      </c>
      <c r="E286">
        <v>1</v>
      </c>
      <c r="F286">
        <v>1</v>
      </c>
      <c r="G286">
        <v>0.23899999999999999</v>
      </c>
      <c r="H286">
        <v>0</v>
      </c>
      <c r="J286" t="s">
        <v>0</v>
      </c>
      <c r="K286" t="s">
        <v>61</v>
      </c>
      <c r="L286">
        <v>0</v>
      </c>
      <c r="M286" t="s">
        <v>52</v>
      </c>
      <c r="N286">
        <v>1</v>
      </c>
      <c r="O286" t="s">
        <v>63</v>
      </c>
      <c r="P286" s="2">
        <v>0.41944444444444445</v>
      </c>
      <c r="Q286">
        <f>0.0000909978*3600</f>
        <v>0.32759208000000001</v>
      </c>
      <c r="R286">
        <f>-0.0009911599*3600</f>
        <v>-3.5681756400000002</v>
      </c>
    </row>
    <row r="287" spans="1:18" x14ac:dyDescent="0.3">
      <c r="A287" s="4" t="s">
        <v>47</v>
      </c>
      <c r="B287" s="16" t="s">
        <v>211</v>
      </c>
      <c r="C287">
        <v>297.47851800000001</v>
      </c>
      <c r="D287">
        <v>99.681075000000007</v>
      </c>
      <c r="E287">
        <v>1</v>
      </c>
      <c r="F287">
        <v>1</v>
      </c>
      <c r="G287">
        <v>0.23899999999999999</v>
      </c>
      <c r="H287">
        <v>0</v>
      </c>
      <c r="J287" t="s">
        <v>0</v>
      </c>
      <c r="K287" t="s">
        <v>61</v>
      </c>
      <c r="L287">
        <v>0</v>
      </c>
      <c r="M287" t="s">
        <v>52</v>
      </c>
      <c r="N287">
        <v>1</v>
      </c>
      <c r="O287" t="s">
        <v>63</v>
      </c>
      <c r="P287" s="2">
        <v>0.41944444444444445</v>
      </c>
      <c r="Q287">
        <f>0.0001858877*3600</f>
        <v>0.66919572000000005</v>
      </c>
      <c r="R287">
        <f>-0.0010151068*3600</f>
        <v>-3.65438448</v>
      </c>
    </row>
    <row r="288" spans="1:18" x14ac:dyDescent="0.3">
      <c r="A288" s="4" t="s">
        <v>47</v>
      </c>
      <c r="B288" s="16" t="s">
        <v>212</v>
      </c>
      <c r="C288">
        <v>297.479175</v>
      </c>
      <c r="D288">
        <v>99.681100999999998</v>
      </c>
      <c r="E288">
        <v>1</v>
      </c>
      <c r="F288">
        <v>1</v>
      </c>
      <c r="G288">
        <v>0.23899999999999999</v>
      </c>
      <c r="H288">
        <v>0</v>
      </c>
      <c r="J288" t="s">
        <v>0</v>
      </c>
      <c r="K288" t="s">
        <v>61</v>
      </c>
      <c r="L288">
        <v>0</v>
      </c>
      <c r="M288" t="s">
        <v>52</v>
      </c>
      <c r="N288">
        <v>1</v>
      </c>
      <c r="O288" t="s">
        <v>63</v>
      </c>
      <c r="P288" s="2">
        <v>0.41944444444444445</v>
      </c>
      <c r="Q288">
        <f>0.00022846*3600</f>
        <v>0.82245599999999996</v>
      </c>
      <c r="R288">
        <f>-0.0008747547*3600</f>
        <v>-3.14911692</v>
      </c>
    </row>
    <row r="289" spans="1:18" x14ac:dyDescent="0.3">
      <c r="A289" s="4" t="s">
        <v>47</v>
      </c>
      <c r="B289" s="16" t="s">
        <v>213</v>
      </c>
      <c r="C289">
        <v>297.47950200000002</v>
      </c>
      <c r="D289">
        <v>99.681235999999998</v>
      </c>
      <c r="E289">
        <v>1</v>
      </c>
      <c r="F289">
        <v>1</v>
      </c>
      <c r="G289">
        <v>0.23899999999999999</v>
      </c>
      <c r="H289">
        <v>0</v>
      </c>
      <c r="J289" t="s">
        <v>0</v>
      </c>
      <c r="K289" t="s">
        <v>61</v>
      </c>
      <c r="L289">
        <v>0</v>
      </c>
      <c r="M289" t="s">
        <v>52</v>
      </c>
      <c r="N289">
        <v>1</v>
      </c>
      <c r="O289" t="s">
        <v>63</v>
      </c>
      <c r="P289" s="2">
        <v>0.41944444444444445</v>
      </c>
      <c r="Q289">
        <f>0.0001577539*3600</f>
        <v>0.56791404000000001</v>
      </c>
      <c r="R289">
        <f>-0.0009488415*3600</f>
        <v>-3.4158294000000002</v>
      </c>
    </row>
    <row r="290" spans="1:18" x14ac:dyDescent="0.3">
      <c r="A290" s="4" t="s">
        <v>47</v>
      </c>
      <c r="B290" s="16" t="s">
        <v>214</v>
      </c>
      <c r="C290">
        <v>297.47999499999997</v>
      </c>
      <c r="D290">
        <v>99.681182000000007</v>
      </c>
      <c r="E290">
        <v>1</v>
      </c>
      <c r="F290">
        <v>1</v>
      </c>
      <c r="G290">
        <v>0.23899999999999999</v>
      </c>
      <c r="H290">
        <v>0</v>
      </c>
      <c r="J290" t="s">
        <v>0</v>
      </c>
      <c r="K290" t="s">
        <v>61</v>
      </c>
      <c r="L290">
        <v>0</v>
      </c>
      <c r="M290" t="s">
        <v>52</v>
      </c>
      <c r="N290">
        <v>1</v>
      </c>
      <c r="O290" t="s">
        <v>63</v>
      </c>
      <c r="P290" s="2">
        <v>0.41944444444444445</v>
      </c>
      <c r="Q290">
        <f>0.0002276456*3600</f>
        <v>0.81952415999999995</v>
      </c>
      <c r="R290">
        <f>-0.0009362436*3600</f>
        <v>-3.37047696</v>
      </c>
    </row>
    <row r="291" spans="1:18" x14ac:dyDescent="0.3">
      <c r="A291" s="4" t="s">
        <v>47</v>
      </c>
      <c r="B291" s="16" t="s">
        <v>215</v>
      </c>
      <c r="C291">
        <v>297.480052</v>
      </c>
      <c r="D291">
        <v>99.681121000000005</v>
      </c>
      <c r="E291">
        <v>1</v>
      </c>
      <c r="F291">
        <v>1</v>
      </c>
      <c r="G291">
        <v>0.23899999999999999</v>
      </c>
      <c r="H291">
        <v>0</v>
      </c>
      <c r="J291" t="s">
        <v>0</v>
      </c>
      <c r="K291" t="s">
        <v>61</v>
      </c>
      <c r="L291">
        <v>0</v>
      </c>
      <c r="M291" t="s">
        <v>52</v>
      </c>
      <c r="N291">
        <v>1</v>
      </c>
      <c r="O291" t="s">
        <v>63</v>
      </c>
      <c r="P291" s="2">
        <v>0.41944444444444445</v>
      </c>
      <c r="Q291">
        <f>0.0001849554*3600</f>
        <v>0.66583943999999995</v>
      </c>
      <c r="R291">
        <f>-0.0009699053*3600</f>
        <v>-3.4916590799999998</v>
      </c>
    </row>
    <row r="292" spans="1:18" x14ac:dyDescent="0.3">
      <c r="A292" s="4" t="s">
        <v>47</v>
      </c>
      <c r="B292" s="16" t="s">
        <v>216</v>
      </c>
      <c r="C292">
        <v>297.47980200000001</v>
      </c>
      <c r="D292">
        <v>99.681117999999998</v>
      </c>
      <c r="E292">
        <v>1</v>
      </c>
      <c r="F292">
        <v>1</v>
      </c>
      <c r="G292">
        <v>0.23899999999999999</v>
      </c>
      <c r="H292">
        <v>0</v>
      </c>
      <c r="J292" t="s">
        <v>0</v>
      </c>
      <c r="K292" t="s">
        <v>61</v>
      </c>
      <c r="L292">
        <v>0</v>
      </c>
      <c r="M292" t="s">
        <v>52</v>
      </c>
      <c r="N292">
        <v>1</v>
      </c>
      <c r="O292" t="s">
        <v>63</v>
      </c>
      <c r="P292" s="2">
        <v>0.41944444444444445</v>
      </c>
      <c r="Q292">
        <f>0.0002582136*3600</f>
        <v>0.92956896000000011</v>
      </c>
      <c r="R292">
        <f>-0.0008654147*3600</f>
        <v>-3.1154929199999999</v>
      </c>
    </row>
    <row r="293" spans="1:18" x14ac:dyDescent="0.3">
      <c r="A293" s="4" t="s">
        <v>47</v>
      </c>
      <c r="B293" s="16" t="s">
        <v>217</v>
      </c>
      <c r="C293">
        <v>297.48185799999999</v>
      </c>
      <c r="D293">
        <v>99.681223000000003</v>
      </c>
      <c r="E293">
        <v>1</v>
      </c>
      <c r="F293">
        <v>1</v>
      </c>
      <c r="G293">
        <v>0.23899999999999999</v>
      </c>
      <c r="H293">
        <v>0</v>
      </c>
      <c r="J293" t="s">
        <v>0</v>
      </c>
      <c r="K293" t="s">
        <v>61</v>
      </c>
      <c r="L293">
        <v>3.4000000000000002E-2</v>
      </c>
      <c r="M293" t="s">
        <v>52</v>
      </c>
      <c r="N293">
        <v>1</v>
      </c>
      <c r="O293" t="s">
        <v>53</v>
      </c>
      <c r="P293" s="2">
        <v>0.4201388888888889</v>
      </c>
      <c r="Q293">
        <f>0.0002062116*3600</f>
        <v>0.74236175999999998</v>
      </c>
      <c r="R293">
        <f>-0.000856308*3600</f>
        <v>-3.0827087999999998</v>
      </c>
    </row>
    <row r="294" spans="1:18" x14ac:dyDescent="0.3">
      <c r="A294" s="4" t="s">
        <v>47</v>
      </c>
      <c r="B294" s="16" t="s">
        <v>218</v>
      </c>
      <c r="C294">
        <v>297.44828999999999</v>
      </c>
      <c r="D294">
        <v>106.607614</v>
      </c>
      <c r="E294">
        <v>1.4869000000000001</v>
      </c>
      <c r="F294">
        <v>1.4786999999999999</v>
      </c>
      <c r="G294">
        <v>0.23899999999999999</v>
      </c>
      <c r="H294">
        <v>0</v>
      </c>
      <c r="J294" t="s">
        <v>0</v>
      </c>
      <c r="K294" t="s">
        <v>61</v>
      </c>
      <c r="L294">
        <v>0</v>
      </c>
      <c r="M294" t="s">
        <v>52</v>
      </c>
      <c r="N294">
        <v>1</v>
      </c>
      <c r="O294" t="s">
        <v>63</v>
      </c>
      <c r="P294" s="2">
        <v>0.4201388888888889</v>
      </c>
      <c r="Q294">
        <f>0.000196974*3600</f>
        <v>0.70910639999999991</v>
      </c>
      <c r="R294">
        <f>-0.000912403*3600</f>
        <v>-3.2846508000000001</v>
      </c>
    </row>
    <row r="295" spans="1:18" x14ac:dyDescent="0.3">
      <c r="A295" s="4" t="s">
        <v>47</v>
      </c>
      <c r="B295" s="16" t="s">
        <v>284</v>
      </c>
      <c r="C295">
        <v>97.452500999999998</v>
      </c>
      <c r="D295">
        <v>293.465575</v>
      </c>
      <c r="E295">
        <v>1.4862</v>
      </c>
      <c r="F295">
        <v>1.4781</v>
      </c>
      <c r="G295">
        <v>0.23899999999999999</v>
      </c>
      <c r="H295">
        <v>0</v>
      </c>
      <c r="J295" t="s">
        <v>0</v>
      </c>
      <c r="K295" t="s">
        <v>61</v>
      </c>
      <c r="L295">
        <v>0</v>
      </c>
      <c r="M295" t="s">
        <v>52</v>
      </c>
      <c r="N295">
        <v>1</v>
      </c>
      <c r="O295" t="s">
        <v>63</v>
      </c>
      <c r="P295" s="2">
        <v>0.4201388888888889</v>
      </c>
      <c r="Q295">
        <f>0.0002093949*3600</f>
        <v>0.75382163999999996</v>
      </c>
      <c r="R295">
        <f>-0.0008025962*3600</f>
        <v>-2.88934632</v>
      </c>
    </row>
    <row r="296" spans="1:18" x14ac:dyDescent="0.3">
      <c r="A296" s="4" t="s">
        <v>47</v>
      </c>
      <c r="B296" s="16" t="s">
        <v>285</v>
      </c>
      <c r="C296">
        <v>97.469095999999993</v>
      </c>
      <c r="D296">
        <v>297.27948199999997</v>
      </c>
      <c r="E296">
        <v>1</v>
      </c>
      <c r="F296">
        <v>1</v>
      </c>
      <c r="G296">
        <v>0.23899999999999999</v>
      </c>
      <c r="H296">
        <v>0</v>
      </c>
      <c r="J296" t="s">
        <v>0</v>
      </c>
      <c r="K296" t="s">
        <v>61</v>
      </c>
      <c r="L296">
        <v>0</v>
      </c>
      <c r="M296" t="s">
        <v>52</v>
      </c>
      <c r="N296">
        <v>1</v>
      </c>
      <c r="O296" t="s">
        <v>63</v>
      </c>
      <c r="P296" s="2">
        <v>0.4201388888888889</v>
      </c>
      <c r="Q296">
        <f>0.0000932567*3600</f>
        <v>0.33572412000000001</v>
      </c>
      <c r="R296">
        <f>-0.0008453817*3600</f>
        <v>-3.0433741200000002</v>
      </c>
    </row>
    <row r="297" spans="1:18" x14ac:dyDescent="0.3">
      <c r="A297" s="4" t="s">
        <v>47</v>
      </c>
      <c r="B297" s="16" t="s">
        <v>286</v>
      </c>
      <c r="C297">
        <v>97.465412000000001</v>
      </c>
      <c r="D297">
        <v>297.27946600000001</v>
      </c>
      <c r="E297">
        <v>1</v>
      </c>
      <c r="F297">
        <v>1</v>
      </c>
      <c r="G297">
        <v>0.23899999999999999</v>
      </c>
      <c r="H297">
        <v>0</v>
      </c>
      <c r="J297" t="s">
        <v>0</v>
      </c>
      <c r="K297" t="s">
        <v>61</v>
      </c>
      <c r="L297">
        <v>0</v>
      </c>
      <c r="M297" t="s">
        <v>52</v>
      </c>
      <c r="N297">
        <v>1</v>
      </c>
      <c r="O297" t="s">
        <v>63</v>
      </c>
      <c r="P297" s="2">
        <v>0.4201388888888889</v>
      </c>
      <c r="Q297">
        <f>0.0002726288*3600</f>
        <v>0.98146368000000006</v>
      </c>
      <c r="R297">
        <f>-0.0007991048*3600</f>
        <v>-2.8767772799999998</v>
      </c>
    </row>
    <row r="298" spans="1:18" x14ac:dyDescent="0.3">
      <c r="A298" s="4" t="s">
        <v>47</v>
      </c>
      <c r="B298" s="16" t="s">
        <v>287</v>
      </c>
      <c r="C298">
        <v>97.468458999999996</v>
      </c>
      <c r="D298">
        <v>297.27949000000001</v>
      </c>
      <c r="E298">
        <v>1</v>
      </c>
      <c r="F298">
        <v>1</v>
      </c>
      <c r="G298">
        <v>0.23899999999999999</v>
      </c>
      <c r="H298">
        <v>0</v>
      </c>
      <c r="J298" t="s">
        <v>0</v>
      </c>
      <c r="K298" t="s">
        <v>61</v>
      </c>
      <c r="L298">
        <v>0</v>
      </c>
      <c r="M298" t="s">
        <v>52</v>
      </c>
      <c r="N298">
        <v>1</v>
      </c>
      <c r="O298" t="s">
        <v>63</v>
      </c>
      <c r="P298" s="2">
        <v>0.4201388888888889</v>
      </c>
      <c r="Q298">
        <f>0.0002199626*3600</f>
        <v>0.79186535999999996</v>
      </c>
      <c r="R298">
        <f>-0.0008103854*3600</f>
        <v>-2.9173874399999997</v>
      </c>
    </row>
    <row r="299" spans="1:18" x14ac:dyDescent="0.3">
      <c r="A299" s="4" t="s">
        <v>47</v>
      </c>
      <c r="B299" s="16" t="s">
        <v>288</v>
      </c>
      <c r="C299">
        <v>97.466054999999997</v>
      </c>
      <c r="D299">
        <v>297.27954499999998</v>
      </c>
      <c r="E299">
        <v>1</v>
      </c>
      <c r="F299">
        <v>1</v>
      </c>
      <c r="G299">
        <v>0.23899999999999999</v>
      </c>
      <c r="H299">
        <v>0</v>
      </c>
      <c r="J299" t="s">
        <v>0</v>
      </c>
      <c r="K299" t="s">
        <v>61</v>
      </c>
      <c r="L299">
        <v>0</v>
      </c>
      <c r="M299" t="s">
        <v>52</v>
      </c>
      <c r="N299">
        <v>1</v>
      </c>
      <c r="O299" t="s">
        <v>63</v>
      </c>
      <c r="P299" s="2">
        <v>0.4201388888888889</v>
      </c>
      <c r="Q299">
        <f>0.0002856389*3600</f>
        <v>1.02830004</v>
      </c>
      <c r="R299">
        <f>-0.0007597988*3600</f>
        <v>-2.73527568</v>
      </c>
    </row>
    <row r="300" spans="1:18" x14ac:dyDescent="0.3">
      <c r="A300" s="4" t="s">
        <v>47</v>
      </c>
      <c r="B300" s="16" t="s">
        <v>289</v>
      </c>
      <c r="C300">
        <v>97.468682999999999</v>
      </c>
      <c r="D300">
        <v>297.27952199999999</v>
      </c>
      <c r="E300">
        <v>1</v>
      </c>
      <c r="F300">
        <v>1</v>
      </c>
      <c r="G300">
        <v>0.23899999999999999</v>
      </c>
      <c r="H300">
        <v>0</v>
      </c>
      <c r="J300" t="s">
        <v>0</v>
      </c>
      <c r="K300" t="s">
        <v>61</v>
      </c>
      <c r="L300">
        <v>0</v>
      </c>
      <c r="M300" t="s">
        <v>52</v>
      </c>
      <c r="N300">
        <v>1</v>
      </c>
      <c r="O300" t="s">
        <v>63</v>
      </c>
      <c r="P300" s="2">
        <v>0.4201388888888889</v>
      </c>
      <c r="Q300">
        <f>0.0001291465*3600</f>
        <v>0.46492739999999999</v>
      </c>
      <c r="R300">
        <f>-0.0006312141*3600</f>
        <v>-2.2723707599999998</v>
      </c>
    </row>
    <row r="301" spans="1:18" x14ac:dyDescent="0.3">
      <c r="A301" s="4" t="s">
        <v>47</v>
      </c>
      <c r="B301" s="16" t="s">
        <v>290</v>
      </c>
      <c r="C301">
        <v>97.466573999999994</v>
      </c>
      <c r="D301">
        <v>297.27947499999999</v>
      </c>
      <c r="E301">
        <v>1</v>
      </c>
      <c r="F301">
        <v>1</v>
      </c>
      <c r="G301">
        <v>0.23899999999999999</v>
      </c>
      <c r="H301">
        <v>0</v>
      </c>
      <c r="J301" t="s">
        <v>0</v>
      </c>
      <c r="K301" t="s">
        <v>61</v>
      </c>
      <c r="L301">
        <v>0</v>
      </c>
      <c r="M301" t="s">
        <v>52</v>
      </c>
      <c r="N301">
        <v>1</v>
      </c>
      <c r="O301" t="s">
        <v>63</v>
      </c>
      <c r="P301" s="2">
        <v>0.4201388888888889</v>
      </c>
      <c r="Q301">
        <f>0.0002196458*3600</f>
        <v>0.79072487999999996</v>
      </c>
      <c r="R301">
        <f>-0.0007087592*3600</f>
        <v>-2.5515331199999998</v>
      </c>
    </row>
    <row r="302" spans="1:18" x14ac:dyDescent="0.3">
      <c r="A302" s="4" t="s">
        <v>47</v>
      </c>
      <c r="B302" s="16" t="s">
        <v>291</v>
      </c>
      <c r="C302">
        <v>97.466689000000002</v>
      </c>
      <c r="D302">
        <v>297.27948300000003</v>
      </c>
      <c r="E302">
        <v>1</v>
      </c>
      <c r="F302">
        <v>1</v>
      </c>
      <c r="G302">
        <v>0.23899999999999999</v>
      </c>
      <c r="H302">
        <v>0</v>
      </c>
      <c r="J302" t="s">
        <v>0</v>
      </c>
      <c r="K302" t="s">
        <v>61</v>
      </c>
      <c r="L302">
        <v>0</v>
      </c>
      <c r="M302" t="s">
        <v>52</v>
      </c>
      <c r="N302">
        <v>1</v>
      </c>
      <c r="O302" t="s">
        <v>63</v>
      </c>
      <c r="P302" s="2">
        <v>0.4201388888888889</v>
      </c>
      <c r="Q302">
        <f>0.0000905764*3600</f>
        <v>0.32607503999999998</v>
      </c>
      <c r="R302">
        <f>-0.0007711941*3600</f>
        <v>-2.77629876</v>
      </c>
    </row>
    <row r="303" spans="1:18" x14ac:dyDescent="0.3">
      <c r="A303" s="4" t="s">
        <v>47</v>
      </c>
      <c r="B303" s="16" t="s">
        <v>292</v>
      </c>
      <c r="C303">
        <v>97.467039999999997</v>
      </c>
      <c r="D303">
        <v>297.27949000000001</v>
      </c>
      <c r="E303">
        <v>1</v>
      </c>
      <c r="F303">
        <v>1</v>
      </c>
      <c r="G303">
        <v>0.23899999999999999</v>
      </c>
      <c r="H303">
        <v>0</v>
      </c>
      <c r="J303" t="s">
        <v>0</v>
      </c>
      <c r="K303" t="s">
        <v>61</v>
      </c>
      <c r="L303">
        <v>0</v>
      </c>
      <c r="M303" t="s">
        <v>52</v>
      </c>
      <c r="N303">
        <v>1</v>
      </c>
      <c r="O303" t="s">
        <v>63</v>
      </c>
      <c r="P303" s="2">
        <v>0.42083333333333334</v>
      </c>
      <c r="Q303">
        <f>0.0001864684*3600</f>
        <v>0.67128623999999992</v>
      </c>
      <c r="R303">
        <f>-0.0007681939*3600</f>
        <v>-2.7654980400000002</v>
      </c>
    </row>
    <row r="304" spans="1:18" x14ac:dyDescent="0.3">
      <c r="A304" s="4" t="s">
        <v>47</v>
      </c>
      <c r="B304" s="16" t="s">
        <v>293</v>
      </c>
      <c r="C304">
        <v>97.466543000000001</v>
      </c>
      <c r="D304">
        <v>297.279539</v>
      </c>
      <c r="E304">
        <v>1</v>
      </c>
      <c r="F304">
        <v>1</v>
      </c>
      <c r="G304">
        <v>0.23899999999999999</v>
      </c>
      <c r="H304">
        <v>0</v>
      </c>
      <c r="J304" t="s">
        <v>0</v>
      </c>
      <c r="K304" t="s">
        <v>61</v>
      </c>
      <c r="L304">
        <v>0</v>
      </c>
      <c r="M304" t="s">
        <v>52</v>
      </c>
      <c r="N304">
        <v>1</v>
      </c>
      <c r="O304" t="s">
        <v>63</v>
      </c>
      <c r="P304" s="2">
        <v>0.42083333333333334</v>
      </c>
      <c r="Q304">
        <f>0.0001747871*3600</f>
        <v>0.62923356000000008</v>
      </c>
      <c r="R304">
        <f>-0.0007233055*3600</f>
        <v>-2.6038997999999998</v>
      </c>
    </row>
    <row r="305" spans="1:18" x14ac:dyDescent="0.3">
      <c r="A305" s="4" t="s">
        <v>47</v>
      </c>
      <c r="B305" s="16" t="s">
        <v>294</v>
      </c>
      <c r="C305">
        <v>97.469128999999995</v>
      </c>
      <c r="D305">
        <v>297.27956799999998</v>
      </c>
      <c r="E305">
        <v>1</v>
      </c>
      <c r="F305">
        <v>1</v>
      </c>
      <c r="G305">
        <v>0.23899999999999999</v>
      </c>
      <c r="H305">
        <v>0</v>
      </c>
      <c r="J305" t="s">
        <v>0</v>
      </c>
      <c r="K305" t="s">
        <v>61</v>
      </c>
      <c r="L305">
        <v>3.4000000000000002E-2</v>
      </c>
      <c r="M305" t="s">
        <v>52</v>
      </c>
      <c r="N305">
        <v>1</v>
      </c>
      <c r="O305" t="s">
        <v>53</v>
      </c>
      <c r="P305" s="2">
        <v>0.42083333333333334</v>
      </c>
      <c r="Q305">
        <f>0.0002217305*3600</f>
        <v>0.79822979999999999</v>
      </c>
      <c r="R305">
        <f>-0.0007304837*3600</f>
        <v>-2.6297413199999999</v>
      </c>
    </row>
    <row r="306" spans="1:18" x14ac:dyDescent="0.3">
      <c r="A306" s="4" t="s">
        <v>47</v>
      </c>
      <c r="B306" s="16" t="s">
        <v>295</v>
      </c>
      <c r="C306">
        <v>97.435784999999996</v>
      </c>
      <c r="D306">
        <v>293.404629</v>
      </c>
      <c r="E306">
        <v>1.4867999999999999</v>
      </c>
      <c r="F306">
        <v>1.4785999999999999</v>
      </c>
      <c r="G306">
        <v>0.23899999999999999</v>
      </c>
      <c r="H306">
        <v>0</v>
      </c>
      <c r="J306" t="s">
        <v>0</v>
      </c>
      <c r="K306" t="s">
        <v>61</v>
      </c>
      <c r="L306">
        <v>3.4000000000000002E-2</v>
      </c>
      <c r="M306" t="s">
        <v>52</v>
      </c>
      <c r="N306">
        <v>1</v>
      </c>
      <c r="O306" t="s">
        <v>53</v>
      </c>
      <c r="P306" s="2">
        <v>0.42152777777777778</v>
      </c>
      <c r="Q306">
        <f>0.000339197*3600</f>
        <v>1.2211092000000001</v>
      </c>
      <c r="R306">
        <f>-0.0009707624*3600</f>
        <v>-3.49474464</v>
      </c>
    </row>
    <row r="307" spans="1:18" x14ac:dyDescent="0.3">
      <c r="A307" s="4" t="s">
        <v>47</v>
      </c>
      <c r="B307" s="16" t="s">
        <v>296</v>
      </c>
      <c r="C307">
        <v>97.462404000000006</v>
      </c>
      <c r="D307">
        <v>297.200197</v>
      </c>
      <c r="E307">
        <v>1</v>
      </c>
      <c r="F307">
        <v>1</v>
      </c>
      <c r="G307">
        <v>0.23899999999999999</v>
      </c>
      <c r="H307">
        <v>0</v>
      </c>
      <c r="J307" t="s">
        <v>0</v>
      </c>
      <c r="K307" t="s">
        <v>61</v>
      </c>
      <c r="L307">
        <v>0</v>
      </c>
      <c r="M307" t="s">
        <v>52</v>
      </c>
      <c r="N307">
        <v>1</v>
      </c>
      <c r="O307" t="s">
        <v>63</v>
      </c>
      <c r="P307" s="2">
        <v>0.42222222222222222</v>
      </c>
      <c r="Q307">
        <f>0.000363208*3600</f>
        <v>1.3075488</v>
      </c>
      <c r="R307">
        <f>-0.0007219448*3600</f>
        <v>-2.59900128</v>
      </c>
    </row>
    <row r="308" spans="1:18" x14ac:dyDescent="0.3">
      <c r="A308" s="4" t="s">
        <v>47</v>
      </c>
      <c r="B308" s="16" t="s">
        <v>297</v>
      </c>
      <c r="C308">
        <v>97.465056000000004</v>
      </c>
      <c r="D308">
        <v>298.62895500000002</v>
      </c>
      <c r="E308">
        <v>1</v>
      </c>
      <c r="F308">
        <v>1</v>
      </c>
      <c r="G308">
        <v>0.23899999999999999</v>
      </c>
      <c r="H308">
        <v>0</v>
      </c>
      <c r="J308" t="s">
        <v>0</v>
      </c>
      <c r="K308" t="s">
        <v>61</v>
      </c>
      <c r="L308">
        <v>0</v>
      </c>
      <c r="M308" t="s">
        <v>52</v>
      </c>
      <c r="N308">
        <v>1</v>
      </c>
      <c r="O308" t="s">
        <v>63</v>
      </c>
      <c r="P308" s="2">
        <v>0.42222222222222222</v>
      </c>
      <c r="Q308">
        <f>0.0003694895*3600</f>
        <v>1.3301622</v>
      </c>
      <c r="R308">
        <f>-0.0008284017*3600</f>
        <v>-2.9822461200000001</v>
      </c>
    </row>
    <row r="309" spans="1:18" x14ac:dyDescent="0.3">
      <c r="A309" s="4" t="s">
        <v>47</v>
      </c>
      <c r="B309" s="16" t="s">
        <v>298</v>
      </c>
      <c r="C309">
        <v>97.463421999999994</v>
      </c>
      <c r="D309">
        <v>298.62899499999997</v>
      </c>
      <c r="E309">
        <v>1</v>
      </c>
      <c r="F309">
        <v>1</v>
      </c>
      <c r="G309">
        <v>0.23899999999999999</v>
      </c>
      <c r="H309">
        <v>0</v>
      </c>
      <c r="J309" t="s">
        <v>0</v>
      </c>
      <c r="K309" t="s">
        <v>61</v>
      </c>
      <c r="L309">
        <v>0</v>
      </c>
      <c r="M309" t="s">
        <v>52</v>
      </c>
      <c r="N309">
        <v>1</v>
      </c>
      <c r="O309" t="s">
        <v>63</v>
      </c>
      <c r="P309" s="2">
        <v>0.42222222222222222</v>
      </c>
      <c r="Q309">
        <f>0.000381648*3600</f>
        <v>1.3739328</v>
      </c>
      <c r="R309">
        <f>-0.0007598818*3600</f>
        <v>-2.7355744799999999</v>
      </c>
    </row>
    <row r="310" spans="1:18" x14ac:dyDescent="0.3">
      <c r="A310" s="4" t="s">
        <v>47</v>
      </c>
      <c r="B310" s="16" t="s">
        <v>299</v>
      </c>
      <c r="C310">
        <v>97.465117000000006</v>
      </c>
      <c r="D310">
        <v>298.62909300000001</v>
      </c>
      <c r="E310">
        <v>1</v>
      </c>
      <c r="F310">
        <v>1</v>
      </c>
      <c r="G310">
        <v>0.23899999999999999</v>
      </c>
      <c r="H310">
        <v>0</v>
      </c>
      <c r="J310" t="s">
        <v>0</v>
      </c>
      <c r="K310" t="s">
        <v>61</v>
      </c>
      <c r="L310">
        <v>0</v>
      </c>
      <c r="M310" t="s">
        <v>52</v>
      </c>
      <c r="N310">
        <v>1</v>
      </c>
      <c r="O310" t="s">
        <v>63</v>
      </c>
      <c r="P310" s="2">
        <v>0.42222222222222222</v>
      </c>
      <c r="Q310">
        <f>0.0003302944*3600</f>
        <v>1.1890598399999999</v>
      </c>
      <c r="R310">
        <f>-0.0008672412*3600</f>
        <v>-3.1220683199999999</v>
      </c>
    </row>
    <row r="311" spans="1:18" x14ac:dyDescent="0.3">
      <c r="A311" s="4" t="s">
        <v>47</v>
      </c>
      <c r="B311" s="16" t="s">
        <v>300</v>
      </c>
      <c r="C311">
        <v>97.463451000000006</v>
      </c>
      <c r="D311">
        <v>298.62900100000002</v>
      </c>
      <c r="E311">
        <v>1</v>
      </c>
      <c r="F311">
        <v>1</v>
      </c>
      <c r="G311">
        <v>0.23899999999999999</v>
      </c>
      <c r="H311">
        <v>0</v>
      </c>
      <c r="J311" t="s">
        <v>0</v>
      </c>
      <c r="K311" t="s">
        <v>61</v>
      </c>
      <c r="L311">
        <v>0</v>
      </c>
      <c r="M311" t="s">
        <v>52</v>
      </c>
      <c r="N311">
        <v>1</v>
      </c>
      <c r="O311" t="s">
        <v>63</v>
      </c>
      <c r="P311" s="2">
        <v>0.42222222222222222</v>
      </c>
      <c r="Q311">
        <f>0.000338816*3600</f>
        <v>1.2197376</v>
      </c>
      <c r="R311">
        <f>-0.0008180589*3600</f>
        <v>-2.9450120399999999</v>
      </c>
    </row>
    <row r="312" spans="1:18" x14ac:dyDescent="0.3">
      <c r="A312" s="4" t="s">
        <v>47</v>
      </c>
      <c r="B312" s="16" t="s">
        <v>301</v>
      </c>
      <c r="C312">
        <v>97.465812</v>
      </c>
      <c r="D312">
        <v>298.62908199999998</v>
      </c>
      <c r="E312">
        <v>1</v>
      </c>
      <c r="F312">
        <v>1</v>
      </c>
      <c r="G312">
        <v>0.23899999999999999</v>
      </c>
      <c r="H312">
        <v>0</v>
      </c>
      <c r="J312" t="s">
        <v>0</v>
      </c>
      <c r="K312" t="s">
        <v>61</v>
      </c>
      <c r="L312">
        <v>0</v>
      </c>
      <c r="M312" t="s">
        <v>52</v>
      </c>
      <c r="N312">
        <v>1</v>
      </c>
      <c r="O312" t="s">
        <v>63</v>
      </c>
      <c r="P312" s="2">
        <v>0.42222222222222222</v>
      </c>
      <c r="Q312">
        <f>0.0003841228*3600</f>
        <v>1.3828420799999999</v>
      </c>
      <c r="R312">
        <f>-0.0008178375*3600</f>
        <v>-2.9442150000000002</v>
      </c>
    </row>
    <row r="313" spans="1:18" x14ac:dyDescent="0.3">
      <c r="A313" s="4" t="s">
        <v>47</v>
      </c>
      <c r="B313" s="16" t="s">
        <v>302</v>
      </c>
      <c r="C313">
        <v>97.465357999999995</v>
      </c>
      <c r="D313">
        <v>298.62898000000001</v>
      </c>
      <c r="E313">
        <v>1</v>
      </c>
      <c r="F313">
        <v>1</v>
      </c>
      <c r="G313">
        <v>0.23899999999999999</v>
      </c>
      <c r="H313">
        <v>0</v>
      </c>
      <c r="J313" t="s">
        <v>0</v>
      </c>
      <c r="K313" t="s">
        <v>61</v>
      </c>
      <c r="L313">
        <v>0</v>
      </c>
      <c r="M313" t="s">
        <v>52</v>
      </c>
      <c r="N313">
        <v>1</v>
      </c>
      <c r="O313" t="s">
        <v>63</v>
      </c>
      <c r="P313" s="2">
        <v>0.42222222222222222</v>
      </c>
      <c r="Q313">
        <f>0.0004317176*3600</f>
        <v>1.5541833600000001</v>
      </c>
      <c r="R313">
        <f>-0.0008126533*3600</f>
        <v>-2.92555188</v>
      </c>
    </row>
    <row r="314" spans="1:18" x14ac:dyDescent="0.3">
      <c r="A314" s="4" t="s">
        <v>47</v>
      </c>
      <c r="B314" s="16" t="s">
        <v>303</v>
      </c>
      <c r="C314">
        <v>97.465704000000002</v>
      </c>
      <c r="D314">
        <v>298.62904800000001</v>
      </c>
      <c r="E314">
        <v>1</v>
      </c>
      <c r="F314">
        <v>1</v>
      </c>
      <c r="G314">
        <v>0.23899999999999999</v>
      </c>
      <c r="H314">
        <v>0</v>
      </c>
      <c r="J314" t="s">
        <v>0</v>
      </c>
      <c r="K314" t="s">
        <v>61</v>
      </c>
      <c r="L314">
        <v>0</v>
      </c>
      <c r="M314" t="s">
        <v>52</v>
      </c>
      <c r="N314">
        <v>1</v>
      </c>
      <c r="O314" t="s">
        <v>63</v>
      </c>
      <c r="P314" s="2">
        <v>0.42222222222222222</v>
      </c>
      <c r="Q314">
        <f>0.0005001815*3600</f>
        <v>1.8006534000000001</v>
      </c>
      <c r="R314">
        <f>-0.0007205855*3600</f>
        <v>-2.5941078000000002</v>
      </c>
    </row>
    <row r="315" spans="1:18" x14ac:dyDescent="0.3">
      <c r="A315" s="4" t="s">
        <v>47</v>
      </c>
      <c r="B315" s="16" t="s">
        <v>304</v>
      </c>
      <c r="C315">
        <v>97.464202999999998</v>
      </c>
      <c r="D315">
        <v>298.62896699999999</v>
      </c>
      <c r="E315">
        <v>1</v>
      </c>
      <c r="F315">
        <v>1</v>
      </c>
      <c r="G315">
        <v>0.23899999999999999</v>
      </c>
      <c r="H315">
        <v>0</v>
      </c>
      <c r="J315" t="s">
        <v>0</v>
      </c>
      <c r="K315" t="s">
        <v>61</v>
      </c>
      <c r="L315">
        <v>0</v>
      </c>
      <c r="M315" t="s">
        <v>52</v>
      </c>
      <c r="N315">
        <v>1</v>
      </c>
      <c r="O315" t="s">
        <v>63</v>
      </c>
      <c r="P315" s="2">
        <v>0.42222222222222222</v>
      </c>
      <c r="Q315">
        <f>0.0003537125*3600</f>
        <v>1.2733650000000001</v>
      </c>
      <c r="R315">
        <f>-0.0008170456*3600</f>
        <v>-2.94136416</v>
      </c>
    </row>
    <row r="316" spans="1:18" x14ac:dyDescent="0.3">
      <c r="A316" s="4" t="s">
        <v>47</v>
      </c>
      <c r="B316" s="16" t="s">
        <v>305</v>
      </c>
      <c r="C316">
        <v>97.463657999999995</v>
      </c>
      <c r="D316">
        <v>298.62904300000002</v>
      </c>
      <c r="E316">
        <v>1</v>
      </c>
      <c r="F316">
        <v>1</v>
      </c>
      <c r="G316">
        <v>0.23899999999999999</v>
      </c>
      <c r="H316">
        <v>0</v>
      </c>
      <c r="J316" t="s">
        <v>0</v>
      </c>
      <c r="K316" t="s">
        <v>61</v>
      </c>
      <c r="L316">
        <v>0</v>
      </c>
      <c r="M316" t="s">
        <v>52</v>
      </c>
      <c r="N316">
        <v>1</v>
      </c>
      <c r="O316" t="s">
        <v>63</v>
      </c>
      <c r="P316" s="2">
        <v>0.42222222222222222</v>
      </c>
      <c r="Q316">
        <f>0.0003524222*3600</f>
        <v>1.2687199199999999</v>
      </c>
      <c r="R316">
        <f>-0.0007142802*3600</f>
        <v>-2.57140872</v>
      </c>
    </row>
    <row r="317" spans="1:18" x14ac:dyDescent="0.3">
      <c r="A317" s="4" t="s">
        <v>47</v>
      </c>
      <c r="B317" s="16" t="s">
        <v>306</v>
      </c>
      <c r="C317">
        <v>97.464823999999993</v>
      </c>
      <c r="D317">
        <v>298.629006</v>
      </c>
      <c r="E317">
        <v>1</v>
      </c>
      <c r="F317">
        <v>1</v>
      </c>
      <c r="G317">
        <v>0.23899999999999999</v>
      </c>
      <c r="H317">
        <v>0</v>
      </c>
      <c r="J317" t="s">
        <v>0</v>
      </c>
      <c r="K317" t="s">
        <v>61</v>
      </c>
      <c r="L317">
        <v>0</v>
      </c>
      <c r="M317" t="s">
        <v>52</v>
      </c>
      <c r="N317">
        <v>1</v>
      </c>
      <c r="O317" t="s">
        <v>63</v>
      </c>
      <c r="P317" s="2">
        <v>0.42222222222222222</v>
      </c>
      <c r="Q317">
        <f>0.0004535367*3600</f>
        <v>1.63273212</v>
      </c>
      <c r="R317">
        <f>-0.0008209449*3600</f>
        <v>-2.9554016399999998</v>
      </c>
    </row>
    <row r="318" spans="1:18" x14ac:dyDescent="0.3">
      <c r="A318" s="4" t="s">
        <v>47</v>
      </c>
      <c r="B318" s="16" t="s">
        <v>307</v>
      </c>
      <c r="C318">
        <v>97.440796000000006</v>
      </c>
      <c r="D318">
        <v>293.36981100000003</v>
      </c>
      <c r="E318">
        <v>1.4872000000000001</v>
      </c>
      <c r="F318">
        <v>1.4789000000000001</v>
      </c>
      <c r="G318">
        <v>0.23899999999999999</v>
      </c>
      <c r="H318">
        <v>0</v>
      </c>
      <c r="J318" t="s">
        <v>0</v>
      </c>
      <c r="K318" t="s">
        <v>61</v>
      </c>
      <c r="L318">
        <v>0</v>
      </c>
      <c r="M318" t="s">
        <v>52</v>
      </c>
      <c r="N318">
        <v>1</v>
      </c>
      <c r="O318" t="s">
        <v>63</v>
      </c>
      <c r="P318" s="2">
        <v>0.42222222222222222</v>
      </c>
      <c r="Q318">
        <f>0.0003363285*3600</f>
        <v>1.2107825999999999</v>
      </c>
      <c r="R318">
        <f>-0.0008302029*3600</f>
        <v>-2.9887304399999999</v>
      </c>
    </row>
    <row r="319" spans="1:18" x14ac:dyDescent="0.3">
      <c r="A319" s="4" t="s">
        <v>47</v>
      </c>
      <c r="B319" s="16" t="s">
        <v>308</v>
      </c>
      <c r="C319">
        <v>97.465519999999998</v>
      </c>
      <c r="D319">
        <v>299.420278</v>
      </c>
      <c r="E319">
        <v>1</v>
      </c>
      <c r="F319">
        <v>1</v>
      </c>
      <c r="G319">
        <v>0.23899999999999999</v>
      </c>
      <c r="H319">
        <v>0</v>
      </c>
      <c r="J319" t="s">
        <v>0</v>
      </c>
      <c r="K319" t="s">
        <v>61</v>
      </c>
      <c r="L319">
        <v>0</v>
      </c>
      <c r="M319" t="s">
        <v>52</v>
      </c>
      <c r="N319">
        <v>1</v>
      </c>
      <c r="O319" t="s">
        <v>63</v>
      </c>
      <c r="P319" s="2">
        <v>0.42222222222222222</v>
      </c>
      <c r="Q319">
        <f>0.0003152023*3600</f>
        <v>1.13472828</v>
      </c>
      <c r="R319">
        <f>-0.0009708718*3600</f>
        <v>-3.49513848</v>
      </c>
    </row>
    <row r="320" spans="1:18" x14ac:dyDescent="0.3">
      <c r="A320" s="4" t="s">
        <v>47</v>
      </c>
      <c r="B320" s="16" t="s">
        <v>309</v>
      </c>
      <c r="C320">
        <v>97.466503000000003</v>
      </c>
      <c r="D320">
        <v>299.42031400000002</v>
      </c>
      <c r="E320">
        <v>1</v>
      </c>
      <c r="F320">
        <v>1</v>
      </c>
      <c r="G320">
        <v>0.23899999999999999</v>
      </c>
      <c r="H320">
        <v>0</v>
      </c>
      <c r="J320" t="s">
        <v>0</v>
      </c>
      <c r="K320" t="s">
        <v>61</v>
      </c>
      <c r="L320">
        <v>3.4000000000000002E-2</v>
      </c>
      <c r="M320" t="s">
        <v>52</v>
      </c>
      <c r="N320">
        <v>1</v>
      </c>
      <c r="O320" t="s">
        <v>53</v>
      </c>
      <c r="P320" s="2">
        <v>0.42291666666666666</v>
      </c>
      <c r="Q320">
        <f>0.0003071139*3600</f>
        <v>1.10561004</v>
      </c>
      <c r="R320">
        <f>-0.0009553607*3600</f>
        <v>-3.4392985199999999</v>
      </c>
    </row>
    <row r="321" spans="1:18" x14ac:dyDescent="0.3">
      <c r="A321" s="4" t="s">
        <v>47</v>
      </c>
      <c r="B321" s="16" t="s">
        <v>310</v>
      </c>
      <c r="C321">
        <v>97.466570000000004</v>
      </c>
      <c r="D321">
        <v>299.42022700000001</v>
      </c>
      <c r="E321">
        <v>1</v>
      </c>
      <c r="F321">
        <v>1</v>
      </c>
      <c r="G321">
        <v>0.23899999999999999</v>
      </c>
      <c r="H321">
        <v>0</v>
      </c>
      <c r="J321" t="s">
        <v>0</v>
      </c>
      <c r="K321" t="s">
        <v>61</v>
      </c>
      <c r="L321">
        <v>0</v>
      </c>
      <c r="M321" t="s">
        <v>52</v>
      </c>
      <c r="N321">
        <v>1</v>
      </c>
      <c r="O321" t="s">
        <v>63</v>
      </c>
      <c r="P321" s="2">
        <v>0.42291666666666666</v>
      </c>
      <c r="Q321">
        <f>0.0003054875*3600</f>
        <v>1.099755</v>
      </c>
      <c r="R321">
        <f>-0.000812377*3600</f>
        <v>-2.9245571999999997</v>
      </c>
    </row>
    <row r="322" spans="1:18" x14ac:dyDescent="0.3">
      <c r="A322" s="4" t="s">
        <v>47</v>
      </c>
      <c r="B322" s="16" t="s">
        <v>311</v>
      </c>
      <c r="C322">
        <v>97.464967999999999</v>
      </c>
      <c r="D322">
        <v>299.42025999999998</v>
      </c>
      <c r="E322">
        <v>1</v>
      </c>
      <c r="F322">
        <v>1</v>
      </c>
      <c r="G322">
        <v>0.23899999999999999</v>
      </c>
      <c r="H322">
        <v>0</v>
      </c>
      <c r="J322" t="s">
        <v>0</v>
      </c>
      <c r="K322" t="s">
        <v>61</v>
      </c>
      <c r="L322">
        <v>0</v>
      </c>
      <c r="M322" t="s">
        <v>52</v>
      </c>
      <c r="N322">
        <v>1</v>
      </c>
      <c r="O322" t="s">
        <v>63</v>
      </c>
      <c r="P322" s="2">
        <v>0.42291666666666666</v>
      </c>
      <c r="Q322">
        <f>0.0002437682*3600</f>
        <v>0.87756551999999999</v>
      </c>
      <c r="R322">
        <f>-0.000792184*3600</f>
        <v>-2.8518623999999999</v>
      </c>
    </row>
    <row r="323" spans="1:18" x14ac:dyDescent="0.3">
      <c r="A323" s="4" t="s">
        <v>47</v>
      </c>
      <c r="B323" s="16" t="s">
        <v>312</v>
      </c>
      <c r="C323">
        <v>97.466993000000002</v>
      </c>
      <c r="D323">
        <v>299.42032999999998</v>
      </c>
      <c r="E323">
        <v>1</v>
      </c>
      <c r="F323">
        <v>1</v>
      </c>
      <c r="G323">
        <v>0.23899999999999999</v>
      </c>
      <c r="H323">
        <v>0</v>
      </c>
      <c r="J323" t="s">
        <v>0</v>
      </c>
      <c r="K323" t="s">
        <v>61</v>
      </c>
      <c r="L323">
        <v>0</v>
      </c>
      <c r="M323" t="s">
        <v>52</v>
      </c>
      <c r="N323">
        <v>1</v>
      </c>
      <c r="O323" t="s">
        <v>63</v>
      </c>
      <c r="P323" s="2">
        <v>0.42291666666666666</v>
      </c>
      <c r="Q323">
        <f>0.0003444848*3600</f>
        <v>1.2401452799999999</v>
      </c>
      <c r="R323">
        <f>-0.0007960573*3600</f>
        <v>-2.8658062799999997</v>
      </c>
    </row>
    <row r="324" spans="1:18" x14ac:dyDescent="0.3">
      <c r="A324" s="4" t="s">
        <v>47</v>
      </c>
      <c r="B324" s="16" t="s">
        <v>313</v>
      </c>
      <c r="C324">
        <v>97.465487999999993</v>
      </c>
      <c r="D324">
        <v>299.42018999999999</v>
      </c>
      <c r="E324">
        <v>1</v>
      </c>
      <c r="F324">
        <v>1</v>
      </c>
      <c r="G324">
        <v>0.23899999999999999</v>
      </c>
      <c r="H324">
        <v>0</v>
      </c>
      <c r="J324" t="s">
        <v>0</v>
      </c>
      <c r="K324" t="s">
        <v>61</v>
      </c>
      <c r="L324">
        <v>0</v>
      </c>
      <c r="M324" t="s">
        <v>52</v>
      </c>
      <c r="N324">
        <v>1</v>
      </c>
      <c r="O324" t="s">
        <v>63</v>
      </c>
      <c r="P324" s="2">
        <v>0.42291666666666666</v>
      </c>
      <c r="Q324">
        <f>0.0002587126*3600</f>
        <v>0.93136536000000003</v>
      </c>
      <c r="R324">
        <f>-0.0006202243*3600</f>
        <v>-2.2328074800000004</v>
      </c>
    </row>
    <row r="325" spans="1:18" x14ac:dyDescent="0.3">
      <c r="A325" s="4" t="s">
        <v>47</v>
      </c>
      <c r="B325" s="16" t="s">
        <v>314</v>
      </c>
      <c r="C325">
        <v>97.466937000000001</v>
      </c>
      <c r="D325">
        <v>299.42034699999999</v>
      </c>
      <c r="E325">
        <v>1</v>
      </c>
      <c r="F325">
        <v>1</v>
      </c>
      <c r="G325">
        <v>0.23899999999999999</v>
      </c>
      <c r="H325">
        <v>0</v>
      </c>
      <c r="J325" t="s">
        <v>0</v>
      </c>
      <c r="K325" t="s">
        <v>61</v>
      </c>
      <c r="L325">
        <v>0</v>
      </c>
      <c r="M325" t="s">
        <v>52</v>
      </c>
      <c r="N325">
        <v>1</v>
      </c>
      <c r="O325" t="s">
        <v>63</v>
      </c>
      <c r="P325" s="2">
        <v>0.42291666666666666</v>
      </c>
      <c r="Q325">
        <f>0.0004403509*3600</f>
        <v>1.58526324</v>
      </c>
      <c r="R325">
        <f>-0.0008062631*3600</f>
        <v>-2.9025471600000001</v>
      </c>
    </row>
    <row r="326" spans="1:18" x14ac:dyDescent="0.3">
      <c r="A326" s="4" t="s">
        <v>47</v>
      </c>
      <c r="B326" s="16" t="s">
        <v>315</v>
      </c>
      <c r="C326">
        <v>97.424120000000002</v>
      </c>
      <c r="D326">
        <v>293.40088300000002</v>
      </c>
      <c r="E326">
        <v>1.4869000000000001</v>
      </c>
      <c r="F326">
        <v>1.4786999999999999</v>
      </c>
      <c r="G326">
        <v>0.23899999999999999</v>
      </c>
      <c r="H326">
        <v>0</v>
      </c>
      <c r="J326" t="s">
        <v>0</v>
      </c>
      <c r="K326" t="s">
        <v>61</v>
      </c>
      <c r="L326">
        <v>0</v>
      </c>
      <c r="M326" t="s">
        <v>52</v>
      </c>
      <c r="N326">
        <v>1</v>
      </c>
      <c r="O326" t="s">
        <v>63</v>
      </c>
      <c r="P326" s="2">
        <v>0.42291666666666666</v>
      </c>
      <c r="Q326">
        <f>0.0004691711*3600</f>
        <v>1.6890159599999999</v>
      </c>
      <c r="R326">
        <f>-0.0006340956*3600</f>
        <v>-2.28274416</v>
      </c>
    </row>
    <row r="327" spans="1:18" x14ac:dyDescent="0.3">
      <c r="A327" s="4" t="s">
        <v>47</v>
      </c>
      <c r="B327" s="16" t="s">
        <v>94</v>
      </c>
      <c r="C327">
        <v>298.528794</v>
      </c>
      <c r="D327">
        <v>100.727243</v>
      </c>
      <c r="E327">
        <v>13.124700000000001</v>
      </c>
      <c r="F327">
        <v>13.121600000000001</v>
      </c>
      <c r="G327">
        <v>0.23899999999999999</v>
      </c>
      <c r="H327">
        <v>0</v>
      </c>
      <c r="J327" t="s">
        <v>0</v>
      </c>
      <c r="K327" t="s">
        <v>61</v>
      </c>
      <c r="L327">
        <v>0</v>
      </c>
      <c r="M327" t="s">
        <v>52</v>
      </c>
      <c r="N327">
        <v>1</v>
      </c>
      <c r="O327" t="s">
        <v>63</v>
      </c>
      <c r="P327" s="2">
        <v>0.42291666666666666</v>
      </c>
      <c r="Q327">
        <f>0.0004421396*3600</f>
        <v>1.5917025600000001</v>
      </c>
      <c r="R327">
        <f>-0.0005013291*3600</f>
        <v>-1.8047847600000002</v>
      </c>
    </row>
    <row r="328" spans="1:18" x14ac:dyDescent="0.3">
      <c r="A328" s="4" t="s">
        <v>47</v>
      </c>
      <c r="B328" s="16" t="s">
        <v>95</v>
      </c>
      <c r="C328">
        <v>298.52744999999999</v>
      </c>
      <c r="D328">
        <v>100.48466500000001</v>
      </c>
      <c r="E328">
        <v>1</v>
      </c>
      <c r="F328">
        <v>1</v>
      </c>
      <c r="G328">
        <v>0.23899999999999999</v>
      </c>
      <c r="H328">
        <v>0</v>
      </c>
      <c r="J328" t="s">
        <v>0</v>
      </c>
      <c r="K328" t="s">
        <v>61</v>
      </c>
      <c r="L328">
        <v>0</v>
      </c>
      <c r="M328" t="s">
        <v>52</v>
      </c>
      <c r="N328">
        <v>1</v>
      </c>
      <c r="O328" t="s">
        <v>63</v>
      </c>
      <c r="P328" s="2">
        <v>0.4236111111111111</v>
      </c>
      <c r="Q328">
        <f>0.0003752988*3600</f>
        <v>1.3510756799999999</v>
      </c>
      <c r="R328">
        <f>-0.00075425*3600</f>
        <v>-2.7153</v>
      </c>
    </row>
    <row r="329" spans="1:18" x14ac:dyDescent="0.3">
      <c r="A329" s="4" t="s">
        <v>47</v>
      </c>
      <c r="B329" s="16" t="s">
        <v>96</v>
      </c>
      <c r="C329">
        <v>298.52754199999998</v>
      </c>
      <c r="D329">
        <v>100.48448500000001</v>
      </c>
      <c r="E329">
        <v>1</v>
      </c>
      <c r="F329">
        <v>1</v>
      </c>
      <c r="G329">
        <v>0.23899999999999999</v>
      </c>
      <c r="H329">
        <v>0</v>
      </c>
      <c r="J329" t="s">
        <v>0</v>
      </c>
      <c r="K329" t="s">
        <v>61</v>
      </c>
      <c r="L329">
        <v>0</v>
      </c>
      <c r="M329" t="s">
        <v>52</v>
      </c>
      <c r="N329">
        <v>1</v>
      </c>
      <c r="O329" t="s">
        <v>63</v>
      </c>
      <c r="P329" s="2">
        <v>0.4236111111111111</v>
      </c>
      <c r="Q329">
        <f>0.0003063296*3600</f>
        <v>1.10278656</v>
      </c>
      <c r="R329">
        <f>-0.0007318662*3600</f>
        <v>-2.6347183200000002</v>
      </c>
    </row>
    <row r="330" spans="1:18" x14ac:dyDescent="0.3">
      <c r="A330" s="4" t="s">
        <v>47</v>
      </c>
      <c r="B330" s="16" t="s">
        <v>97</v>
      </c>
      <c r="C330">
        <v>298.527287</v>
      </c>
      <c r="D330">
        <v>100.484486</v>
      </c>
      <c r="E330">
        <v>1</v>
      </c>
      <c r="F330">
        <v>1</v>
      </c>
      <c r="G330">
        <v>0.23899999999999999</v>
      </c>
      <c r="H330">
        <v>0</v>
      </c>
      <c r="J330" t="s">
        <v>0</v>
      </c>
      <c r="K330" t="s">
        <v>61</v>
      </c>
      <c r="L330">
        <v>0</v>
      </c>
      <c r="M330" t="s">
        <v>52</v>
      </c>
      <c r="N330">
        <v>1</v>
      </c>
      <c r="O330" t="s">
        <v>63</v>
      </c>
      <c r="P330" s="2">
        <v>0.4236111111111111</v>
      </c>
      <c r="Q330">
        <f>0.0003333151*3600</f>
        <v>1.1999343600000001</v>
      </c>
      <c r="R330">
        <f>-0.0007373922*3600</f>
        <v>-2.6546119199999998</v>
      </c>
    </row>
    <row r="331" spans="1:18" x14ac:dyDescent="0.3">
      <c r="A331" s="4" t="s">
        <v>47</v>
      </c>
      <c r="B331" s="16" t="s">
        <v>98</v>
      </c>
      <c r="C331">
        <v>298.52947399999999</v>
      </c>
      <c r="D331">
        <v>100.484477</v>
      </c>
      <c r="E331">
        <v>1</v>
      </c>
      <c r="F331">
        <v>1</v>
      </c>
      <c r="G331">
        <v>0.23899999999999999</v>
      </c>
      <c r="H331">
        <v>0</v>
      </c>
      <c r="J331" t="s">
        <v>0</v>
      </c>
      <c r="K331" t="s">
        <v>61</v>
      </c>
      <c r="L331">
        <v>0</v>
      </c>
      <c r="M331" t="s">
        <v>52</v>
      </c>
      <c r="N331">
        <v>1</v>
      </c>
      <c r="O331" t="s">
        <v>63</v>
      </c>
      <c r="P331" s="2">
        <v>0.4236111111111111</v>
      </c>
      <c r="Q331">
        <f>0.0003926687*3600</f>
        <v>1.4136073200000001</v>
      </c>
      <c r="R331">
        <f>-0.000694591*3600</f>
        <v>-2.5005276000000003</v>
      </c>
    </row>
    <row r="332" spans="1:18" x14ac:dyDescent="0.3">
      <c r="A332" s="4" t="s">
        <v>47</v>
      </c>
      <c r="B332" s="16" t="s">
        <v>99</v>
      </c>
      <c r="C332">
        <v>298.528661</v>
      </c>
      <c r="D332">
        <v>100.484353</v>
      </c>
      <c r="E332">
        <v>1</v>
      </c>
      <c r="F332">
        <v>1</v>
      </c>
      <c r="G332">
        <v>0.23899999999999999</v>
      </c>
      <c r="H332">
        <v>0</v>
      </c>
      <c r="J332" t="s">
        <v>0</v>
      </c>
      <c r="K332" t="s">
        <v>61</v>
      </c>
      <c r="L332">
        <v>0</v>
      </c>
      <c r="M332" t="s">
        <v>52</v>
      </c>
      <c r="N332">
        <v>1</v>
      </c>
      <c r="O332" t="s">
        <v>63</v>
      </c>
      <c r="P332" s="2">
        <v>0.4236111111111111</v>
      </c>
      <c r="Q332">
        <f>0.0003328747*3600</f>
        <v>1.1983489199999999</v>
      </c>
      <c r="R332">
        <f>-0.0007426652*3600</f>
        <v>-2.6735947199999996</v>
      </c>
    </row>
    <row r="333" spans="1:18" x14ac:dyDescent="0.3">
      <c r="A333" s="4" t="s">
        <v>47</v>
      </c>
      <c r="B333" s="16" t="s">
        <v>100</v>
      </c>
      <c r="C333">
        <v>298.52787999999998</v>
      </c>
      <c r="D333">
        <v>100.48316</v>
      </c>
      <c r="E333">
        <v>1</v>
      </c>
      <c r="F333">
        <v>1</v>
      </c>
      <c r="G333">
        <v>0.23899999999999999</v>
      </c>
      <c r="H333">
        <v>0</v>
      </c>
      <c r="J333" t="s">
        <v>0</v>
      </c>
      <c r="K333" t="s">
        <v>61</v>
      </c>
      <c r="L333">
        <v>0</v>
      </c>
      <c r="M333" t="s">
        <v>52</v>
      </c>
      <c r="N333">
        <v>1</v>
      </c>
      <c r="O333" t="s">
        <v>63</v>
      </c>
      <c r="P333" s="2">
        <v>0.4236111111111111</v>
      </c>
      <c r="Q333">
        <f>0.0003662039*3600</f>
        <v>1.3183340399999999</v>
      </c>
      <c r="R333">
        <f>-0.000751967*3600</f>
        <v>-2.7070811999999997</v>
      </c>
    </row>
    <row r="334" spans="1:18" x14ac:dyDescent="0.3">
      <c r="A334" s="4" t="s">
        <v>47</v>
      </c>
      <c r="B334" s="16" t="s">
        <v>101</v>
      </c>
      <c r="C334">
        <v>298.52745199999998</v>
      </c>
      <c r="D334">
        <v>100.483267</v>
      </c>
      <c r="E334">
        <v>1</v>
      </c>
      <c r="F334">
        <v>1</v>
      </c>
      <c r="G334">
        <v>0.23899999999999999</v>
      </c>
      <c r="H334">
        <v>0</v>
      </c>
      <c r="J334" t="s">
        <v>0</v>
      </c>
      <c r="K334" t="s">
        <v>61</v>
      </c>
      <c r="L334">
        <v>0</v>
      </c>
      <c r="M334" t="s">
        <v>52</v>
      </c>
      <c r="N334">
        <v>1</v>
      </c>
      <c r="O334" t="s">
        <v>63</v>
      </c>
      <c r="P334" s="2">
        <v>0.4236111111111111</v>
      </c>
      <c r="Q334">
        <f>0.0003409124*3600</f>
        <v>1.2272846399999999</v>
      </c>
      <c r="R334">
        <f>-0.0007730666*3600</f>
        <v>-2.7830397599999999</v>
      </c>
    </row>
    <row r="335" spans="1:18" x14ac:dyDescent="0.3">
      <c r="A335" s="4" t="s">
        <v>47</v>
      </c>
      <c r="B335" s="16" t="s">
        <v>102</v>
      </c>
      <c r="C335">
        <v>298.52728999999999</v>
      </c>
      <c r="D335">
        <v>100.48315700000001</v>
      </c>
      <c r="E335">
        <v>1</v>
      </c>
      <c r="F335">
        <v>1</v>
      </c>
      <c r="G335">
        <v>0.23899999999999999</v>
      </c>
      <c r="H335">
        <v>0</v>
      </c>
      <c r="J335" t="s">
        <v>0</v>
      </c>
      <c r="K335" t="s">
        <v>61</v>
      </c>
      <c r="L335">
        <v>3.4000000000000002E-2</v>
      </c>
      <c r="M335" t="s">
        <v>52</v>
      </c>
      <c r="N335">
        <v>1</v>
      </c>
      <c r="O335" t="s">
        <v>53</v>
      </c>
      <c r="P335" s="2">
        <v>0.4236111111111111</v>
      </c>
      <c r="Q335">
        <f>0.0003127125*3600</f>
        <v>1.1257649999999999</v>
      </c>
      <c r="R335">
        <f>-0.0007371036*3600</f>
        <v>-2.65357296</v>
      </c>
    </row>
    <row r="336" spans="1:18" x14ac:dyDescent="0.3">
      <c r="A336" s="4" t="s">
        <v>47</v>
      </c>
      <c r="B336" s="16" t="s">
        <v>103</v>
      </c>
      <c r="C336">
        <v>298.52719200000001</v>
      </c>
      <c r="D336">
        <v>100.48306100000001</v>
      </c>
      <c r="E336">
        <v>1</v>
      </c>
      <c r="F336">
        <v>1</v>
      </c>
      <c r="G336">
        <v>0.23899999999999999</v>
      </c>
      <c r="H336">
        <v>0</v>
      </c>
      <c r="J336" t="s">
        <v>0</v>
      </c>
      <c r="K336" t="s">
        <v>61</v>
      </c>
      <c r="L336">
        <v>0</v>
      </c>
      <c r="M336" t="s">
        <v>52</v>
      </c>
      <c r="N336">
        <v>1</v>
      </c>
      <c r="O336" t="s">
        <v>63</v>
      </c>
      <c r="P336" s="2">
        <v>0.4236111111111111</v>
      </c>
      <c r="Q336">
        <f>0.000296098*3600</f>
        <v>1.0659528</v>
      </c>
      <c r="R336">
        <f>-0.0007827403*3600</f>
        <v>-2.8178650799999998</v>
      </c>
    </row>
    <row r="337" spans="1:19" x14ac:dyDescent="0.3">
      <c r="A337" s="4" t="s">
        <v>47</v>
      </c>
      <c r="B337" s="16" t="s">
        <v>104</v>
      </c>
      <c r="C337">
        <v>298.52966199999997</v>
      </c>
      <c r="D337">
        <v>100.723433</v>
      </c>
      <c r="E337">
        <v>13.124499999999999</v>
      </c>
      <c r="F337">
        <v>13.1214</v>
      </c>
      <c r="G337">
        <v>0.23899999999999999</v>
      </c>
      <c r="H337">
        <v>0</v>
      </c>
      <c r="J337" t="s">
        <v>0</v>
      </c>
      <c r="K337" t="s">
        <v>61</v>
      </c>
      <c r="L337">
        <v>0</v>
      </c>
      <c r="M337" t="s">
        <v>52</v>
      </c>
      <c r="N337">
        <v>1</v>
      </c>
      <c r="O337" t="s">
        <v>63</v>
      </c>
      <c r="P337" s="2">
        <v>0.4236111111111111</v>
      </c>
      <c r="Q337">
        <f>0.0004110779*3600</f>
        <v>1.4798804400000001</v>
      </c>
      <c r="R337">
        <f>-0.0007013797*3600</f>
        <v>-2.5249669200000002</v>
      </c>
    </row>
    <row r="338" spans="1:19" x14ac:dyDescent="0.3">
      <c r="A338" s="4" t="s">
        <v>47</v>
      </c>
      <c r="B338" s="16" t="s">
        <v>105</v>
      </c>
      <c r="C338">
        <v>298.52909199999999</v>
      </c>
      <c r="D338">
        <v>100.42062300000001</v>
      </c>
      <c r="E338">
        <v>1</v>
      </c>
      <c r="F338">
        <v>1</v>
      </c>
      <c r="G338">
        <v>0.23899999999999999</v>
      </c>
      <c r="H338">
        <v>0</v>
      </c>
      <c r="J338" t="s">
        <v>0</v>
      </c>
      <c r="K338" t="s">
        <v>61</v>
      </c>
      <c r="L338">
        <v>0</v>
      </c>
      <c r="M338" t="s">
        <v>52</v>
      </c>
      <c r="N338">
        <v>1</v>
      </c>
      <c r="O338" t="s">
        <v>63</v>
      </c>
      <c r="P338" s="2">
        <v>0.4236111111111111</v>
      </c>
      <c r="Q338">
        <f>0.0002980064*3600</f>
        <v>1.0728230400000001</v>
      </c>
      <c r="R338">
        <f>-0.0006966743*3600</f>
        <v>-2.50802748</v>
      </c>
    </row>
    <row r="339" spans="1:19" x14ac:dyDescent="0.3">
      <c r="A339" s="4" t="s">
        <v>47</v>
      </c>
      <c r="B339" s="16" t="s">
        <v>106</v>
      </c>
      <c r="C339">
        <v>298.52819899999997</v>
      </c>
      <c r="D339">
        <v>100.420506</v>
      </c>
      <c r="E339">
        <v>1</v>
      </c>
      <c r="F339">
        <v>1</v>
      </c>
      <c r="G339">
        <v>0.23899999999999999</v>
      </c>
      <c r="H339">
        <v>0</v>
      </c>
      <c r="J339" t="s">
        <v>0</v>
      </c>
      <c r="K339" t="s">
        <v>50</v>
      </c>
      <c r="L339" t="s">
        <v>51</v>
      </c>
      <c r="M339">
        <v>0</v>
      </c>
      <c r="N339" t="s">
        <v>57</v>
      </c>
      <c r="O339">
        <v>1</v>
      </c>
      <c r="P339" t="s">
        <v>53</v>
      </c>
      <c r="Q339" s="2">
        <v>0.42569444444444443</v>
      </c>
      <c r="R339">
        <f>0.0002821801*3600</f>
        <v>1.0158483600000001</v>
      </c>
      <c r="S339">
        <f>-0.0007681195*3600</f>
        <v>-2.7652302</v>
      </c>
    </row>
    <row r="340" spans="1:19" x14ac:dyDescent="0.3">
      <c r="A340" s="4" t="s">
        <v>47</v>
      </c>
      <c r="B340" s="16" t="s">
        <v>107</v>
      </c>
      <c r="C340">
        <v>298.52837299999999</v>
      </c>
      <c r="D340">
        <v>100.420518</v>
      </c>
      <c r="E340">
        <v>1</v>
      </c>
      <c r="F340">
        <v>1</v>
      </c>
      <c r="G340">
        <v>0.23899999999999999</v>
      </c>
      <c r="H340">
        <v>0</v>
      </c>
      <c r="J340" t="s">
        <v>0</v>
      </c>
      <c r="K340" t="s">
        <v>50</v>
      </c>
      <c r="L340" t="s">
        <v>51</v>
      </c>
      <c r="M340">
        <v>0</v>
      </c>
      <c r="N340" t="s">
        <v>57</v>
      </c>
      <c r="O340">
        <v>1</v>
      </c>
      <c r="P340" t="s">
        <v>53</v>
      </c>
      <c r="Q340" s="2">
        <v>0.42569444444444443</v>
      </c>
      <c r="R340">
        <f>0.0003410485*3600</f>
        <v>1.2277746</v>
      </c>
      <c r="S340">
        <f>-0.0007087151*3600</f>
        <v>-2.5513743600000001</v>
      </c>
    </row>
    <row r="341" spans="1:19" x14ac:dyDescent="0.3">
      <c r="A341" s="4" t="s">
        <v>47</v>
      </c>
      <c r="B341" s="16" t="s">
        <v>108</v>
      </c>
      <c r="C341">
        <v>298.52900899999997</v>
      </c>
      <c r="D341">
        <v>100.42056100000001</v>
      </c>
      <c r="E341">
        <v>1</v>
      </c>
      <c r="F341">
        <v>1</v>
      </c>
      <c r="G341">
        <v>0.23899999999999999</v>
      </c>
      <c r="H341">
        <v>0</v>
      </c>
      <c r="J341" t="s">
        <v>0</v>
      </c>
      <c r="K341" t="s">
        <v>50</v>
      </c>
      <c r="L341" t="s">
        <v>51</v>
      </c>
      <c r="M341">
        <v>0</v>
      </c>
      <c r="N341" t="s">
        <v>57</v>
      </c>
      <c r="O341">
        <v>1</v>
      </c>
      <c r="P341" t="s">
        <v>53</v>
      </c>
      <c r="Q341" s="2">
        <v>0.42569444444444443</v>
      </c>
      <c r="R341">
        <f>0.0003557689*3600</f>
        <v>1.2807680399999999</v>
      </c>
      <c r="S341">
        <f>-0.0006745029*3600</f>
        <v>-2.42821044</v>
      </c>
    </row>
    <row r="342" spans="1:19" x14ac:dyDescent="0.3">
      <c r="A342" s="4" t="s">
        <v>47</v>
      </c>
      <c r="B342" s="16" t="s">
        <v>109</v>
      </c>
      <c r="C342">
        <v>298.52831200000003</v>
      </c>
      <c r="D342">
        <v>100.420529</v>
      </c>
      <c r="E342">
        <v>1</v>
      </c>
      <c r="F342">
        <v>1</v>
      </c>
      <c r="G342">
        <v>0.23899999999999999</v>
      </c>
      <c r="H342">
        <v>0</v>
      </c>
      <c r="J342" t="s">
        <v>0</v>
      </c>
      <c r="K342" t="s">
        <v>50</v>
      </c>
      <c r="L342" t="s">
        <v>51</v>
      </c>
      <c r="M342">
        <v>0</v>
      </c>
      <c r="N342" t="s">
        <v>57</v>
      </c>
      <c r="O342">
        <v>1</v>
      </c>
      <c r="P342" t="s">
        <v>53</v>
      </c>
      <c r="Q342" s="2">
        <v>0.42569444444444443</v>
      </c>
      <c r="R342">
        <f>0.0003312595*3600</f>
        <v>1.1925341999999999</v>
      </c>
      <c r="S342">
        <f>-0.0007572688*3600</f>
        <v>-2.7261676800000001</v>
      </c>
    </row>
    <row r="343" spans="1:19" x14ac:dyDescent="0.3">
      <c r="A343" s="4" t="s">
        <v>47</v>
      </c>
      <c r="B343" s="16" t="s">
        <v>110</v>
      </c>
      <c r="C343">
        <v>298.52854200000002</v>
      </c>
      <c r="D343">
        <v>100.420557</v>
      </c>
      <c r="E343">
        <v>1</v>
      </c>
      <c r="F343">
        <v>1</v>
      </c>
      <c r="G343">
        <v>0.23899999999999999</v>
      </c>
      <c r="H343">
        <v>0</v>
      </c>
      <c r="J343" t="s">
        <v>0</v>
      </c>
      <c r="K343" t="s">
        <v>50</v>
      </c>
      <c r="L343" t="s">
        <v>51</v>
      </c>
      <c r="M343">
        <v>0</v>
      </c>
      <c r="N343" t="s">
        <v>57</v>
      </c>
      <c r="O343">
        <v>1</v>
      </c>
      <c r="P343" t="s">
        <v>53</v>
      </c>
      <c r="Q343" s="2">
        <v>0.42569444444444443</v>
      </c>
      <c r="R343">
        <f>0.0003165522*3600</f>
        <v>1.1395879200000001</v>
      </c>
      <c r="S343">
        <f>-0.0007473796*3600</f>
        <v>-2.6905665600000002</v>
      </c>
    </row>
    <row r="344" spans="1:19" x14ac:dyDescent="0.3">
      <c r="A344" s="4" t="s">
        <v>47</v>
      </c>
      <c r="B344" s="16" t="s">
        <v>111</v>
      </c>
      <c r="C344">
        <v>298.52760499999999</v>
      </c>
      <c r="D344">
        <v>100.42050399999999</v>
      </c>
      <c r="E344">
        <v>1</v>
      </c>
      <c r="F344">
        <v>1</v>
      </c>
      <c r="G344">
        <v>0.23899999999999999</v>
      </c>
      <c r="H344">
        <v>0</v>
      </c>
      <c r="J344" t="s">
        <v>0</v>
      </c>
      <c r="K344" t="s">
        <v>50</v>
      </c>
      <c r="L344" t="s">
        <v>51</v>
      </c>
      <c r="M344">
        <v>0</v>
      </c>
      <c r="N344" t="s">
        <v>57</v>
      </c>
      <c r="O344">
        <v>1</v>
      </c>
      <c r="P344" t="s">
        <v>53</v>
      </c>
      <c r="Q344" s="2">
        <v>0.42569444444444443</v>
      </c>
      <c r="R344">
        <f>0.0003848385*3600</f>
        <v>1.3854185999999999</v>
      </c>
      <c r="S344">
        <f>-0.0006883741*3600</f>
        <v>-2.47814676</v>
      </c>
    </row>
    <row r="345" spans="1:19" x14ac:dyDescent="0.3">
      <c r="A345" s="4" t="s">
        <v>47</v>
      </c>
      <c r="B345" s="16" t="s">
        <v>112</v>
      </c>
      <c r="C345">
        <v>298.52781499999998</v>
      </c>
      <c r="D345">
        <v>100.42044799999999</v>
      </c>
      <c r="E345">
        <v>1</v>
      </c>
      <c r="F345">
        <v>1</v>
      </c>
      <c r="G345">
        <v>0.23899999999999999</v>
      </c>
      <c r="H345">
        <v>0</v>
      </c>
      <c r="J345" t="s">
        <v>0</v>
      </c>
      <c r="K345" t="s">
        <v>50</v>
      </c>
      <c r="L345" t="s">
        <v>51</v>
      </c>
      <c r="M345">
        <v>0</v>
      </c>
      <c r="N345" t="s">
        <v>57</v>
      </c>
      <c r="O345">
        <v>1</v>
      </c>
      <c r="P345" t="s">
        <v>53</v>
      </c>
      <c r="Q345" s="2">
        <v>0.42569444444444443</v>
      </c>
      <c r="R345">
        <f>0.000309734*3600</f>
        <v>1.1150423999999999</v>
      </c>
      <c r="S345">
        <f>-0.0007606066*3600</f>
        <v>-2.7381837600000001</v>
      </c>
    </row>
    <row r="346" spans="1:19" x14ac:dyDescent="0.3">
      <c r="A346" s="4" t="s">
        <v>47</v>
      </c>
      <c r="B346" s="16" t="s">
        <v>113</v>
      </c>
      <c r="C346">
        <v>298.527492</v>
      </c>
      <c r="D346">
        <v>100.420428</v>
      </c>
      <c r="E346">
        <v>1</v>
      </c>
      <c r="F346">
        <v>1</v>
      </c>
      <c r="G346">
        <v>0.23899999999999999</v>
      </c>
      <c r="H346">
        <v>0</v>
      </c>
      <c r="J346" t="s">
        <v>0</v>
      </c>
      <c r="K346" t="s">
        <v>50</v>
      </c>
      <c r="L346" t="s">
        <v>51</v>
      </c>
      <c r="M346">
        <v>0</v>
      </c>
      <c r="N346" t="s">
        <v>57</v>
      </c>
      <c r="O346">
        <v>1</v>
      </c>
      <c r="P346" t="s">
        <v>53</v>
      </c>
      <c r="Q346" s="2">
        <v>0.42569444444444443</v>
      </c>
      <c r="R346">
        <f>0.0002971217*3600</f>
        <v>1.06963812</v>
      </c>
      <c r="S346">
        <f>-0.0008054613*3600</f>
        <v>-2.8996606800000002</v>
      </c>
    </row>
    <row r="347" spans="1:19" x14ac:dyDescent="0.3">
      <c r="A347" s="4" t="s">
        <v>47</v>
      </c>
      <c r="B347" s="16" t="s">
        <v>114</v>
      </c>
      <c r="C347">
        <v>298.52816999999999</v>
      </c>
      <c r="D347">
        <v>100.420418</v>
      </c>
      <c r="E347">
        <v>1</v>
      </c>
      <c r="F347">
        <v>1</v>
      </c>
      <c r="G347">
        <v>0.23899999999999999</v>
      </c>
      <c r="H347">
        <v>0</v>
      </c>
      <c r="J347" t="s">
        <v>0</v>
      </c>
      <c r="K347" t="s">
        <v>50</v>
      </c>
      <c r="L347" t="s">
        <v>51</v>
      </c>
      <c r="M347">
        <v>0</v>
      </c>
      <c r="N347" t="s">
        <v>57</v>
      </c>
      <c r="O347">
        <v>1</v>
      </c>
      <c r="P347" t="s">
        <v>53</v>
      </c>
      <c r="Q347" s="2">
        <v>0.42569444444444443</v>
      </c>
      <c r="R347">
        <f>0.000306806*3600</f>
        <v>1.1045016000000001</v>
      </c>
      <c r="S347">
        <f>-0.0007168726*3600</f>
        <v>-2.5807413600000002</v>
      </c>
    </row>
    <row r="348" spans="1:19" x14ac:dyDescent="0.3">
      <c r="A348" s="4" t="s">
        <v>47</v>
      </c>
      <c r="B348" s="16" t="s">
        <v>115</v>
      </c>
      <c r="C348">
        <v>298.52790800000002</v>
      </c>
      <c r="D348">
        <v>100.42021200000001</v>
      </c>
      <c r="E348">
        <v>1</v>
      </c>
      <c r="F348">
        <v>1</v>
      </c>
      <c r="G348">
        <v>0.23899999999999999</v>
      </c>
      <c r="H348">
        <v>0</v>
      </c>
      <c r="J348" t="s">
        <v>0</v>
      </c>
      <c r="K348" t="s">
        <v>50</v>
      </c>
      <c r="L348" t="s">
        <v>51</v>
      </c>
      <c r="M348">
        <v>0</v>
      </c>
      <c r="N348" t="s">
        <v>57</v>
      </c>
      <c r="O348">
        <v>1</v>
      </c>
      <c r="P348" t="s">
        <v>53</v>
      </c>
      <c r="Q348" s="2">
        <v>0.42569444444444443</v>
      </c>
      <c r="R348">
        <f>0.0002688715*3600</f>
        <v>0.96793740000000006</v>
      </c>
      <c r="S348">
        <f>-0.000811101*3600</f>
        <v>-2.9199636</v>
      </c>
    </row>
    <row r="349" spans="1:19" x14ac:dyDescent="0.3">
      <c r="A349" s="4" t="s">
        <v>47</v>
      </c>
      <c r="B349" s="16" t="s">
        <v>116</v>
      </c>
      <c r="C349">
        <v>298.52766500000001</v>
      </c>
      <c r="D349">
        <v>100.42036299999999</v>
      </c>
      <c r="E349">
        <v>1</v>
      </c>
      <c r="F349">
        <v>1</v>
      </c>
      <c r="G349">
        <v>0.23899999999999999</v>
      </c>
      <c r="H349">
        <v>0</v>
      </c>
      <c r="J349" t="s">
        <v>0</v>
      </c>
      <c r="K349" t="s">
        <v>50</v>
      </c>
      <c r="L349" t="s">
        <v>51</v>
      </c>
      <c r="M349">
        <v>0</v>
      </c>
      <c r="N349" t="s">
        <v>57</v>
      </c>
      <c r="O349">
        <v>1</v>
      </c>
      <c r="P349" t="s">
        <v>53</v>
      </c>
      <c r="Q349" s="2">
        <v>0.42638888888888887</v>
      </c>
      <c r="R349">
        <f>0.0003289345*3600</f>
        <v>1.1841642000000001</v>
      </c>
      <c r="S349">
        <f>-0.000726526*3600</f>
        <v>-2.6154936000000002</v>
      </c>
    </row>
    <row r="350" spans="1:19" x14ac:dyDescent="0.3">
      <c r="A350" s="4" t="s">
        <v>47</v>
      </c>
      <c r="B350" s="16" t="s">
        <v>117</v>
      </c>
      <c r="C350">
        <v>298.53026499999999</v>
      </c>
      <c r="D350">
        <v>100.720373</v>
      </c>
      <c r="E350">
        <v>13.1248</v>
      </c>
      <c r="F350">
        <v>13.121700000000001</v>
      </c>
      <c r="G350">
        <v>0.23899999999999999</v>
      </c>
      <c r="H350">
        <v>0</v>
      </c>
      <c r="J350" t="s">
        <v>0</v>
      </c>
      <c r="K350" t="s">
        <v>50</v>
      </c>
      <c r="L350" t="s">
        <v>51</v>
      </c>
      <c r="M350">
        <v>0</v>
      </c>
      <c r="N350" t="s">
        <v>57</v>
      </c>
      <c r="O350">
        <v>1</v>
      </c>
      <c r="P350" t="s">
        <v>53</v>
      </c>
      <c r="Q350" s="2">
        <v>0.42638888888888887</v>
      </c>
      <c r="R350">
        <f>0.00034002*3600</f>
        <v>1.224072</v>
      </c>
      <c r="S350">
        <f>-0.0007148601*3600</f>
        <v>-2.57349636</v>
      </c>
    </row>
    <row r="351" spans="1:19" x14ac:dyDescent="0.3">
      <c r="A351" s="4" t="s">
        <v>47</v>
      </c>
      <c r="B351" s="16" t="s">
        <v>118</v>
      </c>
      <c r="C351">
        <v>298.52891899999997</v>
      </c>
      <c r="D351">
        <v>100.44155600000001</v>
      </c>
      <c r="E351">
        <v>1</v>
      </c>
      <c r="F351">
        <v>1</v>
      </c>
      <c r="G351">
        <v>0.23899999999999999</v>
      </c>
      <c r="H351">
        <v>0</v>
      </c>
      <c r="J351" t="s">
        <v>0</v>
      </c>
      <c r="K351" t="s">
        <v>50</v>
      </c>
      <c r="L351" t="s">
        <v>51</v>
      </c>
      <c r="M351">
        <v>0</v>
      </c>
      <c r="N351" t="s">
        <v>57</v>
      </c>
      <c r="O351">
        <v>1</v>
      </c>
      <c r="P351" t="s">
        <v>53</v>
      </c>
      <c r="Q351" s="2">
        <v>0.42638888888888887</v>
      </c>
      <c r="R351">
        <f>0.0004166997*3600</f>
        <v>1.50011892</v>
      </c>
      <c r="S351">
        <f>-0.0006539698*3600</f>
        <v>-2.35429128</v>
      </c>
    </row>
    <row r="352" spans="1:19" x14ac:dyDescent="0.3">
      <c r="A352" s="4" t="s">
        <v>47</v>
      </c>
      <c r="B352" s="16" t="s">
        <v>119</v>
      </c>
      <c r="C352">
        <v>298.52929799999998</v>
      </c>
      <c r="D352">
        <v>100.441579</v>
      </c>
      <c r="E352">
        <v>1</v>
      </c>
      <c r="F352">
        <v>1</v>
      </c>
      <c r="G352">
        <v>0.23899999999999999</v>
      </c>
      <c r="H352">
        <v>0</v>
      </c>
      <c r="J352" t="s">
        <v>0</v>
      </c>
      <c r="K352" t="s">
        <v>50</v>
      </c>
      <c r="L352" t="s">
        <v>51</v>
      </c>
      <c r="M352">
        <v>0</v>
      </c>
      <c r="N352" t="s">
        <v>57</v>
      </c>
      <c r="O352">
        <v>1</v>
      </c>
      <c r="P352" t="s">
        <v>53</v>
      </c>
      <c r="Q352" s="2">
        <v>0.42638888888888887</v>
      </c>
      <c r="R352">
        <f>0.0003016037*3600</f>
        <v>1.0857733199999999</v>
      </c>
      <c r="S352">
        <f>-0.0007581473*3600</f>
        <v>-2.7293302800000001</v>
      </c>
    </row>
    <row r="353" spans="1:19" x14ac:dyDescent="0.3">
      <c r="A353" s="4" t="s">
        <v>47</v>
      </c>
      <c r="B353" s="16" t="s">
        <v>120</v>
      </c>
      <c r="C353">
        <v>298.52737000000002</v>
      </c>
      <c r="D353">
        <v>100.44126799999999</v>
      </c>
      <c r="E353">
        <v>1</v>
      </c>
      <c r="F353">
        <v>1</v>
      </c>
      <c r="G353">
        <v>0.23899999999999999</v>
      </c>
      <c r="H353">
        <v>0</v>
      </c>
      <c r="J353" t="s">
        <v>0</v>
      </c>
      <c r="K353" t="s">
        <v>50</v>
      </c>
      <c r="L353" t="s">
        <v>51</v>
      </c>
      <c r="M353">
        <v>0</v>
      </c>
      <c r="N353" t="s">
        <v>57</v>
      </c>
      <c r="O353">
        <v>1</v>
      </c>
      <c r="P353" t="s">
        <v>53</v>
      </c>
      <c r="Q353" s="2">
        <v>0.42638888888888887</v>
      </c>
      <c r="R353">
        <f>0.000394635*3600</f>
        <v>1.4206860000000001</v>
      </c>
      <c r="S353">
        <f>-0.0007124779*3600</f>
        <v>-2.5649204399999999</v>
      </c>
    </row>
    <row r="354" spans="1:19" x14ac:dyDescent="0.3">
      <c r="A354" s="4" t="s">
        <v>47</v>
      </c>
      <c r="B354" s="16" t="s">
        <v>121</v>
      </c>
      <c r="C354">
        <v>298.52798999999999</v>
      </c>
      <c r="D354">
        <v>100.441312</v>
      </c>
      <c r="E354">
        <v>1</v>
      </c>
      <c r="F354">
        <v>1</v>
      </c>
      <c r="G354">
        <v>0.23899999999999999</v>
      </c>
      <c r="H354">
        <v>0</v>
      </c>
      <c r="J354" t="s">
        <v>0</v>
      </c>
      <c r="K354" t="s">
        <v>50</v>
      </c>
      <c r="L354" t="s">
        <v>51</v>
      </c>
      <c r="M354">
        <v>0</v>
      </c>
      <c r="N354" t="s">
        <v>57</v>
      </c>
      <c r="O354">
        <v>1</v>
      </c>
      <c r="P354" t="s">
        <v>53</v>
      </c>
      <c r="Q354" s="2">
        <v>0.42638888888888887</v>
      </c>
      <c r="R354">
        <f>0.0004527309*3600</f>
        <v>1.6298312400000001</v>
      </c>
      <c r="S354">
        <f>-0.0006107111*3600</f>
        <v>-2.1985599600000003</v>
      </c>
    </row>
    <row r="355" spans="1:19" x14ac:dyDescent="0.3">
      <c r="A355" s="4" t="s">
        <v>47</v>
      </c>
      <c r="B355" s="16" t="s">
        <v>122</v>
      </c>
      <c r="C355">
        <v>298.52768099999997</v>
      </c>
      <c r="D355">
        <v>100.44146600000001</v>
      </c>
      <c r="E355">
        <v>1</v>
      </c>
      <c r="F355">
        <v>1</v>
      </c>
      <c r="G355">
        <v>0.23899999999999999</v>
      </c>
      <c r="H355">
        <v>0</v>
      </c>
      <c r="J355" t="s">
        <v>0</v>
      </c>
      <c r="K355" t="s">
        <v>50</v>
      </c>
      <c r="L355" t="s">
        <v>51</v>
      </c>
      <c r="M355">
        <v>0</v>
      </c>
      <c r="N355" t="s">
        <v>57</v>
      </c>
      <c r="O355">
        <v>1</v>
      </c>
      <c r="P355" t="s">
        <v>53</v>
      </c>
      <c r="Q355" s="2">
        <v>0.42638888888888887</v>
      </c>
      <c r="R355">
        <f>0.0004666043*3600</f>
        <v>1.67977548</v>
      </c>
      <c r="S355">
        <f>-0.0006160318*3600</f>
        <v>-2.2177144800000002</v>
      </c>
    </row>
    <row r="356" spans="1:19" x14ac:dyDescent="0.3">
      <c r="A356" s="4" t="s">
        <v>47</v>
      </c>
      <c r="B356" s="16" t="s">
        <v>123</v>
      </c>
      <c r="C356">
        <v>298.52771799999999</v>
      </c>
      <c r="D356">
        <v>100.44137000000001</v>
      </c>
      <c r="E356">
        <v>1</v>
      </c>
      <c r="F356">
        <v>1</v>
      </c>
      <c r="G356">
        <v>0.23899999999999999</v>
      </c>
      <c r="H356">
        <v>0</v>
      </c>
      <c r="J356" t="s">
        <v>0</v>
      </c>
      <c r="K356" t="s">
        <v>50</v>
      </c>
      <c r="L356" t="s">
        <v>51</v>
      </c>
      <c r="M356">
        <v>0</v>
      </c>
      <c r="N356" t="s">
        <v>57</v>
      </c>
      <c r="O356">
        <v>1</v>
      </c>
      <c r="P356" t="s">
        <v>53</v>
      </c>
      <c r="Q356" s="2">
        <v>0.42638888888888887</v>
      </c>
      <c r="R356">
        <f>0.0004123077*3600</f>
        <v>1.4843077200000001</v>
      </c>
      <c r="S356">
        <f>-0.0006982822*3600</f>
        <v>-2.5138159199999999</v>
      </c>
    </row>
    <row r="357" spans="1:19" x14ac:dyDescent="0.3">
      <c r="A357" s="4" t="s">
        <v>47</v>
      </c>
      <c r="B357" s="16" t="s">
        <v>124</v>
      </c>
      <c r="C357">
        <v>298.52821</v>
      </c>
      <c r="D357">
        <v>100.44131</v>
      </c>
      <c r="E357">
        <v>1</v>
      </c>
      <c r="F357">
        <v>1</v>
      </c>
      <c r="G357">
        <v>0.23899999999999999</v>
      </c>
      <c r="H357">
        <v>0</v>
      </c>
      <c r="J357" t="s">
        <v>0</v>
      </c>
      <c r="K357" t="s">
        <v>50</v>
      </c>
      <c r="L357" t="s">
        <v>51</v>
      </c>
      <c r="M357">
        <v>0</v>
      </c>
      <c r="N357" t="s">
        <v>57</v>
      </c>
      <c r="O357">
        <v>1</v>
      </c>
      <c r="P357" t="s">
        <v>53</v>
      </c>
      <c r="Q357" s="2">
        <v>0.42638888888888887</v>
      </c>
      <c r="R357">
        <f>0.0004190031*3600</f>
        <v>1.5084111600000001</v>
      </c>
      <c r="S357">
        <f>-0.000714696*3600</f>
        <v>-2.5729055999999999</v>
      </c>
    </row>
    <row r="358" spans="1:19" x14ac:dyDescent="0.3">
      <c r="A358" s="4" t="s">
        <v>47</v>
      </c>
      <c r="B358" s="16" t="s">
        <v>125</v>
      </c>
      <c r="C358">
        <v>298.52842299999998</v>
      </c>
      <c r="D358">
        <v>100.720795</v>
      </c>
      <c r="E358">
        <v>13.124499999999999</v>
      </c>
      <c r="F358">
        <v>13.1214</v>
      </c>
      <c r="G358">
        <v>0.23899999999999999</v>
      </c>
      <c r="H358">
        <v>0</v>
      </c>
      <c r="J358" t="s">
        <v>0</v>
      </c>
      <c r="K358" t="s">
        <v>50</v>
      </c>
      <c r="L358" t="s">
        <v>51</v>
      </c>
      <c r="M358">
        <v>0</v>
      </c>
      <c r="N358" t="s">
        <v>57</v>
      </c>
      <c r="O358">
        <v>1</v>
      </c>
      <c r="P358" t="s">
        <v>53</v>
      </c>
      <c r="Q358" s="2">
        <v>0.42638888888888887</v>
      </c>
      <c r="R358">
        <f>0.0003800704*3600</f>
        <v>1.3682534400000002</v>
      </c>
      <c r="S358">
        <f>-0.0007199268*3600</f>
        <v>-2.5917364800000002</v>
      </c>
    </row>
    <row r="359" spans="1:19" x14ac:dyDescent="0.3">
      <c r="A359" s="4" t="s">
        <v>47</v>
      </c>
      <c r="B359" s="16" t="s">
        <v>126</v>
      </c>
      <c r="C359">
        <v>98.529748999999995</v>
      </c>
      <c r="D359">
        <v>299.26165099999997</v>
      </c>
      <c r="E359">
        <v>13.124700000000001</v>
      </c>
      <c r="F359">
        <v>13.121499999999999</v>
      </c>
      <c r="G359">
        <v>0.23899999999999999</v>
      </c>
      <c r="H359">
        <v>0</v>
      </c>
      <c r="J359" t="s">
        <v>0</v>
      </c>
      <c r="K359" t="s">
        <v>50</v>
      </c>
      <c r="L359" t="s">
        <v>51</v>
      </c>
      <c r="M359">
        <v>0</v>
      </c>
      <c r="N359" t="s">
        <v>57</v>
      </c>
      <c r="O359">
        <v>1</v>
      </c>
      <c r="P359" t="s">
        <v>53</v>
      </c>
      <c r="Q359" s="2">
        <v>0.42638888888888887</v>
      </c>
      <c r="R359">
        <f>0.0003351492*3600</f>
        <v>1.2065371199999999</v>
      </c>
      <c r="S359">
        <f>-0.0007614035*3600</f>
        <v>-2.7410525999999997</v>
      </c>
    </row>
    <row r="360" spans="1:19" x14ac:dyDescent="0.3">
      <c r="A360" s="4" t="s">
        <v>47</v>
      </c>
      <c r="B360" s="16" t="s">
        <v>127</v>
      </c>
      <c r="C360">
        <v>98.528953999999999</v>
      </c>
      <c r="D360">
        <v>299.26160299999998</v>
      </c>
      <c r="E360">
        <v>1</v>
      </c>
      <c r="F360">
        <v>1</v>
      </c>
      <c r="G360">
        <v>0.23899999999999999</v>
      </c>
      <c r="H360">
        <v>0</v>
      </c>
      <c r="J360" t="s">
        <v>0</v>
      </c>
      <c r="K360" t="s">
        <v>50</v>
      </c>
      <c r="L360" t="s">
        <v>51</v>
      </c>
      <c r="M360">
        <v>0</v>
      </c>
      <c r="N360" t="s">
        <v>57</v>
      </c>
      <c r="O360">
        <v>1</v>
      </c>
      <c r="P360" t="s">
        <v>53</v>
      </c>
      <c r="Q360" s="2">
        <v>0.42638888888888887</v>
      </c>
      <c r="R360">
        <f>0.0004433222*3600</f>
        <v>1.5959599200000001</v>
      </c>
      <c r="S360">
        <f>-0.0006650094*3600</f>
        <v>-2.3940338400000001</v>
      </c>
    </row>
    <row r="361" spans="1:19" x14ac:dyDescent="0.3">
      <c r="A361" s="4" t="s">
        <v>47</v>
      </c>
      <c r="B361" s="16" t="s">
        <v>128</v>
      </c>
      <c r="C361">
        <v>98.528313999999995</v>
      </c>
      <c r="D361">
        <v>299.53885700000001</v>
      </c>
      <c r="E361">
        <v>1</v>
      </c>
      <c r="F361">
        <v>1</v>
      </c>
      <c r="G361">
        <v>0.23899999999999999</v>
      </c>
      <c r="H361">
        <v>0</v>
      </c>
      <c r="J361" t="s">
        <v>0</v>
      </c>
      <c r="K361" t="s">
        <v>50</v>
      </c>
      <c r="L361" t="s">
        <v>51</v>
      </c>
      <c r="M361">
        <v>0</v>
      </c>
      <c r="N361" t="s">
        <v>57</v>
      </c>
      <c r="O361">
        <v>1</v>
      </c>
      <c r="P361" t="s">
        <v>53</v>
      </c>
      <c r="Q361" s="2">
        <v>0.42638888888888887</v>
      </c>
      <c r="R361">
        <f>0.0003718346*3600</f>
        <v>1.3386045600000001</v>
      </c>
      <c r="S361">
        <f>-0.0007118546*3600</f>
        <v>-2.5626765600000003</v>
      </c>
    </row>
    <row r="362" spans="1:19" x14ac:dyDescent="0.3">
      <c r="A362" s="4" t="s">
        <v>47</v>
      </c>
      <c r="B362" s="16" t="s">
        <v>129</v>
      </c>
      <c r="C362">
        <v>98.529196999999996</v>
      </c>
      <c r="D362">
        <v>299.53891099999998</v>
      </c>
      <c r="E362">
        <v>1</v>
      </c>
      <c r="F362">
        <v>1</v>
      </c>
      <c r="G362">
        <v>0.23899999999999999</v>
      </c>
      <c r="H362">
        <v>0</v>
      </c>
      <c r="J362" t="s">
        <v>0</v>
      </c>
      <c r="K362" t="s">
        <v>50</v>
      </c>
      <c r="L362" t="s">
        <v>51</v>
      </c>
      <c r="M362">
        <v>0</v>
      </c>
      <c r="N362" t="s">
        <v>57</v>
      </c>
      <c r="O362">
        <v>1</v>
      </c>
      <c r="P362" t="s">
        <v>53</v>
      </c>
      <c r="Q362" s="2">
        <v>0.42638888888888887</v>
      </c>
      <c r="R362">
        <f>0.000460359*3600</f>
        <v>1.6572924</v>
      </c>
      <c r="S362">
        <f>-0.0006263165*3600</f>
        <v>-2.2547394000000001</v>
      </c>
    </row>
    <row r="363" spans="1:19" x14ac:dyDescent="0.3">
      <c r="A363" s="4" t="s">
        <v>47</v>
      </c>
      <c r="B363" s="16" t="s">
        <v>130</v>
      </c>
      <c r="C363">
        <v>98.529004999999998</v>
      </c>
      <c r="D363">
        <v>299.53902199999999</v>
      </c>
      <c r="E363">
        <v>1</v>
      </c>
      <c r="F363">
        <v>1</v>
      </c>
      <c r="G363">
        <v>0.23899999999999999</v>
      </c>
      <c r="H363">
        <v>0</v>
      </c>
      <c r="J363" t="s">
        <v>0</v>
      </c>
      <c r="K363" t="s">
        <v>50</v>
      </c>
      <c r="L363" t="s">
        <v>51</v>
      </c>
      <c r="M363">
        <v>0</v>
      </c>
      <c r="N363" t="s">
        <v>57</v>
      </c>
      <c r="O363">
        <v>1</v>
      </c>
      <c r="P363" t="s">
        <v>53</v>
      </c>
      <c r="Q363" s="2">
        <v>0.42708333333333331</v>
      </c>
      <c r="R363">
        <f>0.0003519043*3600</f>
        <v>1.26685548</v>
      </c>
      <c r="S363">
        <f>-0.0007273174*3600</f>
        <v>-2.6183426400000003</v>
      </c>
    </row>
    <row r="364" spans="1:19" x14ac:dyDescent="0.3">
      <c r="A364" s="4" t="s">
        <v>47</v>
      </c>
      <c r="B364" s="16" t="s">
        <v>131</v>
      </c>
      <c r="C364">
        <v>98.528675000000007</v>
      </c>
      <c r="D364">
        <v>299.53895999999997</v>
      </c>
      <c r="E364">
        <v>1</v>
      </c>
      <c r="F364">
        <v>1</v>
      </c>
      <c r="G364">
        <v>0.23899999999999999</v>
      </c>
      <c r="H364">
        <v>0</v>
      </c>
      <c r="J364" t="s">
        <v>0</v>
      </c>
      <c r="K364" t="s">
        <v>50</v>
      </c>
      <c r="L364" t="s">
        <v>51</v>
      </c>
      <c r="M364">
        <v>0</v>
      </c>
      <c r="N364" t="s">
        <v>57</v>
      </c>
      <c r="O364">
        <v>1</v>
      </c>
      <c r="P364" t="s">
        <v>53</v>
      </c>
      <c r="Q364" s="2">
        <v>0.42708333333333331</v>
      </c>
      <c r="R364">
        <f>0.0004435471*3600</f>
        <v>1.59676956</v>
      </c>
      <c r="S364">
        <f>-0.0006582963*3600</f>
        <v>-2.3698666800000003</v>
      </c>
    </row>
    <row r="365" spans="1:19" x14ac:dyDescent="0.3">
      <c r="A365" s="4" t="s">
        <v>47</v>
      </c>
      <c r="B365" s="16" t="s">
        <v>132</v>
      </c>
      <c r="C365">
        <v>98.529025000000004</v>
      </c>
      <c r="D365">
        <v>299.538951</v>
      </c>
      <c r="E365">
        <v>1</v>
      </c>
      <c r="F365">
        <v>1</v>
      </c>
      <c r="G365">
        <v>0.23899999999999999</v>
      </c>
      <c r="H365">
        <v>0</v>
      </c>
      <c r="J365" t="s">
        <v>0</v>
      </c>
      <c r="K365" t="s">
        <v>50</v>
      </c>
      <c r="L365" t="s">
        <v>51</v>
      </c>
      <c r="M365">
        <v>0</v>
      </c>
      <c r="N365" t="s">
        <v>57</v>
      </c>
      <c r="O365">
        <v>1</v>
      </c>
      <c r="P365" t="s">
        <v>53</v>
      </c>
      <c r="Q365" s="2">
        <v>0.42708333333333331</v>
      </c>
      <c r="R365">
        <f>0.0004058556*3600</f>
        <v>1.4610801599999999</v>
      </c>
      <c r="S365">
        <f>-0.0006699044*3600</f>
        <v>-2.4116558399999999</v>
      </c>
    </row>
    <row r="366" spans="1:19" x14ac:dyDescent="0.3">
      <c r="A366" s="4" t="s">
        <v>47</v>
      </c>
      <c r="B366" s="16" t="s">
        <v>133</v>
      </c>
      <c r="C366">
        <v>98.528913000000003</v>
      </c>
      <c r="D366">
        <v>299.53895799999998</v>
      </c>
      <c r="E366">
        <v>1</v>
      </c>
      <c r="F366">
        <v>1</v>
      </c>
      <c r="G366">
        <v>0.23899999999999999</v>
      </c>
      <c r="H366">
        <v>0</v>
      </c>
      <c r="J366" t="s">
        <v>0</v>
      </c>
      <c r="K366" t="s">
        <v>50</v>
      </c>
      <c r="L366" t="s">
        <v>51</v>
      </c>
      <c r="M366">
        <v>0</v>
      </c>
      <c r="N366" t="s">
        <v>57</v>
      </c>
      <c r="O366">
        <v>1</v>
      </c>
      <c r="P366" t="s">
        <v>53</v>
      </c>
      <c r="Q366" s="2">
        <v>0.42708333333333331</v>
      </c>
      <c r="R366">
        <f>0.0003901844*3600</f>
        <v>1.40466384</v>
      </c>
      <c r="S366">
        <f>-0.0007230084*3600</f>
        <v>-2.6028302399999999</v>
      </c>
    </row>
    <row r="367" spans="1:19" x14ac:dyDescent="0.3">
      <c r="A367" s="4" t="s">
        <v>47</v>
      </c>
      <c r="B367" s="16" t="s">
        <v>134</v>
      </c>
      <c r="C367">
        <v>98.529724000000002</v>
      </c>
      <c r="D367">
        <v>299.53892100000002</v>
      </c>
      <c r="E367">
        <v>1</v>
      </c>
      <c r="F367">
        <v>1</v>
      </c>
      <c r="G367">
        <v>0.23899999999999999</v>
      </c>
      <c r="H367">
        <v>0</v>
      </c>
      <c r="J367" t="s">
        <v>0</v>
      </c>
      <c r="K367" t="s">
        <v>50</v>
      </c>
      <c r="L367" t="s">
        <v>51</v>
      </c>
      <c r="M367">
        <v>0</v>
      </c>
      <c r="N367" t="s">
        <v>57</v>
      </c>
      <c r="O367">
        <v>1</v>
      </c>
      <c r="P367" t="s">
        <v>53</v>
      </c>
      <c r="Q367" s="2">
        <v>0.42708333333333331</v>
      </c>
      <c r="R367">
        <f>0.0004398033*3600</f>
        <v>1.58329188</v>
      </c>
      <c r="S367">
        <f>-0.0006635054*3600</f>
        <v>-2.3886194400000003</v>
      </c>
    </row>
    <row r="368" spans="1:19" x14ac:dyDescent="0.3">
      <c r="A368" s="4" t="s">
        <v>47</v>
      </c>
      <c r="B368" s="16" t="s">
        <v>135</v>
      </c>
      <c r="C368">
        <v>98.530186</v>
      </c>
      <c r="D368">
        <v>299.53899799999999</v>
      </c>
      <c r="E368">
        <v>1</v>
      </c>
      <c r="F368">
        <v>1</v>
      </c>
      <c r="G368">
        <v>0.23899999999999999</v>
      </c>
      <c r="H368">
        <v>0</v>
      </c>
      <c r="J368" t="s">
        <v>0</v>
      </c>
      <c r="K368" t="s">
        <v>50</v>
      </c>
      <c r="L368" t="s">
        <v>51</v>
      </c>
      <c r="M368">
        <v>0</v>
      </c>
      <c r="N368" t="s">
        <v>57</v>
      </c>
      <c r="O368">
        <v>1</v>
      </c>
      <c r="P368" t="s">
        <v>53</v>
      </c>
      <c r="Q368" s="2">
        <v>0.42708333333333331</v>
      </c>
      <c r="R368">
        <f>0.0004362326*3600</f>
        <v>1.5704373599999999</v>
      </c>
      <c r="S368">
        <f>-0.0006426352*3600</f>
        <v>-2.3134867199999998</v>
      </c>
    </row>
    <row r="369" spans="1:19" x14ac:dyDescent="0.3">
      <c r="A369" s="4" t="s">
        <v>47</v>
      </c>
      <c r="B369" s="16" t="s">
        <v>136</v>
      </c>
      <c r="C369">
        <v>98.528480000000002</v>
      </c>
      <c r="D369">
        <v>299.53904499999999</v>
      </c>
      <c r="E369">
        <v>1</v>
      </c>
      <c r="F369">
        <v>1</v>
      </c>
      <c r="G369">
        <v>0.23899999999999999</v>
      </c>
      <c r="H369">
        <v>0</v>
      </c>
      <c r="J369" t="s">
        <v>0</v>
      </c>
      <c r="K369" t="s">
        <v>50</v>
      </c>
      <c r="L369" t="s">
        <v>51</v>
      </c>
      <c r="M369">
        <v>0</v>
      </c>
      <c r="N369" t="s">
        <v>57</v>
      </c>
      <c r="O369">
        <v>1</v>
      </c>
      <c r="P369" t="s">
        <v>53</v>
      </c>
      <c r="Q369" s="2">
        <v>0.42708333333333331</v>
      </c>
      <c r="R369">
        <f>0.0004425224*3600</f>
        <v>1.5930806400000002</v>
      </c>
      <c r="S369">
        <f>-0.0006085249*3600</f>
        <v>-2.19068964</v>
      </c>
    </row>
    <row r="370" spans="1:19" x14ac:dyDescent="0.3">
      <c r="A370" s="4" t="s">
        <v>47</v>
      </c>
      <c r="B370" s="16" t="s">
        <v>137</v>
      </c>
      <c r="C370">
        <v>98.528808999999995</v>
      </c>
      <c r="D370">
        <v>299.53902699999998</v>
      </c>
      <c r="E370">
        <v>1</v>
      </c>
      <c r="F370">
        <v>1</v>
      </c>
      <c r="G370">
        <v>0.23899999999999999</v>
      </c>
      <c r="H370">
        <v>0</v>
      </c>
      <c r="J370" t="s">
        <v>0</v>
      </c>
      <c r="K370" t="s">
        <v>50</v>
      </c>
      <c r="L370" t="s">
        <v>51</v>
      </c>
      <c r="M370">
        <v>0</v>
      </c>
      <c r="N370" t="s">
        <v>57</v>
      </c>
      <c r="O370">
        <v>1</v>
      </c>
      <c r="P370" t="s">
        <v>53</v>
      </c>
      <c r="Q370" s="2">
        <v>0.42708333333333331</v>
      </c>
      <c r="R370">
        <f>0.0004739448*3600</f>
        <v>1.7062012800000002</v>
      </c>
      <c r="S370">
        <f>-0.0006050776*3600</f>
        <v>-2.1782793599999999</v>
      </c>
    </row>
    <row r="371" spans="1:19" x14ac:dyDescent="0.3">
      <c r="A371" s="4" t="s">
        <v>47</v>
      </c>
      <c r="B371" s="16" t="s">
        <v>138</v>
      </c>
      <c r="C371">
        <v>98.528837999999993</v>
      </c>
      <c r="D371">
        <v>299.28383500000001</v>
      </c>
      <c r="E371">
        <v>13.1251</v>
      </c>
      <c r="F371">
        <v>13.122</v>
      </c>
      <c r="G371">
        <v>0.23899999999999999</v>
      </c>
      <c r="H371">
        <v>0</v>
      </c>
      <c r="J371" t="s">
        <v>0</v>
      </c>
      <c r="K371" t="s">
        <v>50</v>
      </c>
      <c r="L371" t="s">
        <v>51</v>
      </c>
      <c r="M371">
        <v>0</v>
      </c>
      <c r="N371" t="s">
        <v>57</v>
      </c>
      <c r="O371">
        <v>1</v>
      </c>
      <c r="P371" t="s">
        <v>53</v>
      </c>
      <c r="Q371" s="2">
        <v>0.42708333333333331</v>
      </c>
      <c r="R371">
        <f>0.0003654371*3600</f>
        <v>1.31557356</v>
      </c>
      <c r="S371">
        <f>-0.0007024842*3600</f>
        <v>-2.5289431200000001</v>
      </c>
    </row>
    <row r="372" spans="1:19" x14ac:dyDescent="0.3">
      <c r="A372" s="4" t="s">
        <v>47</v>
      </c>
      <c r="B372" s="16" t="s">
        <v>139</v>
      </c>
      <c r="C372">
        <v>98.528749000000005</v>
      </c>
      <c r="D372">
        <v>299.49320999999998</v>
      </c>
      <c r="E372">
        <v>1</v>
      </c>
      <c r="F372">
        <v>1</v>
      </c>
      <c r="G372">
        <v>0.23899999999999999</v>
      </c>
      <c r="H372">
        <v>0</v>
      </c>
      <c r="J372" t="s">
        <v>0</v>
      </c>
      <c r="K372" t="s">
        <v>50</v>
      </c>
      <c r="L372" t="s">
        <v>51</v>
      </c>
      <c r="M372">
        <v>0</v>
      </c>
      <c r="N372" t="s">
        <v>57</v>
      </c>
      <c r="O372">
        <v>1</v>
      </c>
      <c r="P372" t="s">
        <v>53</v>
      </c>
      <c r="Q372" s="2">
        <v>0.42777777777777781</v>
      </c>
      <c r="R372">
        <f>-0.0008623806*3600</f>
        <v>-3.1045701600000002</v>
      </c>
      <c r="S372">
        <f>0.0013967436*3600</f>
        <v>5.0282769599999995</v>
      </c>
    </row>
    <row r="373" spans="1:19" x14ac:dyDescent="0.3">
      <c r="A373" s="4" t="s">
        <v>47</v>
      </c>
      <c r="B373" s="16" t="s">
        <v>140</v>
      </c>
      <c r="C373">
        <v>98.528869999999998</v>
      </c>
      <c r="D373">
        <v>299.49373100000003</v>
      </c>
      <c r="E373">
        <v>1</v>
      </c>
      <c r="F373">
        <v>1</v>
      </c>
      <c r="G373">
        <v>0.23899999999999999</v>
      </c>
      <c r="H373">
        <v>0</v>
      </c>
      <c r="J373" t="s">
        <v>0</v>
      </c>
      <c r="K373" t="s">
        <v>50</v>
      </c>
      <c r="L373" t="s">
        <v>51</v>
      </c>
      <c r="M373">
        <v>0</v>
      </c>
      <c r="N373" t="s">
        <v>57</v>
      </c>
      <c r="O373">
        <v>1</v>
      </c>
      <c r="P373" t="s">
        <v>53</v>
      </c>
      <c r="Q373" s="2">
        <v>0.42777777777777781</v>
      </c>
      <c r="R373">
        <f>-0.0009193928*3600</f>
        <v>-3.3098140800000002</v>
      </c>
      <c r="S373">
        <f>0.0013486046*3600</f>
        <v>4.8549765599999999</v>
      </c>
    </row>
    <row r="374" spans="1:19" x14ac:dyDescent="0.3">
      <c r="A374" s="4" t="s">
        <v>47</v>
      </c>
      <c r="B374" s="16" t="s">
        <v>141</v>
      </c>
      <c r="C374">
        <v>98.529051999999993</v>
      </c>
      <c r="D374">
        <v>299.49364200000002</v>
      </c>
      <c r="E374">
        <v>1</v>
      </c>
      <c r="F374">
        <v>1</v>
      </c>
      <c r="G374">
        <v>0.23899999999999999</v>
      </c>
      <c r="H374">
        <v>0</v>
      </c>
      <c r="J374" t="s">
        <v>0</v>
      </c>
      <c r="K374" t="s">
        <v>50</v>
      </c>
      <c r="L374" t="s">
        <v>51</v>
      </c>
      <c r="M374">
        <v>0</v>
      </c>
      <c r="N374" t="s">
        <v>57</v>
      </c>
      <c r="O374">
        <v>1</v>
      </c>
      <c r="P374" t="s">
        <v>53</v>
      </c>
      <c r="Q374" s="2">
        <v>0.42777777777777781</v>
      </c>
      <c r="R374">
        <f>-0.0009009019*3600</f>
        <v>-3.2432468400000003</v>
      </c>
      <c r="S374">
        <f>0.0014672143*3600</f>
        <v>5.2819714800000002</v>
      </c>
    </row>
    <row r="375" spans="1:19" x14ac:dyDescent="0.3">
      <c r="A375" s="4" t="s">
        <v>47</v>
      </c>
      <c r="B375" s="16" t="s">
        <v>142</v>
      </c>
      <c r="C375">
        <v>98.528822000000005</v>
      </c>
      <c r="D375">
        <v>299.49372499999998</v>
      </c>
      <c r="E375">
        <v>1</v>
      </c>
      <c r="F375">
        <v>1</v>
      </c>
      <c r="G375">
        <v>0.23899999999999999</v>
      </c>
      <c r="H375">
        <v>0</v>
      </c>
      <c r="J375" t="s">
        <v>0</v>
      </c>
      <c r="K375" t="s">
        <v>50</v>
      </c>
      <c r="L375" t="s">
        <v>51</v>
      </c>
      <c r="M375">
        <v>0</v>
      </c>
      <c r="N375" t="s">
        <v>57</v>
      </c>
      <c r="O375">
        <v>1</v>
      </c>
      <c r="P375" t="s">
        <v>53</v>
      </c>
      <c r="Q375" s="2">
        <v>0.42777777777777781</v>
      </c>
      <c r="R375">
        <f>-0.000860911*3600</f>
        <v>-3.0992796</v>
      </c>
      <c r="S375">
        <f>0.0014592546*3600</f>
        <v>5.25331656</v>
      </c>
    </row>
    <row r="376" spans="1:19" x14ac:dyDescent="0.3">
      <c r="A376" s="4" t="s">
        <v>47</v>
      </c>
      <c r="B376" s="16" t="s">
        <v>143</v>
      </c>
      <c r="C376">
        <v>98.529128</v>
      </c>
      <c r="D376">
        <v>299.49375700000002</v>
      </c>
      <c r="E376">
        <v>1</v>
      </c>
      <c r="F376">
        <v>1</v>
      </c>
      <c r="G376">
        <v>0.23899999999999999</v>
      </c>
      <c r="H376">
        <v>0</v>
      </c>
      <c r="J376" t="s">
        <v>0</v>
      </c>
      <c r="K376" t="s">
        <v>50</v>
      </c>
      <c r="L376" t="s">
        <v>51</v>
      </c>
      <c r="M376">
        <v>0</v>
      </c>
      <c r="N376" t="s">
        <v>57</v>
      </c>
      <c r="O376">
        <v>1</v>
      </c>
      <c r="P376" t="s">
        <v>53</v>
      </c>
      <c r="Q376" s="2">
        <v>0.42777777777777781</v>
      </c>
      <c r="R376">
        <f>-0.0008608301*3600</f>
        <v>-3.0989883599999999</v>
      </c>
      <c r="S376">
        <f>0.0014506467*3600</f>
        <v>5.2223281199999994</v>
      </c>
    </row>
    <row r="377" spans="1:19" x14ac:dyDescent="0.3">
      <c r="A377" s="4" t="s">
        <v>47</v>
      </c>
      <c r="B377" s="16" t="s">
        <v>144</v>
      </c>
      <c r="C377">
        <v>98.529223000000002</v>
      </c>
      <c r="D377">
        <v>299.493717</v>
      </c>
      <c r="E377">
        <v>1</v>
      </c>
      <c r="F377">
        <v>1</v>
      </c>
      <c r="G377">
        <v>0.23899999999999999</v>
      </c>
      <c r="H377">
        <v>0</v>
      </c>
      <c r="J377" t="s">
        <v>0</v>
      </c>
      <c r="K377" t="s">
        <v>50</v>
      </c>
      <c r="L377" t="s">
        <v>51</v>
      </c>
      <c r="M377">
        <v>0</v>
      </c>
      <c r="N377" t="s">
        <v>57</v>
      </c>
      <c r="O377">
        <v>1</v>
      </c>
      <c r="P377" t="s">
        <v>53</v>
      </c>
      <c r="Q377" s="2">
        <v>0.42777777777777781</v>
      </c>
      <c r="R377">
        <f>-0.0008700357*3600</f>
        <v>-3.1321285200000002</v>
      </c>
      <c r="S377">
        <f>0.0014833737*3600</f>
        <v>5.3401453200000004</v>
      </c>
    </row>
    <row r="378" spans="1:19" x14ac:dyDescent="0.3">
      <c r="A378" s="4" t="s">
        <v>47</v>
      </c>
      <c r="B378" s="16" t="s">
        <v>145</v>
      </c>
      <c r="C378">
        <v>98.528752999999995</v>
      </c>
      <c r="D378">
        <v>299.493696</v>
      </c>
      <c r="E378">
        <v>1</v>
      </c>
      <c r="F378">
        <v>1</v>
      </c>
      <c r="G378">
        <v>0.23899999999999999</v>
      </c>
      <c r="H378">
        <v>0</v>
      </c>
      <c r="J378" t="s">
        <v>0</v>
      </c>
      <c r="K378" t="s">
        <v>50</v>
      </c>
      <c r="L378" t="s">
        <v>51</v>
      </c>
      <c r="M378">
        <v>0</v>
      </c>
      <c r="N378" t="s">
        <v>57</v>
      </c>
      <c r="O378">
        <v>1</v>
      </c>
      <c r="P378" t="s">
        <v>53</v>
      </c>
      <c r="Q378" s="2">
        <v>0.42777777777777781</v>
      </c>
      <c r="R378">
        <f>-0.0009546341*3600</f>
        <v>-3.4366827600000001</v>
      </c>
      <c r="S378">
        <f>0.0013539784*3600</f>
        <v>4.8743222399999997</v>
      </c>
    </row>
    <row r="379" spans="1:19" x14ac:dyDescent="0.3">
      <c r="A379" s="4" t="s">
        <v>47</v>
      </c>
      <c r="B379" s="16" t="s">
        <v>146</v>
      </c>
      <c r="C379">
        <v>98.528980000000004</v>
      </c>
      <c r="D379">
        <v>299.49373800000001</v>
      </c>
      <c r="E379">
        <v>1</v>
      </c>
      <c r="F379">
        <v>1</v>
      </c>
      <c r="G379">
        <v>0.23899999999999999</v>
      </c>
      <c r="H379">
        <v>0</v>
      </c>
      <c r="J379" t="s">
        <v>0</v>
      </c>
      <c r="K379" t="s">
        <v>50</v>
      </c>
      <c r="L379" t="s">
        <v>51</v>
      </c>
      <c r="M379">
        <v>0</v>
      </c>
      <c r="N379" t="s">
        <v>57</v>
      </c>
      <c r="O379">
        <v>1</v>
      </c>
      <c r="P379" t="s">
        <v>53</v>
      </c>
      <c r="Q379" s="2">
        <v>0.42777777777777781</v>
      </c>
      <c r="R379">
        <f>-0.0010292089*3600</f>
        <v>-3.7051520400000002</v>
      </c>
      <c r="S379">
        <f>0.0013014823*3600</f>
        <v>4.6853362799999996</v>
      </c>
    </row>
    <row r="380" spans="1:19" x14ac:dyDescent="0.3">
      <c r="A380" s="4" t="s">
        <v>47</v>
      </c>
      <c r="B380" s="16" t="s">
        <v>147</v>
      </c>
      <c r="C380">
        <v>98.528003999999996</v>
      </c>
      <c r="D380">
        <v>299.49342899999999</v>
      </c>
      <c r="E380">
        <v>1</v>
      </c>
      <c r="F380">
        <v>1</v>
      </c>
      <c r="G380">
        <v>0.23899999999999999</v>
      </c>
      <c r="H380">
        <v>0</v>
      </c>
      <c r="J380" t="s">
        <v>0</v>
      </c>
      <c r="K380" t="s">
        <v>50</v>
      </c>
      <c r="L380" t="s">
        <v>51</v>
      </c>
      <c r="M380">
        <v>0</v>
      </c>
      <c r="N380" t="s">
        <v>57</v>
      </c>
      <c r="O380">
        <v>1</v>
      </c>
      <c r="P380" t="s">
        <v>53</v>
      </c>
      <c r="Q380" s="2">
        <v>0.42777777777777781</v>
      </c>
      <c r="R380">
        <f>-0.0009237247*3600</f>
        <v>-3.3254089200000001</v>
      </c>
      <c r="S380">
        <f>0.0013718509*3600</f>
        <v>4.9386632400000003</v>
      </c>
    </row>
    <row r="381" spans="1:19" x14ac:dyDescent="0.3">
      <c r="A381" s="4" t="s">
        <v>47</v>
      </c>
      <c r="B381" s="16" t="s">
        <v>148</v>
      </c>
      <c r="C381">
        <v>98.528070999999997</v>
      </c>
      <c r="D381">
        <v>299.49365699999998</v>
      </c>
      <c r="E381">
        <v>1</v>
      </c>
      <c r="F381">
        <v>1</v>
      </c>
      <c r="G381">
        <v>0.23899999999999999</v>
      </c>
      <c r="H381">
        <v>0</v>
      </c>
      <c r="J381" t="s">
        <v>0</v>
      </c>
      <c r="K381" t="s">
        <v>50</v>
      </c>
      <c r="L381" t="s">
        <v>51</v>
      </c>
      <c r="M381">
        <v>0</v>
      </c>
      <c r="N381" t="s">
        <v>57</v>
      </c>
      <c r="O381">
        <v>1</v>
      </c>
      <c r="P381" t="s">
        <v>53</v>
      </c>
      <c r="Q381" s="2">
        <v>0.4284722222222222</v>
      </c>
      <c r="R381">
        <f>-0.000587587*3600</f>
        <v>-2.1153132000000001</v>
      </c>
      <c r="S381">
        <f>0.0017082829*3600</f>
        <v>6.1498184400000007</v>
      </c>
    </row>
    <row r="382" spans="1:19" x14ac:dyDescent="0.3">
      <c r="A382" s="4" t="s">
        <v>47</v>
      </c>
      <c r="B382" s="16" t="s">
        <v>149</v>
      </c>
      <c r="C382">
        <v>98.527952999999997</v>
      </c>
      <c r="D382">
        <v>299.27966500000002</v>
      </c>
      <c r="E382">
        <v>13.1251</v>
      </c>
      <c r="F382">
        <v>13.122</v>
      </c>
      <c r="G382">
        <v>0.23899999999999999</v>
      </c>
      <c r="H382">
        <v>0</v>
      </c>
      <c r="J382" t="s">
        <v>0</v>
      </c>
      <c r="K382" t="s">
        <v>50</v>
      </c>
      <c r="L382" t="s">
        <v>51</v>
      </c>
      <c r="M382">
        <v>0</v>
      </c>
      <c r="N382" t="s">
        <v>57</v>
      </c>
      <c r="O382">
        <v>1</v>
      </c>
      <c r="P382" t="s">
        <v>53</v>
      </c>
      <c r="Q382" s="2">
        <v>0.4284722222222222</v>
      </c>
      <c r="R382">
        <f>-0.0005966782*3600</f>
        <v>-2.14804152</v>
      </c>
      <c r="S382">
        <f>0.0017126984*3600</f>
        <v>6.1657142399999998</v>
      </c>
    </row>
    <row r="383" spans="1:19" x14ac:dyDescent="0.3">
      <c r="A383" s="4" t="s">
        <v>47</v>
      </c>
      <c r="B383" s="16" t="s">
        <v>150</v>
      </c>
      <c r="C383">
        <v>98.526895999999994</v>
      </c>
      <c r="D383">
        <v>299.53455000000002</v>
      </c>
      <c r="E383">
        <v>1</v>
      </c>
      <c r="F383">
        <v>1</v>
      </c>
      <c r="G383">
        <v>0.23899999999999999</v>
      </c>
      <c r="H383">
        <v>0</v>
      </c>
      <c r="J383" t="s">
        <v>0</v>
      </c>
      <c r="K383" t="s">
        <v>50</v>
      </c>
      <c r="L383" t="s">
        <v>51</v>
      </c>
      <c r="M383">
        <v>0</v>
      </c>
      <c r="N383" t="s">
        <v>57</v>
      </c>
      <c r="O383">
        <v>1</v>
      </c>
      <c r="P383" t="s">
        <v>53</v>
      </c>
      <c r="Q383" s="2">
        <v>0.4284722222222222</v>
      </c>
      <c r="R383">
        <f>-0.0009789096*3600</f>
        <v>-3.5240745599999999</v>
      </c>
      <c r="S383">
        <f>0.0014020955*3600</f>
        <v>5.0475438000000006</v>
      </c>
    </row>
    <row r="384" spans="1:19" x14ac:dyDescent="0.3">
      <c r="A384" s="4" t="s">
        <v>47</v>
      </c>
      <c r="B384" s="16" t="s">
        <v>151</v>
      </c>
      <c r="C384">
        <v>98.527353000000005</v>
      </c>
      <c r="D384">
        <v>299.53467799999999</v>
      </c>
      <c r="E384">
        <v>1</v>
      </c>
      <c r="F384">
        <v>1</v>
      </c>
      <c r="G384">
        <v>0.23899999999999999</v>
      </c>
      <c r="H384">
        <v>0</v>
      </c>
      <c r="J384" t="s">
        <v>0</v>
      </c>
      <c r="K384" t="s">
        <v>50</v>
      </c>
      <c r="L384" t="s">
        <v>51</v>
      </c>
      <c r="M384">
        <v>0</v>
      </c>
      <c r="N384" t="s">
        <v>57</v>
      </c>
      <c r="O384">
        <v>1</v>
      </c>
      <c r="P384" t="s">
        <v>53</v>
      </c>
      <c r="Q384" s="2">
        <v>0.4284722222222222</v>
      </c>
      <c r="R384">
        <f>-0.0008069332*3600</f>
        <v>-2.9049595199999998</v>
      </c>
      <c r="S384">
        <f>0.0015698417*3600</f>
        <v>5.6514301199999997</v>
      </c>
    </row>
    <row r="385" spans="1:19" x14ac:dyDescent="0.3">
      <c r="A385" s="4" t="s">
        <v>47</v>
      </c>
      <c r="B385" s="16" t="s">
        <v>152</v>
      </c>
      <c r="C385">
        <v>98.527775000000005</v>
      </c>
      <c r="D385">
        <v>299.53461199999998</v>
      </c>
      <c r="E385">
        <v>1</v>
      </c>
      <c r="F385">
        <v>1</v>
      </c>
      <c r="G385">
        <v>0.23899999999999999</v>
      </c>
      <c r="H385">
        <v>0</v>
      </c>
      <c r="J385" t="s">
        <v>0</v>
      </c>
      <c r="K385" t="s">
        <v>50</v>
      </c>
      <c r="L385" t="s">
        <v>51</v>
      </c>
      <c r="M385">
        <v>0</v>
      </c>
      <c r="N385" t="s">
        <v>57</v>
      </c>
      <c r="O385">
        <v>1</v>
      </c>
      <c r="P385" t="s">
        <v>53</v>
      </c>
      <c r="Q385" s="2">
        <v>0.4284722222222222</v>
      </c>
      <c r="R385">
        <f>-0.0009240774*3600</f>
        <v>-3.3266786399999999</v>
      </c>
      <c r="S385">
        <f>0.0014807812*3600</f>
        <v>5.3308123200000006</v>
      </c>
    </row>
    <row r="386" spans="1:19" x14ac:dyDescent="0.3">
      <c r="A386" s="4" t="s">
        <v>47</v>
      </c>
      <c r="B386" s="16" t="s">
        <v>153</v>
      </c>
      <c r="C386">
        <v>98.527280000000005</v>
      </c>
      <c r="D386">
        <v>299.534583</v>
      </c>
      <c r="E386">
        <v>1</v>
      </c>
      <c r="F386">
        <v>1</v>
      </c>
      <c r="G386">
        <v>0.23899999999999999</v>
      </c>
      <c r="H386">
        <v>0</v>
      </c>
      <c r="J386" t="s">
        <v>0</v>
      </c>
      <c r="K386" t="s">
        <v>50</v>
      </c>
      <c r="L386" t="s">
        <v>51</v>
      </c>
      <c r="M386">
        <v>0</v>
      </c>
      <c r="N386" t="s">
        <v>57</v>
      </c>
      <c r="O386">
        <v>1</v>
      </c>
      <c r="P386" t="s">
        <v>53</v>
      </c>
      <c r="Q386" s="2">
        <v>0.4284722222222222</v>
      </c>
      <c r="R386">
        <f>-0.0007378008*3600</f>
        <v>-2.65608288</v>
      </c>
      <c r="S386">
        <f>0.001650157*3600</f>
        <v>5.9405652</v>
      </c>
    </row>
    <row r="387" spans="1:19" x14ac:dyDescent="0.3">
      <c r="A387" s="4" t="s">
        <v>47</v>
      </c>
      <c r="B387" s="16" t="s">
        <v>154</v>
      </c>
      <c r="C387">
        <v>98.527355</v>
      </c>
      <c r="D387">
        <v>299.53467699999999</v>
      </c>
      <c r="E387">
        <v>1</v>
      </c>
      <c r="F387">
        <v>1</v>
      </c>
      <c r="G387">
        <v>0.23899999999999999</v>
      </c>
      <c r="H387">
        <v>0</v>
      </c>
      <c r="J387" t="s">
        <v>0</v>
      </c>
      <c r="K387" t="s">
        <v>50</v>
      </c>
      <c r="L387" t="s">
        <v>51</v>
      </c>
      <c r="M387">
        <v>0</v>
      </c>
      <c r="N387" t="s">
        <v>57</v>
      </c>
      <c r="O387">
        <v>1</v>
      </c>
      <c r="P387" t="s">
        <v>53</v>
      </c>
      <c r="Q387" s="2">
        <v>0.4284722222222222</v>
      </c>
      <c r="R387">
        <f>-0.0009102999*3600</f>
        <v>-3.2770796400000002</v>
      </c>
      <c r="S387">
        <f>0.0014577139*3600</f>
        <v>5.2477700399999998</v>
      </c>
    </row>
    <row r="388" spans="1:19" x14ac:dyDescent="0.3">
      <c r="A388" s="4" t="s">
        <v>47</v>
      </c>
      <c r="B388" s="16" t="s">
        <v>155</v>
      </c>
      <c r="C388">
        <v>98.527989000000005</v>
      </c>
      <c r="D388">
        <v>299.53464300000002</v>
      </c>
      <c r="E388">
        <v>1</v>
      </c>
      <c r="F388">
        <v>1</v>
      </c>
      <c r="G388">
        <v>0.23899999999999999</v>
      </c>
      <c r="H388">
        <v>0</v>
      </c>
      <c r="J388" t="s">
        <v>0</v>
      </c>
      <c r="K388" t="s">
        <v>50</v>
      </c>
      <c r="L388" t="s">
        <v>51</v>
      </c>
      <c r="M388">
        <v>0</v>
      </c>
      <c r="N388" t="s">
        <v>57</v>
      </c>
      <c r="O388">
        <v>1</v>
      </c>
      <c r="P388" t="s">
        <v>53</v>
      </c>
      <c r="Q388" s="2">
        <v>0.4284722222222222</v>
      </c>
      <c r="R388">
        <f>-0.0007034469*3600</f>
        <v>-2.53240884</v>
      </c>
      <c r="S388">
        <f>0.0016842482*3600</f>
        <v>6.0632935200000002</v>
      </c>
    </row>
    <row r="389" spans="1:19" x14ac:dyDescent="0.3">
      <c r="A389" s="4" t="s">
        <v>47</v>
      </c>
      <c r="B389" s="16" t="s">
        <v>219</v>
      </c>
      <c r="C389">
        <v>298.52869900000002</v>
      </c>
      <c r="D389">
        <v>100.73347200000001</v>
      </c>
      <c r="E389">
        <v>13.124599999999999</v>
      </c>
      <c r="F389">
        <v>13.1214</v>
      </c>
      <c r="G389">
        <v>0.23899999999999999</v>
      </c>
      <c r="H389">
        <v>0</v>
      </c>
      <c r="J389" t="s">
        <v>0</v>
      </c>
      <c r="K389" t="s">
        <v>50</v>
      </c>
      <c r="L389" t="s">
        <v>51</v>
      </c>
      <c r="M389">
        <v>0</v>
      </c>
      <c r="N389" t="s">
        <v>57</v>
      </c>
      <c r="O389">
        <v>1</v>
      </c>
      <c r="P389" t="s">
        <v>53</v>
      </c>
      <c r="Q389" s="2">
        <v>0.4284722222222222</v>
      </c>
      <c r="R389">
        <f>-0.000684807*3600</f>
        <v>-2.4653052</v>
      </c>
      <c r="S389">
        <f>0.0017014048*3600</f>
        <v>6.12505728</v>
      </c>
    </row>
    <row r="390" spans="1:19" x14ac:dyDescent="0.3">
      <c r="A390" s="4" t="s">
        <v>47</v>
      </c>
      <c r="B390" s="16" t="s">
        <v>220</v>
      </c>
      <c r="C390">
        <v>298.527019</v>
      </c>
      <c r="D390">
        <v>100.48539599999999</v>
      </c>
      <c r="E390">
        <v>1</v>
      </c>
      <c r="F390">
        <v>1</v>
      </c>
      <c r="G390">
        <v>0.23899999999999999</v>
      </c>
      <c r="H390">
        <v>0</v>
      </c>
      <c r="J390" t="s">
        <v>0</v>
      </c>
      <c r="K390" t="s">
        <v>50</v>
      </c>
      <c r="L390" t="s">
        <v>51</v>
      </c>
      <c r="M390">
        <v>0</v>
      </c>
      <c r="N390" t="s">
        <v>57</v>
      </c>
      <c r="O390">
        <v>1</v>
      </c>
      <c r="P390" t="s">
        <v>53</v>
      </c>
      <c r="Q390" s="2">
        <v>0.4284722222222222</v>
      </c>
      <c r="R390">
        <f>-0.0007820673*3600</f>
        <v>-2.8154422800000001</v>
      </c>
      <c r="S390">
        <f>0.0016099255*3600</f>
        <v>5.7957318000000004</v>
      </c>
    </row>
    <row r="391" spans="1:19" x14ac:dyDescent="0.3">
      <c r="A391" s="4" t="s">
        <v>47</v>
      </c>
      <c r="B391" s="16" t="s">
        <v>221</v>
      </c>
      <c r="C391">
        <v>298.52803599999999</v>
      </c>
      <c r="D391">
        <v>100.485286</v>
      </c>
      <c r="E391">
        <v>1</v>
      </c>
      <c r="F391">
        <v>1</v>
      </c>
      <c r="G391">
        <v>0.23899999999999999</v>
      </c>
      <c r="H391">
        <v>0</v>
      </c>
      <c r="J391" t="s">
        <v>0</v>
      </c>
      <c r="K391" t="s">
        <v>50</v>
      </c>
      <c r="L391" t="s">
        <v>51</v>
      </c>
      <c r="M391">
        <v>0</v>
      </c>
      <c r="N391" t="s">
        <v>57</v>
      </c>
      <c r="O391">
        <v>1</v>
      </c>
      <c r="P391" t="s">
        <v>53</v>
      </c>
      <c r="Q391" s="2">
        <v>0.4284722222222222</v>
      </c>
      <c r="R391">
        <f>-0.0007878095*3600</f>
        <v>-2.8361142000000004</v>
      </c>
      <c r="S391">
        <f>0.001563846*3600</f>
        <v>5.6298456000000003</v>
      </c>
    </row>
    <row r="392" spans="1:19" x14ac:dyDescent="0.3">
      <c r="A392" s="4" t="s">
        <v>47</v>
      </c>
      <c r="B392" s="16" t="s">
        <v>222</v>
      </c>
      <c r="C392">
        <v>298.52765099999999</v>
      </c>
      <c r="D392">
        <v>100.48539100000001</v>
      </c>
      <c r="E392">
        <v>1</v>
      </c>
      <c r="F392">
        <v>1</v>
      </c>
      <c r="G392">
        <v>0.23899999999999999</v>
      </c>
      <c r="H392">
        <v>0</v>
      </c>
      <c r="J392" t="s">
        <v>0</v>
      </c>
      <c r="K392" t="s">
        <v>50</v>
      </c>
      <c r="L392" t="s">
        <v>51</v>
      </c>
      <c r="M392">
        <v>0</v>
      </c>
      <c r="N392" t="s">
        <v>57</v>
      </c>
      <c r="O392">
        <v>1</v>
      </c>
      <c r="P392" t="s">
        <v>53</v>
      </c>
      <c r="Q392" s="2">
        <v>0.4284722222222222</v>
      </c>
      <c r="R392">
        <f>-0.0005529016*3600</f>
        <v>-1.9904457600000003</v>
      </c>
      <c r="S392">
        <f>0.0017621424*3600</f>
        <v>6.3437126400000006</v>
      </c>
    </row>
    <row r="393" spans="1:19" x14ac:dyDescent="0.3">
      <c r="A393" s="4" t="s">
        <v>47</v>
      </c>
      <c r="B393" s="16" t="s">
        <v>223</v>
      </c>
      <c r="C393">
        <v>298.52757400000002</v>
      </c>
      <c r="D393">
        <v>100.485287</v>
      </c>
      <c r="E393">
        <v>1</v>
      </c>
      <c r="F393">
        <v>1</v>
      </c>
      <c r="G393">
        <v>0.23899999999999999</v>
      </c>
      <c r="H393">
        <v>0</v>
      </c>
      <c r="J393" t="s">
        <v>0</v>
      </c>
      <c r="K393" t="s">
        <v>50</v>
      </c>
      <c r="L393" t="s">
        <v>51</v>
      </c>
      <c r="M393">
        <v>0</v>
      </c>
      <c r="N393" t="s">
        <v>57</v>
      </c>
      <c r="O393">
        <v>1</v>
      </c>
      <c r="P393" t="s">
        <v>53</v>
      </c>
      <c r="Q393" s="2">
        <v>0.4284722222222222</v>
      </c>
      <c r="R393">
        <f>-0.0005547839*3600</f>
        <v>-1.9972220399999998</v>
      </c>
      <c r="S393">
        <f>0.001768344*3600</f>
        <v>6.3660383999999999</v>
      </c>
    </row>
    <row r="394" spans="1:19" x14ac:dyDescent="0.3">
      <c r="A394" s="4" t="s">
        <v>47</v>
      </c>
      <c r="B394" s="16" t="s">
        <v>224</v>
      </c>
      <c r="C394">
        <v>298.52731599999998</v>
      </c>
      <c r="D394">
        <v>100.485315</v>
      </c>
      <c r="E394">
        <v>1</v>
      </c>
      <c r="F394">
        <v>1</v>
      </c>
      <c r="G394">
        <v>0.23899999999999999</v>
      </c>
      <c r="H394">
        <v>0</v>
      </c>
      <c r="J394" t="s">
        <v>0</v>
      </c>
      <c r="K394" t="s">
        <v>50</v>
      </c>
      <c r="L394" t="s">
        <v>51</v>
      </c>
      <c r="M394">
        <v>0</v>
      </c>
      <c r="N394" t="s">
        <v>57</v>
      </c>
      <c r="O394">
        <v>1</v>
      </c>
      <c r="P394" t="s">
        <v>53</v>
      </c>
      <c r="Q394" s="2">
        <v>0.4291666666666667</v>
      </c>
      <c r="R394">
        <f>-0.0005929817*3600</f>
        <v>-2.1347341200000001</v>
      </c>
      <c r="S394">
        <f>0.0016938519*3600</f>
        <v>6.09786684</v>
      </c>
    </row>
    <row r="395" spans="1:19" x14ac:dyDescent="0.3">
      <c r="A395" s="4" t="s">
        <v>47</v>
      </c>
      <c r="B395" s="16" t="s">
        <v>225</v>
      </c>
      <c r="C395">
        <v>298.52710100000002</v>
      </c>
      <c r="D395">
        <v>100.48527</v>
      </c>
      <c r="E395">
        <v>1</v>
      </c>
      <c r="F395">
        <v>1</v>
      </c>
      <c r="G395">
        <v>0.23899999999999999</v>
      </c>
      <c r="H395">
        <v>0</v>
      </c>
      <c r="J395" t="s">
        <v>0</v>
      </c>
      <c r="K395" t="s">
        <v>50</v>
      </c>
      <c r="L395" t="s">
        <v>51</v>
      </c>
      <c r="M395">
        <v>0</v>
      </c>
      <c r="N395" t="s">
        <v>57</v>
      </c>
      <c r="O395">
        <v>1</v>
      </c>
      <c r="P395" t="s">
        <v>53</v>
      </c>
      <c r="Q395" s="2">
        <v>0.4291666666666667</v>
      </c>
      <c r="R395">
        <f>-0.0007507568*3600</f>
        <v>-2.7027244800000001</v>
      </c>
      <c r="S395">
        <f>0.0016223935*3600</f>
        <v>5.8406165999999997</v>
      </c>
    </row>
    <row r="396" spans="1:19" x14ac:dyDescent="0.3">
      <c r="A396" s="4" t="s">
        <v>47</v>
      </c>
      <c r="B396" s="16" t="s">
        <v>226</v>
      </c>
      <c r="C396">
        <v>298.52797299999997</v>
      </c>
      <c r="D396">
        <v>100.485286</v>
      </c>
      <c r="E396">
        <v>1</v>
      </c>
      <c r="F396">
        <v>1</v>
      </c>
      <c r="G396">
        <v>0.23899999999999999</v>
      </c>
      <c r="H396">
        <v>0</v>
      </c>
      <c r="J396" t="s">
        <v>0</v>
      </c>
      <c r="K396" t="s">
        <v>50</v>
      </c>
      <c r="L396" t="s">
        <v>51</v>
      </c>
      <c r="M396">
        <v>0</v>
      </c>
      <c r="N396" t="s">
        <v>57</v>
      </c>
      <c r="O396">
        <v>1</v>
      </c>
      <c r="P396" t="s">
        <v>53</v>
      </c>
      <c r="Q396" s="2">
        <v>0.4291666666666667</v>
      </c>
      <c r="R396">
        <f>-0.0005318972*3600</f>
        <v>-1.9148299200000001</v>
      </c>
      <c r="S396">
        <f>0.001773665*3600</f>
        <v>6.3851940000000003</v>
      </c>
    </row>
    <row r="397" spans="1:19" x14ac:dyDescent="0.3">
      <c r="A397" s="4" t="s">
        <v>47</v>
      </c>
      <c r="B397" s="16" t="s">
        <v>227</v>
      </c>
      <c r="C397">
        <v>298.52929499999999</v>
      </c>
      <c r="D397">
        <v>100.485373</v>
      </c>
      <c r="E397">
        <v>1</v>
      </c>
      <c r="F397">
        <v>1</v>
      </c>
      <c r="G397">
        <v>0.23899999999999999</v>
      </c>
      <c r="H397">
        <v>0</v>
      </c>
      <c r="J397" t="s">
        <v>0</v>
      </c>
      <c r="K397" t="s">
        <v>50</v>
      </c>
      <c r="L397" t="s">
        <v>51</v>
      </c>
      <c r="M397">
        <v>0</v>
      </c>
      <c r="N397" t="s">
        <v>57</v>
      </c>
      <c r="O397">
        <v>1</v>
      </c>
      <c r="P397" t="s">
        <v>53</v>
      </c>
      <c r="Q397" s="2">
        <v>0.4291666666666667</v>
      </c>
      <c r="R397">
        <f>-0.0006922283*3600</f>
        <v>-2.4920218800000002</v>
      </c>
      <c r="S397">
        <f>0.0016481262*3600</f>
        <v>5.9332543200000005</v>
      </c>
    </row>
    <row r="398" spans="1:19" x14ac:dyDescent="0.3">
      <c r="A398" s="4" t="s">
        <v>47</v>
      </c>
      <c r="B398" s="16" t="s">
        <v>228</v>
      </c>
      <c r="C398">
        <v>298.52880299999998</v>
      </c>
      <c r="D398">
        <v>100.485283</v>
      </c>
      <c r="E398">
        <v>1</v>
      </c>
      <c r="F398">
        <v>1</v>
      </c>
      <c r="G398">
        <v>0.23899999999999999</v>
      </c>
      <c r="H398">
        <v>0</v>
      </c>
      <c r="J398" t="s">
        <v>0</v>
      </c>
      <c r="K398" t="s">
        <v>50</v>
      </c>
      <c r="L398" t="s">
        <v>51</v>
      </c>
      <c r="M398">
        <v>0</v>
      </c>
      <c r="N398" t="s">
        <v>57</v>
      </c>
      <c r="O398">
        <v>1</v>
      </c>
      <c r="P398" t="s">
        <v>53</v>
      </c>
      <c r="Q398" s="2">
        <v>0.4291666666666667</v>
      </c>
      <c r="R398">
        <f>-0.0005800958*3600</f>
        <v>-2.0883448800000002</v>
      </c>
      <c r="S398">
        <f>0.0017906136*3600</f>
        <v>6.4462089599999999</v>
      </c>
    </row>
    <row r="399" spans="1:19" x14ac:dyDescent="0.3">
      <c r="A399" s="4" t="s">
        <v>47</v>
      </c>
      <c r="B399" s="16" t="s">
        <v>229</v>
      </c>
      <c r="C399">
        <v>298.52786200000003</v>
      </c>
      <c r="D399">
        <v>100.485364</v>
      </c>
      <c r="E399">
        <v>1</v>
      </c>
      <c r="F399">
        <v>1</v>
      </c>
      <c r="G399">
        <v>0.23899999999999999</v>
      </c>
      <c r="H399">
        <v>0</v>
      </c>
      <c r="J399" t="s">
        <v>0</v>
      </c>
      <c r="K399" t="s">
        <v>50</v>
      </c>
      <c r="L399" t="s">
        <v>51</v>
      </c>
      <c r="M399">
        <v>0</v>
      </c>
      <c r="N399" t="s">
        <v>57</v>
      </c>
      <c r="O399">
        <v>1</v>
      </c>
      <c r="P399" t="s">
        <v>53</v>
      </c>
      <c r="Q399" s="2">
        <v>0.4291666666666667</v>
      </c>
      <c r="R399">
        <f>-0.0007229874*3600</f>
        <v>-2.6027546400000001</v>
      </c>
      <c r="S399">
        <f>0.0016610021*3600</f>
        <v>5.9796075599999998</v>
      </c>
    </row>
    <row r="400" spans="1:19" x14ac:dyDescent="0.3">
      <c r="A400" s="4" t="s">
        <v>47</v>
      </c>
      <c r="B400" s="16" t="s">
        <v>230</v>
      </c>
      <c r="C400">
        <v>298.52755300000001</v>
      </c>
      <c r="D400">
        <v>100.485268</v>
      </c>
      <c r="E400">
        <v>1</v>
      </c>
      <c r="F400">
        <v>1</v>
      </c>
      <c r="G400">
        <v>0.23899999999999999</v>
      </c>
      <c r="H400">
        <v>0</v>
      </c>
      <c r="J400" t="s">
        <v>0</v>
      </c>
      <c r="K400" t="s">
        <v>50</v>
      </c>
      <c r="L400" t="s">
        <v>51</v>
      </c>
      <c r="M400">
        <v>0</v>
      </c>
      <c r="N400" t="s">
        <v>57</v>
      </c>
      <c r="O400">
        <v>1</v>
      </c>
      <c r="P400" t="s">
        <v>53</v>
      </c>
      <c r="Q400" s="2">
        <v>0.4291666666666667</v>
      </c>
      <c r="R400">
        <f>-0.0005916544*3600</f>
        <v>-2.12995584</v>
      </c>
      <c r="S400">
        <f>0.0017886635*3600</f>
        <v>6.4391885999999996</v>
      </c>
    </row>
    <row r="401" spans="1:19" x14ac:dyDescent="0.3">
      <c r="A401" s="4" t="s">
        <v>47</v>
      </c>
      <c r="B401" s="16" t="s">
        <v>231</v>
      </c>
      <c r="C401">
        <v>298.52764100000002</v>
      </c>
      <c r="D401">
        <v>100.485263</v>
      </c>
      <c r="E401">
        <v>1</v>
      </c>
      <c r="F401">
        <v>1</v>
      </c>
      <c r="G401">
        <v>0.23899999999999999</v>
      </c>
      <c r="H401">
        <v>0</v>
      </c>
      <c r="J401" t="s">
        <v>0</v>
      </c>
      <c r="K401" t="s">
        <v>50</v>
      </c>
      <c r="L401" t="s">
        <v>51</v>
      </c>
      <c r="M401">
        <v>0</v>
      </c>
      <c r="N401" t="s">
        <v>57</v>
      </c>
      <c r="O401">
        <v>1</v>
      </c>
      <c r="P401" t="s">
        <v>53</v>
      </c>
      <c r="Q401" s="2">
        <v>0.4291666666666667</v>
      </c>
      <c r="R401">
        <f>-0.000832708*3600</f>
        <v>-2.9977488000000001</v>
      </c>
      <c r="S401">
        <f>0.0015133655*3600</f>
        <v>5.4481158000000001</v>
      </c>
    </row>
    <row r="402" spans="1:19" x14ac:dyDescent="0.3">
      <c r="A402" s="4" t="s">
        <v>47</v>
      </c>
      <c r="B402" s="16" t="s">
        <v>232</v>
      </c>
      <c r="C402">
        <v>298.52893699999998</v>
      </c>
      <c r="D402">
        <v>100.485128</v>
      </c>
      <c r="E402">
        <v>1</v>
      </c>
      <c r="F402">
        <v>1</v>
      </c>
      <c r="G402">
        <v>0.23899999999999999</v>
      </c>
      <c r="H402">
        <v>0</v>
      </c>
      <c r="J402" t="s">
        <v>0</v>
      </c>
      <c r="K402" t="s">
        <v>50</v>
      </c>
      <c r="L402" t="s">
        <v>51</v>
      </c>
      <c r="M402">
        <v>0</v>
      </c>
      <c r="N402" t="s">
        <v>57</v>
      </c>
      <c r="O402">
        <v>1</v>
      </c>
      <c r="P402" t="s">
        <v>53</v>
      </c>
      <c r="Q402" s="2">
        <v>0.4291666666666667</v>
      </c>
      <c r="R402">
        <f>-0.000591968*3600</f>
        <v>-2.1310848</v>
      </c>
      <c r="S402">
        <f>0.0017521574*3600</f>
        <v>6.3077666399999996</v>
      </c>
    </row>
    <row r="403" spans="1:19" x14ac:dyDescent="0.3">
      <c r="A403" s="4" t="s">
        <v>47</v>
      </c>
      <c r="B403" s="16" t="s">
        <v>233</v>
      </c>
      <c r="C403">
        <v>298.52802300000002</v>
      </c>
      <c r="D403">
        <v>100.714179</v>
      </c>
      <c r="E403">
        <v>13.124700000000001</v>
      </c>
      <c r="F403">
        <v>13.121600000000001</v>
      </c>
      <c r="G403">
        <v>0.23899999999999999</v>
      </c>
      <c r="H403">
        <v>0</v>
      </c>
      <c r="J403" t="s">
        <v>0</v>
      </c>
      <c r="K403" t="s">
        <v>50</v>
      </c>
      <c r="L403" t="s">
        <v>51</v>
      </c>
      <c r="M403">
        <v>0</v>
      </c>
      <c r="N403" t="s">
        <v>57</v>
      </c>
      <c r="O403">
        <v>1</v>
      </c>
      <c r="P403" t="s">
        <v>53</v>
      </c>
      <c r="Q403" s="2">
        <v>0.4291666666666667</v>
      </c>
      <c r="R403">
        <f>-0.0009424068*3600</f>
        <v>-3.3926644799999996</v>
      </c>
      <c r="S403">
        <f>0.0014296377*3600</f>
        <v>5.1466957199999994</v>
      </c>
    </row>
    <row r="404" spans="1:19" x14ac:dyDescent="0.3">
      <c r="A404" s="4" t="s">
        <v>47</v>
      </c>
      <c r="B404" s="16" t="s">
        <v>234</v>
      </c>
      <c r="C404">
        <v>298.52747199999999</v>
      </c>
      <c r="D404">
        <v>100.449986</v>
      </c>
      <c r="E404">
        <v>1</v>
      </c>
      <c r="F404">
        <v>1</v>
      </c>
      <c r="G404">
        <v>0.23899999999999999</v>
      </c>
      <c r="H404">
        <v>0</v>
      </c>
      <c r="J404" t="s">
        <v>0</v>
      </c>
      <c r="K404" t="s">
        <v>61</v>
      </c>
      <c r="L404">
        <v>3.4000000000000002E-2</v>
      </c>
      <c r="M404" t="s">
        <v>52</v>
      </c>
      <c r="N404">
        <v>1</v>
      </c>
      <c r="O404" t="s">
        <v>53</v>
      </c>
      <c r="P404" s="2">
        <v>0.43055555555555558</v>
      </c>
      <c r="Q404">
        <f>-0.0008086125*3600</f>
        <v>-2.9110049999999998</v>
      </c>
      <c r="R404">
        <f>0.0013879288*3600</f>
        <v>4.9965436799999994</v>
      </c>
    </row>
    <row r="405" spans="1:19" x14ac:dyDescent="0.3">
      <c r="A405" s="4" t="s">
        <v>47</v>
      </c>
      <c r="B405" s="16" t="s">
        <v>235</v>
      </c>
      <c r="C405">
        <v>298.52757800000001</v>
      </c>
      <c r="D405">
        <v>100.450013</v>
      </c>
      <c r="E405">
        <v>1</v>
      </c>
      <c r="F405">
        <v>1</v>
      </c>
      <c r="G405">
        <v>0.23899999999999999</v>
      </c>
      <c r="H405">
        <v>0</v>
      </c>
      <c r="J405" t="s">
        <v>0</v>
      </c>
      <c r="K405" t="s">
        <v>61</v>
      </c>
      <c r="L405">
        <v>0</v>
      </c>
      <c r="M405" t="s">
        <v>52</v>
      </c>
      <c r="N405">
        <v>1</v>
      </c>
      <c r="O405" t="s">
        <v>63</v>
      </c>
      <c r="P405" s="2">
        <v>0.43055555555555558</v>
      </c>
      <c r="Q405">
        <f>-0.0009387612*3600</f>
        <v>-3.3795403200000003</v>
      </c>
      <c r="R405">
        <f>0.0013270198*3600</f>
        <v>4.7772712799999999</v>
      </c>
    </row>
    <row r="406" spans="1:19" x14ac:dyDescent="0.3">
      <c r="A406" s="4" t="s">
        <v>47</v>
      </c>
      <c r="B406" s="16" t="s">
        <v>236</v>
      </c>
      <c r="C406">
        <v>298.52814799999999</v>
      </c>
      <c r="D406">
        <v>100.449994</v>
      </c>
      <c r="E406">
        <v>1</v>
      </c>
      <c r="F406">
        <v>1</v>
      </c>
      <c r="G406">
        <v>0.23899999999999999</v>
      </c>
      <c r="H406">
        <v>0</v>
      </c>
      <c r="J406" t="s">
        <v>0</v>
      </c>
      <c r="K406" t="s">
        <v>61</v>
      </c>
      <c r="L406">
        <v>0</v>
      </c>
      <c r="M406" t="s">
        <v>52</v>
      </c>
      <c r="N406">
        <v>1</v>
      </c>
      <c r="O406" t="s">
        <v>63</v>
      </c>
      <c r="P406" s="2">
        <v>0.43055555555555558</v>
      </c>
      <c r="Q406">
        <f>-0.0009165145*3600</f>
        <v>-3.2994521999999997</v>
      </c>
      <c r="R406">
        <f>0.0013310993*3600</f>
        <v>4.7919574799999998</v>
      </c>
    </row>
    <row r="407" spans="1:19" x14ac:dyDescent="0.3">
      <c r="A407" s="4" t="s">
        <v>47</v>
      </c>
      <c r="B407" s="16" t="s">
        <v>237</v>
      </c>
      <c r="C407">
        <v>298.528369</v>
      </c>
      <c r="D407">
        <v>100.450215</v>
      </c>
      <c r="E407">
        <v>1</v>
      </c>
      <c r="F407">
        <v>1</v>
      </c>
      <c r="G407">
        <v>0.23899999999999999</v>
      </c>
      <c r="H407">
        <v>0</v>
      </c>
      <c r="J407" t="s">
        <v>0</v>
      </c>
      <c r="K407" t="s">
        <v>61</v>
      </c>
      <c r="L407">
        <v>0</v>
      </c>
      <c r="M407" t="s">
        <v>52</v>
      </c>
      <c r="N407">
        <v>1</v>
      </c>
      <c r="O407" t="s">
        <v>63</v>
      </c>
      <c r="P407" s="2">
        <v>0.43055555555555558</v>
      </c>
      <c r="Q407">
        <f>-0.0009049344*3600</f>
        <v>-3.25776384</v>
      </c>
      <c r="R407">
        <f>0.0013440756*3600</f>
        <v>4.8386721599999998</v>
      </c>
    </row>
    <row r="408" spans="1:19" x14ac:dyDescent="0.3">
      <c r="A408" s="4" t="s">
        <v>47</v>
      </c>
      <c r="B408" s="16" t="s">
        <v>238</v>
      </c>
      <c r="C408">
        <v>298.52810699999998</v>
      </c>
      <c r="D408">
        <v>100.449994</v>
      </c>
      <c r="E408">
        <v>1</v>
      </c>
      <c r="F408">
        <v>1</v>
      </c>
      <c r="G408">
        <v>0.23899999999999999</v>
      </c>
      <c r="H408">
        <v>0</v>
      </c>
      <c r="J408" t="s">
        <v>0</v>
      </c>
      <c r="K408" t="s">
        <v>61</v>
      </c>
      <c r="L408">
        <v>0</v>
      </c>
      <c r="M408" t="s">
        <v>52</v>
      </c>
      <c r="N408">
        <v>1</v>
      </c>
      <c r="O408" t="s">
        <v>63</v>
      </c>
      <c r="P408" s="2">
        <v>0.43055555555555558</v>
      </c>
      <c r="Q408">
        <f>-0.0009814063*3600</f>
        <v>-3.5330626800000005</v>
      </c>
      <c r="R408">
        <f>0.0013166962*3600</f>
        <v>4.7401063200000007</v>
      </c>
    </row>
    <row r="409" spans="1:19" x14ac:dyDescent="0.3">
      <c r="A409" s="4" t="s">
        <v>47</v>
      </c>
      <c r="B409" s="16" t="s">
        <v>239</v>
      </c>
      <c r="C409">
        <v>298.52826599999997</v>
      </c>
      <c r="D409">
        <v>100.450166</v>
      </c>
      <c r="E409">
        <v>1</v>
      </c>
      <c r="F409">
        <v>1</v>
      </c>
      <c r="G409">
        <v>0.23899999999999999</v>
      </c>
      <c r="H409">
        <v>0</v>
      </c>
      <c r="J409" t="s">
        <v>0</v>
      </c>
      <c r="K409" t="s">
        <v>61</v>
      </c>
      <c r="L409">
        <v>0</v>
      </c>
      <c r="M409" t="s">
        <v>52</v>
      </c>
      <c r="N409">
        <v>1</v>
      </c>
      <c r="O409" t="s">
        <v>63</v>
      </c>
      <c r="P409" s="2">
        <v>0.43055555555555558</v>
      </c>
      <c r="Q409">
        <f>-0.000909833*3600</f>
        <v>-3.2753988000000001</v>
      </c>
      <c r="R409">
        <f>0.001289922*3600</f>
        <v>4.6437191999999996</v>
      </c>
    </row>
    <row r="410" spans="1:19" x14ac:dyDescent="0.3">
      <c r="A410" s="4" t="s">
        <v>47</v>
      </c>
      <c r="B410" s="16" t="s">
        <v>240</v>
      </c>
      <c r="C410">
        <v>298.53018500000002</v>
      </c>
      <c r="D410">
        <v>100.450298</v>
      </c>
      <c r="E410">
        <v>1</v>
      </c>
      <c r="F410">
        <v>1</v>
      </c>
      <c r="G410">
        <v>0.23899999999999999</v>
      </c>
      <c r="H410">
        <v>0</v>
      </c>
      <c r="J410" t="s">
        <v>0</v>
      </c>
      <c r="K410" t="s">
        <v>61</v>
      </c>
      <c r="L410">
        <v>0</v>
      </c>
      <c r="M410" t="s">
        <v>52</v>
      </c>
      <c r="N410">
        <v>1</v>
      </c>
      <c r="O410" t="s">
        <v>63</v>
      </c>
      <c r="P410" s="2">
        <v>0.43055555555555558</v>
      </c>
      <c r="Q410">
        <f>-0.000821787*3600</f>
        <v>-2.9584332</v>
      </c>
      <c r="R410">
        <f>0.0013507886*3600</f>
        <v>4.8628389600000004</v>
      </c>
    </row>
    <row r="411" spans="1:19" x14ac:dyDescent="0.3">
      <c r="A411" s="4" t="s">
        <v>47</v>
      </c>
      <c r="B411" s="16" t="s">
        <v>241</v>
      </c>
      <c r="C411">
        <v>298.52840099999997</v>
      </c>
      <c r="D411">
        <v>100.45006600000001</v>
      </c>
      <c r="E411">
        <v>1</v>
      </c>
      <c r="F411">
        <v>1</v>
      </c>
      <c r="G411">
        <v>0.23899999999999999</v>
      </c>
      <c r="H411">
        <v>0</v>
      </c>
      <c r="J411" t="s">
        <v>0</v>
      </c>
      <c r="K411" t="s">
        <v>61</v>
      </c>
      <c r="L411">
        <v>0</v>
      </c>
      <c r="M411" t="s">
        <v>52</v>
      </c>
      <c r="N411">
        <v>1</v>
      </c>
      <c r="O411" t="s">
        <v>63</v>
      </c>
      <c r="P411" s="2">
        <v>0.43055555555555558</v>
      </c>
      <c r="Q411">
        <f>-0.0009430049*3600</f>
        <v>-3.3948176399999999</v>
      </c>
      <c r="R411">
        <f>0.0013527002*3600</f>
        <v>4.8697207200000001</v>
      </c>
    </row>
    <row r="412" spans="1:19" x14ac:dyDescent="0.3">
      <c r="A412" s="4" t="s">
        <v>47</v>
      </c>
      <c r="B412" s="16" t="s">
        <v>242</v>
      </c>
      <c r="C412">
        <v>298.52799099999999</v>
      </c>
      <c r="D412">
        <v>100.450056</v>
      </c>
      <c r="E412">
        <v>1</v>
      </c>
      <c r="F412">
        <v>1</v>
      </c>
      <c r="G412">
        <v>0.23899999999999999</v>
      </c>
      <c r="H412">
        <v>0</v>
      </c>
      <c r="J412" t="s">
        <v>0</v>
      </c>
      <c r="K412" t="s">
        <v>61</v>
      </c>
      <c r="L412">
        <v>0</v>
      </c>
      <c r="M412" t="s">
        <v>52</v>
      </c>
      <c r="N412">
        <v>1</v>
      </c>
      <c r="O412" t="s">
        <v>63</v>
      </c>
      <c r="P412" s="2">
        <v>0.43055555555555558</v>
      </c>
      <c r="Q412">
        <f>-0.0009260984*3600</f>
        <v>-3.3339542400000002</v>
      </c>
      <c r="R412">
        <f>0.001325079*3600</f>
        <v>4.7702844000000004</v>
      </c>
    </row>
    <row r="413" spans="1:19" x14ac:dyDescent="0.3">
      <c r="A413" s="4" t="s">
        <v>47</v>
      </c>
      <c r="B413" s="16" t="s">
        <v>243</v>
      </c>
      <c r="C413">
        <v>298.52803799999998</v>
      </c>
      <c r="D413">
        <v>100.450067</v>
      </c>
      <c r="E413">
        <v>1</v>
      </c>
      <c r="F413">
        <v>1</v>
      </c>
      <c r="G413">
        <v>0.23899999999999999</v>
      </c>
      <c r="H413">
        <v>0</v>
      </c>
      <c r="J413" t="s">
        <v>0</v>
      </c>
      <c r="K413" t="s">
        <v>61</v>
      </c>
      <c r="L413">
        <v>0</v>
      </c>
      <c r="M413" t="s">
        <v>52</v>
      </c>
      <c r="N413">
        <v>1</v>
      </c>
      <c r="O413" t="s">
        <v>63</v>
      </c>
      <c r="P413" s="2">
        <v>0.43055555555555558</v>
      </c>
      <c r="Q413">
        <f>-0.0009672738*3600</f>
        <v>-3.4821856800000002</v>
      </c>
      <c r="R413">
        <f>0.0013381138*3600</f>
        <v>4.8172096800000004</v>
      </c>
    </row>
    <row r="414" spans="1:19" x14ac:dyDescent="0.3">
      <c r="A414" s="4" t="s">
        <v>47</v>
      </c>
      <c r="B414" s="16" t="s">
        <v>244</v>
      </c>
      <c r="C414">
        <v>298.52741800000001</v>
      </c>
      <c r="D414">
        <v>100.450104</v>
      </c>
      <c r="E414">
        <v>1</v>
      </c>
      <c r="F414">
        <v>1</v>
      </c>
      <c r="G414">
        <v>0.23899999999999999</v>
      </c>
      <c r="H414">
        <v>0</v>
      </c>
      <c r="J414" t="s">
        <v>0</v>
      </c>
      <c r="K414" t="s">
        <v>61</v>
      </c>
      <c r="L414">
        <v>0</v>
      </c>
      <c r="M414" t="s">
        <v>52</v>
      </c>
      <c r="N414">
        <v>1</v>
      </c>
      <c r="O414" t="s">
        <v>63</v>
      </c>
      <c r="P414" s="2">
        <v>0.43055555555555558</v>
      </c>
      <c r="Q414">
        <f>-0.0009660642*3600</f>
        <v>-3.4778311200000003</v>
      </c>
      <c r="R414">
        <f>0.0013420719*3600</f>
        <v>4.8314588399999998</v>
      </c>
    </row>
    <row r="415" spans="1:19" x14ac:dyDescent="0.3">
      <c r="A415" s="4" t="s">
        <v>47</v>
      </c>
      <c r="B415" s="16" t="s">
        <v>245</v>
      </c>
      <c r="C415">
        <v>298.52834000000001</v>
      </c>
      <c r="D415">
        <v>100.45004900000001</v>
      </c>
      <c r="E415">
        <v>1</v>
      </c>
      <c r="F415">
        <v>1</v>
      </c>
      <c r="G415">
        <v>0.23899999999999999</v>
      </c>
      <c r="H415">
        <v>0</v>
      </c>
      <c r="J415" t="s">
        <v>0</v>
      </c>
      <c r="K415" t="s">
        <v>61</v>
      </c>
      <c r="L415">
        <v>0</v>
      </c>
      <c r="M415" t="s">
        <v>52</v>
      </c>
      <c r="N415">
        <v>1</v>
      </c>
      <c r="O415" t="s">
        <v>63</v>
      </c>
      <c r="P415" s="2">
        <v>0.43124999999999997</v>
      </c>
      <c r="Q415">
        <f>-0.0009612669*3600</f>
        <v>-3.4605608399999999</v>
      </c>
      <c r="R415">
        <f>0.0013415917*3600</f>
        <v>4.8297301200000007</v>
      </c>
    </row>
    <row r="416" spans="1:19" x14ac:dyDescent="0.3">
      <c r="A416" s="4" t="s">
        <v>47</v>
      </c>
      <c r="B416" s="16" t="s">
        <v>246</v>
      </c>
      <c r="C416">
        <v>298.52820600000001</v>
      </c>
      <c r="D416">
        <v>100.45003800000001</v>
      </c>
      <c r="E416">
        <v>1</v>
      </c>
      <c r="F416">
        <v>1</v>
      </c>
      <c r="G416">
        <v>0.23899999999999999</v>
      </c>
      <c r="H416">
        <v>0</v>
      </c>
      <c r="J416" t="s">
        <v>0</v>
      </c>
      <c r="K416" t="s">
        <v>61</v>
      </c>
      <c r="L416">
        <v>3.4000000000000002E-2</v>
      </c>
      <c r="M416" t="s">
        <v>52</v>
      </c>
      <c r="N416">
        <v>1</v>
      </c>
      <c r="O416" t="s">
        <v>53</v>
      </c>
      <c r="P416" s="2">
        <v>0.43124999999999997</v>
      </c>
      <c r="Q416">
        <f>-0.0009362106*3600</f>
        <v>-3.3703581599999999</v>
      </c>
      <c r="R416">
        <f>0.0012796112*3600</f>
        <v>4.6066003200000001</v>
      </c>
    </row>
    <row r="417" spans="1:18" x14ac:dyDescent="0.3">
      <c r="A417" s="4" t="s">
        <v>47</v>
      </c>
      <c r="B417" s="16" t="s">
        <v>247</v>
      </c>
      <c r="C417">
        <v>298.52789300000001</v>
      </c>
      <c r="D417">
        <v>100.450023</v>
      </c>
      <c r="E417">
        <v>1</v>
      </c>
      <c r="F417">
        <v>1</v>
      </c>
      <c r="G417">
        <v>0.23899999999999999</v>
      </c>
      <c r="H417">
        <v>0</v>
      </c>
      <c r="J417" t="s">
        <v>0</v>
      </c>
      <c r="K417" t="s">
        <v>61</v>
      </c>
      <c r="L417">
        <v>0</v>
      </c>
      <c r="M417" t="s">
        <v>52</v>
      </c>
      <c r="N417">
        <v>1</v>
      </c>
      <c r="O417" t="s">
        <v>63</v>
      </c>
      <c r="P417" s="2">
        <v>0.43124999999999997</v>
      </c>
      <c r="Q417">
        <f>-0.0009792215*3600</f>
        <v>-3.5251973999999997</v>
      </c>
      <c r="R417">
        <f>0.0012768719*3600</f>
        <v>4.5967388400000004</v>
      </c>
    </row>
    <row r="418" spans="1:18" x14ac:dyDescent="0.3">
      <c r="A418" s="4" t="s">
        <v>47</v>
      </c>
      <c r="B418" s="16" t="s">
        <v>248</v>
      </c>
      <c r="C418">
        <v>298.52802400000002</v>
      </c>
      <c r="D418">
        <v>100.71850999999999</v>
      </c>
      <c r="E418">
        <v>13.124599999999999</v>
      </c>
      <c r="F418">
        <v>13.121499999999999</v>
      </c>
      <c r="G418">
        <v>0.23899999999999999</v>
      </c>
      <c r="H418">
        <v>0</v>
      </c>
      <c r="J418" t="s">
        <v>0</v>
      </c>
      <c r="K418" t="s">
        <v>61</v>
      </c>
      <c r="L418">
        <v>0</v>
      </c>
      <c r="M418" t="s">
        <v>52</v>
      </c>
      <c r="N418">
        <v>1</v>
      </c>
      <c r="O418" t="s">
        <v>63</v>
      </c>
      <c r="P418" s="2">
        <v>0.43124999999999997</v>
      </c>
      <c r="Q418">
        <f>-0.0010613916*3600</f>
        <v>-3.8210097600000004</v>
      </c>
      <c r="R418">
        <f>0.0013405097*3600</f>
        <v>4.8258349200000001</v>
      </c>
    </row>
    <row r="419" spans="1:18" x14ac:dyDescent="0.3">
      <c r="A419" s="4" t="s">
        <v>47</v>
      </c>
      <c r="B419" s="16" t="s">
        <v>249</v>
      </c>
      <c r="C419">
        <v>298.527354</v>
      </c>
      <c r="D419">
        <v>100.427438</v>
      </c>
      <c r="E419">
        <v>1</v>
      </c>
      <c r="F419">
        <v>1</v>
      </c>
      <c r="G419">
        <v>0.23899999999999999</v>
      </c>
      <c r="H419">
        <v>0</v>
      </c>
      <c r="J419" t="s">
        <v>0</v>
      </c>
      <c r="K419" t="s">
        <v>61</v>
      </c>
      <c r="L419">
        <v>0</v>
      </c>
      <c r="M419" t="s">
        <v>52</v>
      </c>
      <c r="N419">
        <v>1</v>
      </c>
      <c r="O419" t="s">
        <v>63</v>
      </c>
      <c r="P419" s="2">
        <v>0.43124999999999997</v>
      </c>
      <c r="Q419">
        <f>-0.0009479762*3600</f>
        <v>-3.4127143200000001</v>
      </c>
      <c r="R419">
        <f>0.0013784985*3600</f>
        <v>4.9625946000000001</v>
      </c>
    </row>
    <row r="420" spans="1:18" x14ac:dyDescent="0.3">
      <c r="A420" s="4" t="s">
        <v>47</v>
      </c>
      <c r="B420" s="16" t="s">
        <v>250</v>
      </c>
      <c r="C420">
        <v>298.52760799999999</v>
      </c>
      <c r="D420">
        <v>100.42747900000001</v>
      </c>
      <c r="E420">
        <v>1</v>
      </c>
      <c r="F420">
        <v>1</v>
      </c>
      <c r="G420">
        <v>0.23899999999999999</v>
      </c>
      <c r="H420">
        <v>0</v>
      </c>
      <c r="J420" t="s">
        <v>0</v>
      </c>
      <c r="K420" t="s">
        <v>61</v>
      </c>
      <c r="L420">
        <v>0</v>
      </c>
      <c r="M420" t="s">
        <v>52</v>
      </c>
      <c r="N420">
        <v>1</v>
      </c>
      <c r="O420" t="s">
        <v>63</v>
      </c>
      <c r="P420" s="2">
        <v>0.43124999999999997</v>
      </c>
      <c r="Q420">
        <f>-0.0010260199*3600</f>
        <v>-3.6936716400000003</v>
      </c>
      <c r="R420">
        <f>0.0012652598*3600</f>
        <v>4.5549352799999996</v>
      </c>
    </row>
    <row r="421" spans="1:18" x14ac:dyDescent="0.3">
      <c r="A421" s="4" t="s">
        <v>47</v>
      </c>
      <c r="B421" s="16" t="s">
        <v>251</v>
      </c>
      <c r="C421">
        <v>298.52873099999999</v>
      </c>
      <c r="D421">
        <v>100.427463</v>
      </c>
      <c r="E421">
        <v>1</v>
      </c>
      <c r="F421">
        <v>1</v>
      </c>
      <c r="G421">
        <v>0.23899999999999999</v>
      </c>
      <c r="H421">
        <v>0</v>
      </c>
      <c r="J421" t="s">
        <v>0</v>
      </c>
      <c r="K421" t="s">
        <v>61</v>
      </c>
      <c r="L421">
        <v>0</v>
      </c>
      <c r="M421" t="s">
        <v>52</v>
      </c>
      <c r="N421">
        <v>1</v>
      </c>
      <c r="O421" t="s">
        <v>63</v>
      </c>
      <c r="P421" s="2">
        <v>0.43124999999999997</v>
      </c>
      <c r="Q421">
        <f>-0.001022559*3600</f>
        <v>-3.6812123999999997</v>
      </c>
      <c r="R421">
        <f>0.0012580892*3600</f>
        <v>4.5291211200000001</v>
      </c>
    </row>
    <row r="422" spans="1:18" x14ac:dyDescent="0.3">
      <c r="A422" s="4" t="s">
        <v>47</v>
      </c>
      <c r="B422" s="16" t="s">
        <v>252</v>
      </c>
      <c r="C422">
        <v>98.528778000000003</v>
      </c>
      <c r="D422">
        <v>299.27996000000002</v>
      </c>
      <c r="E422">
        <v>13.1251</v>
      </c>
      <c r="F422">
        <v>13.122</v>
      </c>
      <c r="G422">
        <v>0.23899999999999999</v>
      </c>
      <c r="H422">
        <v>0</v>
      </c>
      <c r="J422" t="s">
        <v>0</v>
      </c>
      <c r="K422" t="s">
        <v>61</v>
      </c>
      <c r="L422">
        <v>0</v>
      </c>
      <c r="M422" t="s">
        <v>52</v>
      </c>
      <c r="N422">
        <v>1</v>
      </c>
      <c r="O422" t="s">
        <v>63</v>
      </c>
      <c r="P422" s="2">
        <v>0.43124999999999997</v>
      </c>
      <c r="Q422">
        <f>-0.0010256368*3600</f>
        <v>-3.6922924799999999</v>
      </c>
      <c r="R422">
        <f>0.0013493828*3600</f>
        <v>4.8577780800000001</v>
      </c>
    </row>
    <row r="423" spans="1:18" x14ac:dyDescent="0.3">
      <c r="A423" s="4" t="s">
        <v>47</v>
      </c>
      <c r="B423" s="16" t="s">
        <v>253</v>
      </c>
      <c r="C423">
        <v>98.527697000000003</v>
      </c>
      <c r="D423">
        <v>299.58029199999999</v>
      </c>
      <c r="E423">
        <v>1</v>
      </c>
      <c r="F423">
        <v>1</v>
      </c>
      <c r="G423">
        <v>0.23899999999999999</v>
      </c>
      <c r="H423">
        <v>0</v>
      </c>
      <c r="J423" t="s">
        <v>0</v>
      </c>
      <c r="K423" t="s">
        <v>61</v>
      </c>
      <c r="L423">
        <v>0</v>
      </c>
      <c r="M423" t="s">
        <v>52</v>
      </c>
      <c r="N423">
        <v>1</v>
      </c>
      <c r="O423" t="s">
        <v>63</v>
      </c>
      <c r="P423" s="2">
        <v>0.43124999999999997</v>
      </c>
      <c r="Q423">
        <f>-0.0010201396*3600</f>
        <v>-3.6725025599999999</v>
      </c>
      <c r="R423">
        <f>0.0012876906*3600</f>
        <v>4.6356861599999997</v>
      </c>
    </row>
    <row r="424" spans="1:18" x14ac:dyDescent="0.3">
      <c r="A424" s="4" t="s">
        <v>47</v>
      </c>
      <c r="B424" s="16" t="s">
        <v>254</v>
      </c>
      <c r="C424">
        <v>98.527794</v>
      </c>
      <c r="D424">
        <v>299.580307</v>
      </c>
      <c r="E424">
        <v>1</v>
      </c>
      <c r="F424">
        <v>1</v>
      </c>
      <c r="G424">
        <v>0.23899999999999999</v>
      </c>
      <c r="H424">
        <v>0</v>
      </c>
      <c r="J424" t="s">
        <v>0</v>
      </c>
      <c r="K424" t="s">
        <v>61</v>
      </c>
      <c r="L424">
        <v>0</v>
      </c>
      <c r="M424" t="s">
        <v>52</v>
      </c>
      <c r="N424">
        <v>1</v>
      </c>
      <c r="O424" t="s">
        <v>63</v>
      </c>
      <c r="P424" s="2">
        <v>0.43124999999999997</v>
      </c>
      <c r="Q424">
        <f>-0.0009477382*3600</f>
        <v>-3.4118575199999999</v>
      </c>
      <c r="R424">
        <f>0.0013743498*3600</f>
        <v>4.9476592799999999</v>
      </c>
    </row>
    <row r="425" spans="1:18" x14ac:dyDescent="0.3">
      <c r="A425" s="4" t="s">
        <v>47</v>
      </c>
      <c r="B425" s="16" t="s">
        <v>255</v>
      </c>
      <c r="C425">
        <v>98.527518999999998</v>
      </c>
      <c r="D425">
        <v>299.580308</v>
      </c>
      <c r="E425">
        <v>1</v>
      </c>
      <c r="F425">
        <v>1</v>
      </c>
      <c r="G425">
        <v>0.23899999999999999</v>
      </c>
      <c r="H425">
        <v>0</v>
      </c>
      <c r="J425" t="s">
        <v>0</v>
      </c>
      <c r="K425" t="s">
        <v>61</v>
      </c>
      <c r="L425">
        <v>0</v>
      </c>
      <c r="M425" t="s">
        <v>52</v>
      </c>
      <c r="N425">
        <v>1</v>
      </c>
      <c r="O425" t="s">
        <v>63</v>
      </c>
      <c r="P425" s="2">
        <v>0.43194444444444446</v>
      </c>
      <c r="Q425">
        <f>-0.0009631828*3600</f>
        <v>-3.4674580800000001</v>
      </c>
      <c r="R425">
        <f>0.0013758854*3600</f>
        <v>4.9531874399999998</v>
      </c>
    </row>
    <row r="426" spans="1:18" x14ac:dyDescent="0.3">
      <c r="A426" s="4" t="s">
        <v>47</v>
      </c>
      <c r="B426" s="16" t="s">
        <v>256</v>
      </c>
      <c r="C426">
        <v>98.526926000000003</v>
      </c>
      <c r="D426">
        <v>299.58026699999999</v>
      </c>
      <c r="E426">
        <v>1</v>
      </c>
      <c r="F426">
        <v>1</v>
      </c>
      <c r="G426">
        <v>0.23899999999999999</v>
      </c>
      <c r="H426">
        <v>0</v>
      </c>
      <c r="J426" t="s">
        <v>0</v>
      </c>
      <c r="K426" t="s">
        <v>61</v>
      </c>
      <c r="L426">
        <v>0</v>
      </c>
      <c r="M426" t="s">
        <v>52</v>
      </c>
      <c r="N426">
        <v>1</v>
      </c>
      <c r="O426" t="s">
        <v>63</v>
      </c>
      <c r="P426" s="2">
        <v>0.43194444444444446</v>
      </c>
      <c r="Q426">
        <f>-0.0010017894*3600</f>
        <v>-3.60644184</v>
      </c>
      <c r="R426">
        <f>0.0013411415*3600</f>
        <v>4.8281094000000007</v>
      </c>
    </row>
    <row r="427" spans="1:18" x14ac:dyDescent="0.3">
      <c r="A427" s="4" t="s">
        <v>47</v>
      </c>
      <c r="B427" s="16" t="s">
        <v>257</v>
      </c>
      <c r="C427">
        <v>98.526955000000001</v>
      </c>
      <c r="D427">
        <v>299.580241</v>
      </c>
      <c r="E427">
        <v>1</v>
      </c>
      <c r="F427">
        <v>1</v>
      </c>
      <c r="G427">
        <v>0.23899999999999999</v>
      </c>
      <c r="H427">
        <v>0</v>
      </c>
      <c r="J427" t="s">
        <v>0</v>
      </c>
      <c r="K427" t="s">
        <v>61</v>
      </c>
      <c r="L427">
        <v>0</v>
      </c>
      <c r="M427" t="s">
        <v>52</v>
      </c>
      <c r="N427">
        <v>1</v>
      </c>
      <c r="O427" t="s">
        <v>63</v>
      </c>
      <c r="P427" s="2">
        <v>0.43194444444444446</v>
      </c>
      <c r="Q427">
        <f>-0.0009597582*3600</f>
        <v>-3.4551295199999998</v>
      </c>
      <c r="R427">
        <f>0.0013644567*3600</f>
        <v>4.91204412</v>
      </c>
    </row>
    <row r="428" spans="1:18" x14ac:dyDescent="0.3">
      <c r="A428" s="4" t="s">
        <v>47</v>
      </c>
      <c r="B428" s="16" t="s">
        <v>258</v>
      </c>
      <c r="C428">
        <v>98.527688999999995</v>
      </c>
      <c r="D428">
        <v>299.580308</v>
      </c>
      <c r="E428">
        <v>1</v>
      </c>
      <c r="F428">
        <v>1</v>
      </c>
      <c r="G428">
        <v>0.23899999999999999</v>
      </c>
      <c r="H428">
        <v>0</v>
      </c>
      <c r="J428" t="s">
        <v>0</v>
      </c>
      <c r="K428" t="s">
        <v>61</v>
      </c>
      <c r="L428">
        <v>3.4000000000000002E-2</v>
      </c>
      <c r="M428" t="s">
        <v>52</v>
      </c>
      <c r="N428">
        <v>1</v>
      </c>
      <c r="O428" t="s">
        <v>53</v>
      </c>
      <c r="P428" s="2">
        <v>0.43194444444444446</v>
      </c>
      <c r="Q428">
        <f>-0.0009854626*3600</f>
        <v>-3.5476653600000003</v>
      </c>
      <c r="R428">
        <f>0.0012299658*3600</f>
        <v>4.4278768800000003</v>
      </c>
    </row>
    <row r="429" spans="1:18" x14ac:dyDescent="0.3">
      <c r="A429" s="4" t="s">
        <v>47</v>
      </c>
      <c r="B429" s="16" t="s">
        <v>259</v>
      </c>
      <c r="C429">
        <v>98.527635000000004</v>
      </c>
      <c r="D429">
        <v>299.58031599999998</v>
      </c>
      <c r="E429">
        <v>1</v>
      </c>
      <c r="F429">
        <v>1</v>
      </c>
      <c r="G429">
        <v>0.23899999999999999</v>
      </c>
      <c r="H429">
        <v>0</v>
      </c>
      <c r="J429" t="s">
        <v>0</v>
      </c>
      <c r="K429" t="s">
        <v>61</v>
      </c>
      <c r="L429">
        <v>0</v>
      </c>
      <c r="M429" t="s">
        <v>52</v>
      </c>
      <c r="N429">
        <v>1</v>
      </c>
      <c r="O429" t="s">
        <v>63</v>
      </c>
      <c r="P429" s="2">
        <v>0.43194444444444446</v>
      </c>
      <c r="Q429">
        <f>-0.0011273478*3600</f>
        <v>-4.0584520799999995</v>
      </c>
      <c r="R429">
        <f>0.0013029061*3600</f>
        <v>4.6904619599999995</v>
      </c>
    </row>
    <row r="430" spans="1:18" x14ac:dyDescent="0.3">
      <c r="A430" s="4" t="s">
        <v>47</v>
      </c>
      <c r="B430" s="16" t="s">
        <v>260</v>
      </c>
      <c r="C430">
        <v>98.527462999999997</v>
      </c>
      <c r="D430">
        <v>299.580287</v>
      </c>
      <c r="E430">
        <v>1</v>
      </c>
      <c r="F430">
        <v>1</v>
      </c>
      <c r="G430">
        <v>0.23899999999999999</v>
      </c>
      <c r="H430">
        <v>0</v>
      </c>
      <c r="J430" t="s">
        <v>0</v>
      </c>
      <c r="K430" t="s">
        <v>61</v>
      </c>
      <c r="L430">
        <v>0</v>
      </c>
      <c r="M430" t="s">
        <v>52</v>
      </c>
      <c r="N430">
        <v>1</v>
      </c>
      <c r="O430" t="s">
        <v>63</v>
      </c>
      <c r="P430" s="2">
        <v>0.43194444444444446</v>
      </c>
      <c r="Q430">
        <f>-0.0010911928*3600</f>
        <v>-3.9282940800000001</v>
      </c>
      <c r="R430">
        <f>0.0012913655*3600</f>
        <v>4.6489158000000002</v>
      </c>
    </row>
    <row r="431" spans="1:18" x14ac:dyDescent="0.3">
      <c r="A431" s="4" t="s">
        <v>47</v>
      </c>
      <c r="B431" s="16" t="s">
        <v>261</v>
      </c>
      <c r="C431">
        <v>98.527173000000005</v>
      </c>
      <c r="D431">
        <v>299.58029199999999</v>
      </c>
      <c r="E431">
        <v>1</v>
      </c>
      <c r="F431">
        <v>1</v>
      </c>
      <c r="G431">
        <v>0.23899999999999999</v>
      </c>
      <c r="H431">
        <v>0</v>
      </c>
      <c r="J431" t="s">
        <v>0</v>
      </c>
      <c r="K431" t="s">
        <v>61</v>
      </c>
      <c r="L431">
        <v>0</v>
      </c>
      <c r="M431" t="s">
        <v>52</v>
      </c>
      <c r="N431">
        <v>1</v>
      </c>
      <c r="O431" t="s">
        <v>63</v>
      </c>
      <c r="P431" s="2">
        <v>0.43194444444444446</v>
      </c>
      <c r="Q431">
        <f>-0.0010654584*3600</f>
        <v>-3.8356502399999997</v>
      </c>
      <c r="R431">
        <f>0.0013256341*3600</f>
        <v>4.7722827600000004</v>
      </c>
    </row>
    <row r="432" spans="1:18" x14ac:dyDescent="0.3">
      <c r="A432" s="4" t="s">
        <v>47</v>
      </c>
      <c r="B432" s="16" t="s">
        <v>262</v>
      </c>
      <c r="C432">
        <v>98.527214000000001</v>
      </c>
      <c r="D432">
        <v>299.58030600000001</v>
      </c>
      <c r="E432">
        <v>1</v>
      </c>
      <c r="F432">
        <v>1</v>
      </c>
      <c r="G432">
        <v>0.23899999999999999</v>
      </c>
      <c r="H432">
        <v>0</v>
      </c>
      <c r="J432" t="s">
        <v>0</v>
      </c>
      <c r="K432" t="s">
        <v>61</v>
      </c>
      <c r="L432">
        <v>0</v>
      </c>
      <c r="M432" t="s">
        <v>52</v>
      </c>
      <c r="N432">
        <v>1</v>
      </c>
      <c r="O432" t="s">
        <v>63</v>
      </c>
      <c r="P432" s="2">
        <v>0.43194444444444446</v>
      </c>
      <c r="Q432">
        <f>-0.0010050743*3600</f>
        <v>-3.6182674800000001</v>
      </c>
      <c r="R432">
        <f>0.0013613343*3600</f>
        <v>4.9008034799999995</v>
      </c>
    </row>
    <row r="433" spans="1:18" x14ac:dyDescent="0.3">
      <c r="A433" s="4" t="s">
        <v>47</v>
      </c>
      <c r="B433" s="16" t="s">
        <v>263</v>
      </c>
      <c r="C433">
        <v>98.527488000000005</v>
      </c>
      <c r="D433">
        <v>299.58030000000002</v>
      </c>
      <c r="E433">
        <v>1</v>
      </c>
      <c r="F433">
        <v>1</v>
      </c>
      <c r="G433">
        <v>0.23899999999999999</v>
      </c>
      <c r="H433">
        <v>0</v>
      </c>
      <c r="J433" t="s">
        <v>0</v>
      </c>
      <c r="K433" t="s">
        <v>61</v>
      </c>
      <c r="L433">
        <v>0</v>
      </c>
      <c r="M433" t="s">
        <v>52</v>
      </c>
      <c r="N433">
        <v>1</v>
      </c>
      <c r="O433" t="s">
        <v>63</v>
      </c>
      <c r="P433" s="2">
        <v>0.43194444444444446</v>
      </c>
      <c r="Q433">
        <f>-0.0011089931*3600</f>
        <v>-3.9923751599999999</v>
      </c>
      <c r="R433">
        <f>0.0013900209*3600</f>
        <v>5.0040752399999997</v>
      </c>
    </row>
    <row r="434" spans="1:18" x14ac:dyDescent="0.3">
      <c r="A434" s="4" t="s">
        <v>47</v>
      </c>
      <c r="B434" s="16" t="s">
        <v>264</v>
      </c>
      <c r="C434">
        <v>98.527613000000002</v>
      </c>
      <c r="D434">
        <v>299.27994699999999</v>
      </c>
      <c r="E434">
        <v>13.1249</v>
      </c>
      <c r="F434">
        <v>13.1218</v>
      </c>
      <c r="G434">
        <v>0.23899999999999999</v>
      </c>
      <c r="H434">
        <v>0</v>
      </c>
      <c r="J434" t="s">
        <v>0</v>
      </c>
      <c r="K434" t="s">
        <v>61</v>
      </c>
      <c r="L434">
        <v>0</v>
      </c>
      <c r="M434" t="s">
        <v>52</v>
      </c>
      <c r="N434">
        <v>1</v>
      </c>
      <c r="O434" t="s">
        <v>63</v>
      </c>
      <c r="P434" s="2">
        <v>0.43194444444444446</v>
      </c>
      <c r="Q434">
        <f>-0.001175944*3600</f>
        <v>-4.2333983999999996</v>
      </c>
      <c r="R434">
        <f>0.0014445521*3600</f>
        <v>5.2003875600000002</v>
      </c>
    </row>
    <row r="435" spans="1:18" x14ac:dyDescent="0.3">
      <c r="A435" s="4" t="s">
        <v>47</v>
      </c>
      <c r="B435" s="16" t="s">
        <v>265</v>
      </c>
      <c r="C435">
        <v>98.528053999999997</v>
      </c>
      <c r="D435">
        <v>299.54832699999997</v>
      </c>
      <c r="E435">
        <v>1</v>
      </c>
      <c r="F435">
        <v>1</v>
      </c>
      <c r="G435">
        <v>0.23899999999999999</v>
      </c>
      <c r="H435">
        <v>0</v>
      </c>
      <c r="J435" t="s">
        <v>0</v>
      </c>
      <c r="K435" t="s">
        <v>61</v>
      </c>
      <c r="L435">
        <v>3.4000000000000002E-2</v>
      </c>
      <c r="M435" t="s">
        <v>52</v>
      </c>
      <c r="N435">
        <v>1</v>
      </c>
      <c r="O435" t="s">
        <v>53</v>
      </c>
      <c r="P435" s="2">
        <v>0.43263888888888885</v>
      </c>
      <c r="Q435">
        <f>-0.0011078485*3600</f>
        <v>-3.9882545999999999</v>
      </c>
      <c r="R435">
        <f>0.0013761439*3600</f>
        <v>4.95411804</v>
      </c>
    </row>
    <row r="436" spans="1:18" x14ac:dyDescent="0.3">
      <c r="A436" s="4" t="s">
        <v>47</v>
      </c>
      <c r="B436" s="16" t="s">
        <v>266</v>
      </c>
      <c r="C436">
        <v>98.527468999999996</v>
      </c>
      <c r="D436">
        <v>299.548385</v>
      </c>
      <c r="E436">
        <v>1</v>
      </c>
      <c r="F436">
        <v>1</v>
      </c>
      <c r="G436">
        <v>0.23899999999999999</v>
      </c>
      <c r="H436">
        <v>0</v>
      </c>
      <c r="J436" t="s">
        <v>0</v>
      </c>
      <c r="K436" t="s">
        <v>61</v>
      </c>
      <c r="L436">
        <v>3.4000000000000002E-2</v>
      </c>
      <c r="M436" t="s">
        <v>52</v>
      </c>
      <c r="N436">
        <v>1</v>
      </c>
      <c r="O436" t="s">
        <v>53</v>
      </c>
      <c r="P436" s="2">
        <v>0.43333333333333335</v>
      </c>
      <c r="Q436">
        <f>-0.0007887453*3600</f>
        <v>-2.8394830799999999</v>
      </c>
      <c r="R436">
        <f>0.0013208347*3600</f>
        <v>4.7550049199999993</v>
      </c>
    </row>
    <row r="437" spans="1:18" x14ac:dyDescent="0.3">
      <c r="A437" s="4" t="s">
        <v>47</v>
      </c>
      <c r="B437" s="16" t="s">
        <v>267</v>
      </c>
      <c r="C437">
        <v>98.527434999999997</v>
      </c>
      <c r="D437">
        <v>299.54846099999997</v>
      </c>
      <c r="E437">
        <v>1</v>
      </c>
      <c r="F437">
        <v>1</v>
      </c>
      <c r="G437">
        <v>0.23899999999999999</v>
      </c>
      <c r="H437">
        <v>0</v>
      </c>
      <c r="J437" t="s">
        <v>0</v>
      </c>
      <c r="K437" t="s">
        <v>61</v>
      </c>
      <c r="L437">
        <v>0</v>
      </c>
      <c r="M437" t="s">
        <v>52</v>
      </c>
      <c r="N437">
        <v>1</v>
      </c>
      <c r="O437" t="s">
        <v>63</v>
      </c>
      <c r="P437" s="2">
        <v>0.43333333333333335</v>
      </c>
      <c r="Q437">
        <f>-0.0009599699*3600</f>
        <v>-3.4558916399999999</v>
      </c>
      <c r="R437">
        <f>0.0013010249*3600</f>
        <v>4.6836896400000008</v>
      </c>
    </row>
    <row r="438" spans="1:18" x14ac:dyDescent="0.3">
      <c r="A438" s="4" t="s">
        <v>47</v>
      </c>
      <c r="B438" s="16" t="s">
        <v>268</v>
      </c>
      <c r="C438">
        <v>98.527393000000004</v>
      </c>
      <c r="D438">
        <v>299.548337</v>
      </c>
      <c r="E438">
        <v>1</v>
      </c>
      <c r="F438">
        <v>1</v>
      </c>
      <c r="G438">
        <v>0.23899999999999999</v>
      </c>
      <c r="H438">
        <v>0</v>
      </c>
      <c r="J438" t="s">
        <v>0</v>
      </c>
      <c r="K438" t="s">
        <v>61</v>
      </c>
      <c r="L438">
        <v>0</v>
      </c>
      <c r="M438" t="s">
        <v>52</v>
      </c>
      <c r="N438">
        <v>1</v>
      </c>
      <c r="O438" t="s">
        <v>63</v>
      </c>
      <c r="P438" s="2">
        <v>0.43333333333333335</v>
      </c>
      <c r="Q438">
        <f>-0.0010386795*3600</f>
        <v>-3.7392461999999997</v>
      </c>
      <c r="R438">
        <f>0.0012751154*3600</f>
        <v>4.5904154400000001</v>
      </c>
    </row>
    <row r="439" spans="1:18" x14ac:dyDescent="0.3">
      <c r="A439" s="4" t="s">
        <v>47</v>
      </c>
      <c r="B439" s="16" t="s">
        <v>269</v>
      </c>
      <c r="C439">
        <v>98.527844000000002</v>
      </c>
      <c r="D439">
        <v>299.54835400000002</v>
      </c>
      <c r="E439">
        <v>1</v>
      </c>
      <c r="F439">
        <v>1</v>
      </c>
      <c r="G439">
        <v>0.23899999999999999</v>
      </c>
      <c r="H439">
        <v>0</v>
      </c>
      <c r="J439" t="s">
        <v>0</v>
      </c>
      <c r="K439" t="s">
        <v>61</v>
      </c>
      <c r="L439">
        <v>0</v>
      </c>
      <c r="M439" t="s">
        <v>52</v>
      </c>
      <c r="N439">
        <v>1</v>
      </c>
      <c r="O439" t="s">
        <v>63</v>
      </c>
      <c r="P439" s="2">
        <v>0.43333333333333335</v>
      </c>
      <c r="Q439">
        <f>-0.0010236266*3600</f>
        <v>-3.6850557599999996</v>
      </c>
      <c r="R439">
        <f>0.0013316882*3600</f>
        <v>4.7940775200000001</v>
      </c>
    </row>
    <row r="440" spans="1:18" x14ac:dyDescent="0.3">
      <c r="A440" s="4" t="s">
        <v>47</v>
      </c>
      <c r="B440" s="16" t="s">
        <v>270</v>
      </c>
      <c r="C440">
        <v>98.527367999999996</v>
      </c>
      <c r="D440">
        <v>299.54845699999998</v>
      </c>
      <c r="E440">
        <v>1</v>
      </c>
      <c r="F440">
        <v>1</v>
      </c>
      <c r="G440">
        <v>0.23899999999999999</v>
      </c>
      <c r="H440">
        <v>0</v>
      </c>
      <c r="J440" t="s">
        <v>0</v>
      </c>
      <c r="K440" t="s">
        <v>61</v>
      </c>
      <c r="L440">
        <v>0</v>
      </c>
      <c r="M440" t="s">
        <v>52</v>
      </c>
      <c r="N440">
        <v>1</v>
      </c>
      <c r="O440" t="s">
        <v>63</v>
      </c>
      <c r="P440" s="2">
        <v>0.43333333333333335</v>
      </c>
      <c r="Q440">
        <f>-0.0011010619*3600</f>
        <v>-3.9638228400000002</v>
      </c>
      <c r="R440">
        <f>0.001353193*3600</f>
        <v>4.8714947999999998</v>
      </c>
    </row>
    <row r="441" spans="1:18" x14ac:dyDescent="0.3">
      <c r="A441" s="4" t="s">
        <v>47</v>
      </c>
      <c r="B441" s="16" t="s">
        <v>271</v>
      </c>
      <c r="C441">
        <v>98.526826999999997</v>
      </c>
      <c r="D441">
        <v>299.54840100000001</v>
      </c>
      <c r="E441">
        <v>1</v>
      </c>
      <c r="F441">
        <v>1</v>
      </c>
      <c r="G441">
        <v>0.23899999999999999</v>
      </c>
      <c r="H441">
        <v>0</v>
      </c>
      <c r="J441" t="s">
        <v>0</v>
      </c>
      <c r="K441" t="s">
        <v>61</v>
      </c>
      <c r="L441">
        <v>0</v>
      </c>
      <c r="M441" t="s">
        <v>52</v>
      </c>
      <c r="N441">
        <v>1</v>
      </c>
      <c r="O441" t="s">
        <v>63</v>
      </c>
      <c r="P441" s="2">
        <v>0.43333333333333335</v>
      </c>
      <c r="Q441">
        <f>-0.0011352954*3600</f>
        <v>-4.0870634400000005</v>
      </c>
      <c r="R441">
        <f>0.0013546946*3600</f>
        <v>4.8769005600000002</v>
      </c>
    </row>
    <row r="442" spans="1:18" x14ac:dyDescent="0.3">
      <c r="A442" s="4" t="s">
        <v>47</v>
      </c>
      <c r="B442" s="16" t="s">
        <v>272</v>
      </c>
      <c r="C442">
        <v>98.528323</v>
      </c>
      <c r="D442">
        <v>299.54849400000001</v>
      </c>
      <c r="E442">
        <v>1</v>
      </c>
      <c r="F442">
        <v>1</v>
      </c>
      <c r="G442">
        <v>0.23899999999999999</v>
      </c>
      <c r="H442">
        <v>0</v>
      </c>
      <c r="J442" t="s">
        <v>0</v>
      </c>
      <c r="K442" t="s">
        <v>61</v>
      </c>
      <c r="L442">
        <v>0</v>
      </c>
      <c r="M442" t="s">
        <v>52</v>
      </c>
      <c r="N442">
        <v>1</v>
      </c>
      <c r="O442" t="s">
        <v>63</v>
      </c>
      <c r="P442" s="2">
        <v>0.43333333333333335</v>
      </c>
      <c r="Q442">
        <f>-0.0011546759*3600</f>
        <v>-4.1568332400000001</v>
      </c>
      <c r="R442">
        <f>0.0013225556*3600</f>
        <v>4.7612001599999996</v>
      </c>
    </row>
    <row r="443" spans="1:18" x14ac:dyDescent="0.3">
      <c r="A443" s="4" t="s">
        <v>47</v>
      </c>
      <c r="B443" s="16" t="s">
        <v>273</v>
      </c>
      <c r="C443">
        <v>98.528301999999996</v>
      </c>
      <c r="D443">
        <v>299.54850299999998</v>
      </c>
      <c r="E443">
        <v>1</v>
      </c>
      <c r="F443">
        <v>1</v>
      </c>
      <c r="G443">
        <v>0.23899999999999999</v>
      </c>
      <c r="H443">
        <v>0</v>
      </c>
      <c r="J443" t="s">
        <v>0</v>
      </c>
      <c r="K443" t="s">
        <v>61</v>
      </c>
      <c r="L443">
        <v>0</v>
      </c>
      <c r="M443" t="s">
        <v>52</v>
      </c>
      <c r="N443">
        <v>1</v>
      </c>
      <c r="O443" t="s">
        <v>63</v>
      </c>
      <c r="P443" s="2">
        <v>0.43333333333333335</v>
      </c>
      <c r="Q443">
        <f>-0.0011849827*3600</f>
        <v>-4.2659377200000002</v>
      </c>
      <c r="R443">
        <f>0.0013202827*3600</f>
        <v>4.7530177199999999</v>
      </c>
    </row>
    <row r="444" spans="1:18" x14ac:dyDescent="0.3">
      <c r="A444" s="4" t="s">
        <v>47</v>
      </c>
      <c r="B444" s="16" t="s">
        <v>274</v>
      </c>
      <c r="C444">
        <v>98.528096000000005</v>
      </c>
      <c r="D444">
        <v>299.54848199999998</v>
      </c>
      <c r="E444">
        <v>1</v>
      </c>
      <c r="F444">
        <v>1</v>
      </c>
      <c r="G444">
        <v>0.23899999999999999</v>
      </c>
      <c r="H444">
        <v>0</v>
      </c>
      <c r="J444" t="s">
        <v>0</v>
      </c>
      <c r="K444" t="s">
        <v>61</v>
      </c>
      <c r="L444">
        <v>0</v>
      </c>
      <c r="M444" t="s">
        <v>52</v>
      </c>
      <c r="N444">
        <v>1</v>
      </c>
      <c r="O444" t="s">
        <v>63</v>
      </c>
      <c r="P444" s="2">
        <v>0.43333333333333335</v>
      </c>
      <c r="Q444">
        <f>-0.001197575*3600</f>
        <v>-4.3112700000000004</v>
      </c>
      <c r="R444">
        <f>0.0013251136*3600</f>
        <v>4.7704089600000001</v>
      </c>
    </row>
    <row r="445" spans="1:18" x14ac:dyDescent="0.3">
      <c r="A445" s="4" t="s">
        <v>47</v>
      </c>
      <c r="B445" s="16" t="s">
        <v>275</v>
      </c>
      <c r="C445">
        <v>98.528200999999996</v>
      </c>
      <c r="D445">
        <v>299.548518</v>
      </c>
      <c r="E445">
        <v>1</v>
      </c>
      <c r="F445">
        <v>1</v>
      </c>
      <c r="G445">
        <v>0.23899999999999999</v>
      </c>
      <c r="H445">
        <v>0</v>
      </c>
      <c r="J445" t="s">
        <v>0</v>
      </c>
      <c r="K445" t="s">
        <v>61</v>
      </c>
      <c r="L445">
        <v>0</v>
      </c>
      <c r="M445" t="s">
        <v>52</v>
      </c>
      <c r="N445">
        <v>1</v>
      </c>
      <c r="O445" t="s">
        <v>63</v>
      </c>
      <c r="P445" s="2">
        <v>0.43402777777777773</v>
      </c>
      <c r="Q445">
        <f>-0.0012580845*3600</f>
        <v>-4.5291041999999999</v>
      </c>
      <c r="R445">
        <f>0.0013639265*3600</f>
        <v>4.9101354000000006</v>
      </c>
    </row>
    <row r="446" spans="1:18" x14ac:dyDescent="0.3">
      <c r="A446" s="4" t="s">
        <v>47</v>
      </c>
      <c r="B446" s="16" t="s">
        <v>276</v>
      </c>
      <c r="C446">
        <v>98.528390999999999</v>
      </c>
      <c r="D446">
        <v>299.26559300000002</v>
      </c>
      <c r="E446">
        <v>13.125299999999999</v>
      </c>
      <c r="F446">
        <v>13.1221</v>
      </c>
      <c r="G446">
        <v>0.23899999999999999</v>
      </c>
      <c r="H446">
        <v>0</v>
      </c>
      <c r="J446" t="s">
        <v>0</v>
      </c>
      <c r="K446" t="s">
        <v>61</v>
      </c>
      <c r="L446">
        <v>0</v>
      </c>
      <c r="M446" t="s">
        <v>52</v>
      </c>
      <c r="N446">
        <v>1</v>
      </c>
      <c r="O446" t="s">
        <v>63</v>
      </c>
      <c r="P446" s="2">
        <v>0.43402777777777773</v>
      </c>
      <c r="Q446">
        <f>-0.0009111235*3600</f>
        <v>-3.2800446000000001</v>
      </c>
      <c r="R446">
        <f>0.0013999283*3600</f>
        <v>5.0397418800000002</v>
      </c>
    </row>
    <row r="447" spans="1:18" x14ac:dyDescent="0.3">
      <c r="A447" s="4" t="s">
        <v>47</v>
      </c>
      <c r="B447" s="16" t="s">
        <v>277</v>
      </c>
      <c r="C447">
        <v>98.526736999999997</v>
      </c>
      <c r="D447">
        <v>299.55684000000002</v>
      </c>
      <c r="E447">
        <v>1</v>
      </c>
      <c r="F447">
        <v>1</v>
      </c>
      <c r="G447">
        <v>0.23899999999999999</v>
      </c>
      <c r="H447">
        <v>0</v>
      </c>
      <c r="J447" t="s">
        <v>0</v>
      </c>
      <c r="K447" t="s">
        <v>61</v>
      </c>
      <c r="L447">
        <v>3.4000000000000002E-2</v>
      </c>
      <c r="M447" t="s">
        <v>52</v>
      </c>
      <c r="N447">
        <v>1</v>
      </c>
      <c r="O447" t="s">
        <v>53</v>
      </c>
      <c r="P447" s="2">
        <v>0.43402777777777773</v>
      </c>
      <c r="Q447">
        <f>-0.0008167622*3600</f>
        <v>-2.9403439200000001</v>
      </c>
      <c r="R447">
        <f>0.0013274969*3600</f>
        <v>4.7789888399999993</v>
      </c>
    </row>
    <row r="448" spans="1:18" x14ac:dyDescent="0.3">
      <c r="A448" s="4" t="s">
        <v>47</v>
      </c>
      <c r="B448" s="16" t="s">
        <v>278</v>
      </c>
      <c r="C448">
        <v>98.527311999999995</v>
      </c>
      <c r="D448">
        <v>299.55685399999999</v>
      </c>
      <c r="E448">
        <v>1</v>
      </c>
      <c r="F448">
        <v>1</v>
      </c>
      <c r="G448">
        <v>0.23899999999999999</v>
      </c>
      <c r="H448">
        <v>0</v>
      </c>
      <c r="J448" t="s">
        <v>0</v>
      </c>
      <c r="K448" t="s">
        <v>61</v>
      </c>
      <c r="L448">
        <v>0</v>
      </c>
      <c r="M448" t="s">
        <v>52</v>
      </c>
      <c r="N448">
        <v>1</v>
      </c>
      <c r="O448" t="s">
        <v>63</v>
      </c>
      <c r="P448" s="2">
        <v>0.43402777777777773</v>
      </c>
      <c r="Q448">
        <f>-0.0011262613*3600</f>
        <v>-4.0545406799999997</v>
      </c>
      <c r="R448">
        <f>0.0013806816*3600</f>
        <v>4.9704537599999998</v>
      </c>
    </row>
    <row r="449" spans="1:18" x14ac:dyDescent="0.3">
      <c r="A449" s="4" t="s">
        <v>47</v>
      </c>
      <c r="B449" s="16" t="s">
        <v>279</v>
      </c>
      <c r="C449">
        <v>98.527405999999999</v>
      </c>
      <c r="D449">
        <v>299.55696599999999</v>
      </c>
      <c r="E449">
        <v>1</v>
      </c>
      <c r="F449">
        <v>1</v>
      </c>
      <c r="G449">
        <v>0.23899999999999999</v>
      </c>
      <c r="H449">
        <v>0</v>
      </c>
      <c r="J449" t="s">
        <v>0</v>
      </c>
      <c r="K449" t="s">
        <v>61</v>
      </c>
      <c r="L449">
        <v>0</v>
      </c>
      <c r="M449" t="s">
        <v>52</v>
      </c>
      <c r="N449">
        <v>1</v>
      </c>
      <c r="O449" t="s">
        <v>63</v>
      </c>
      <c r="P449" s="2">
        <v>0.43402777777777773</v>
      </c>
      <c r="Q449">
        <f>-0.0011772*3600</f>
        <v>-4.2379199999999999</v>
      </c>
      <c r="R449">
        <f>0.0013079615*3600</f>
        <v>4.7086614000000004</v>
      </c>
    </row>
    <row r="450" spans="1:18" x14ac:dyDescent="0.3">
      <c r="A450" s="4" t="s">
        <v>47</v>
      </c>
      <c r="B450" s="16" t="s">
        <v>280</v>
      </c>
      <c r="C450">
        <v>98.526964000000007</v>
      </c>
      <c r="D450">
        <v>299.55694399999999</v>
      </c>
      <c r="E450">
        <v>1</v>
      </c>
      <c r="F450">
        <v>1</v>
      </c>
      <c r="G450">
        <v>0.23899999999999999</v>
      </c>
      <c r="H450">
        <v>0</v>
      </c>
      <c r="J450" t="s">
        <v>0</v>
      </c>
      <c r="K450" t="s">
        <v>61</v>
      </c>
      <c r="L450">
        <v>0</v>
      </c>
      <c r="M450" t="s">
        <v>52</v>
      </c>
      <c r="N450">
        <v>1</v>
      </c>
      <c r="O450" t="s">
        <v>63</v>
      </c>
      <c r="P450" s="2">
        <v>0.43402777777777773</v>
      </c>
      <c r="Q450">
        <f>-0.0010794851*3600</f>
        <v>-3.8861463600000001</v>
      </c>
      <c r="R450">
        <f>0.001362414*3600</f>
        <v>4.9046903999999998</v>
      </c>
    </row>
    <row r="451" spans="1:18" x14ac:dyDescent="0.3">
      <c r="A451" s="4" t="s">
        <v>47</v>
      </c>
      <c r="B451" s="16" t="s">
        <v>281</v>
      </c>
      <c r="C451">
        <v>98.527899000000005</v>
      </c>
      <c r="D451">
        <v>299.55703299999999</v>
      </c>
      <c r="E451">
        <v>1</v>
      </c>
      <c r="F451">
        <v>1</v>
      </c>
      <c r="G451">
        <v>0.23899999999999999</v>
      </c>
      <c r="H451">
        <v>0</v>
      </c>
      <c r="J451" t="s">
        <v>0</v>
      </c>
      <c r="K451" t="s">
        <v>61</v>
      </c>
      <c r="L451">
        <v>0</v>
      </c>
      <c r="M451" t="s">
        <v>52</v>
      </c>
      <c r="N451">
        <v>1</v>
      </c>
      <c r="O451" t="s">
        <v>63</v>
      </c>
      <c r="P451" s="2">
        <v>0.43402777777777773</v>
      </c>
      <c r="Q451">
        <f>-0.0009153617*3600</f>
        <v>-3.2953021200000001</v>
      </c>
      <c r="R451">
        <f>0.0014722087*3600</f>
        <v>5.2999513199999999</v>
      </c>
    </row>
    <row r="452" spans="1:18" x14ac:dyDescent="0.3">
      <c r="A452" s="4" t="s">
        <v>47</v>
      </c>
      <c r="B452" s="16" t="s">
        <v>282</v>
      </c>
      <c r="C452">
        <v>98.527538000000007</v>
      </c>
      <c r="D452">
        <v>299.55708299999998</v>
      </c>
      <c r="E452">
        <v>1</v>
      </c>
      <c r="F452">
        <v>1</v>
      </c>
      <c r="G452">
        <v>0.23899999999999999</v>
      </c>
      <c r="H452">
        <v>0</v>
      </c>
      <c r="J452" t="s">
        <v>0</v>
      </c>
      <c r="K452" t="s">
        <v>61</v>
      </c>
      <c r="L452">
        <v>0</v>
      </c>
      <c r="M452" t="s">
        <v>52</v>
      </c>
      <c r="N452">
        <v>1</v>
      </c>
      <c r="O452" t="s">
        <v>63</v>
      </c>
      <c r="P452" s="2">
        <v>0.43402777777777773</v>
      </c>
      <c r="Q452">
        <f>-0.0012740893*3600</f>
        <v>-4.5867214800000005</v>
      </c>
      <c r="R452">
        <f>0.0013779442*3600</f>
        <v>4.9605991199999995</v>
      </c>
    </row>
    <row r="453" spans="1:18" x14ac:dyDescent="0.3">
      <c r="A453" s="4" t="s">
        <v>47</v>
      </c>
      <c r="B453" s="16" t="s">
        <v>283</v>
      </c>
      <c r="C453">
        <v>98.528251999999995</v>
      </c>
      <c r="D453">
        <v>299.26286900000002</v>
      </c>
      <c r="E453">
        <v>13.1249</v>
      </c>
      <c r="F453">
        <v>13.121700000000001</v>
      </c>
      <c r="G453">
        <v>0.23899999999999999</v>
      </c>
      <c r="H453">
        <v>0</v>
      </c>
      <c r="J453" t="s">
        <v>0</v>
      </c>
      <c r="K453" t="s">
        <v>61</v>
      </c>
      <c r="L453">
        <v>0</v>
      </c>
      <c r="M453" t="s">
        <v>52</v>
      </c>
      <c r="N453">
        <v>1</v>
      </c>
      <c r="O453" t="s">
        <v>63</v>
      </c>
      <c r="P453" s="2">
        <v>0.43402777777777773</v>
      </c>
      <c r="Q453">
        <f>-0.0009882546*3600</f>
        <v>-3.5577165600000002</v>
      </c>
      <c r="R453">
        <f>0.0014394618*3600</f>
        <v>5.1820624799999999</v>
      </c>
    </row>
    <row r="454" spans="1:18" x14ac:dyDescent="0.3">
      <c r="A454" s="4" t="s">
        <v>47</v>
      </c>
      <c r="B454" t="s">
        <v>49</v>
      </c>
      <c r="C454">
        <v>88.412604999999999</v>
      </c>
      <c r="D454">
        <v>98.212806</v>
      </c>
      <c r="E454">
        <v>40.9681</v>
      </c>
      <c r="F454">
        <v>40.944899999999997</v>
      </c>
      <c r="G454">
        <v>0.23899999999999999</v>
      </c>
      <c r="H454">
        <v>0.245</v>
      </c>
      <c r="J454" t="s">
        <v>0</v>
      </c>
      <c r="K454" t="s">
        <v>61</v>
      </c>
      <c r="L454">
        <v>0</v>
      </c>
      <c r="M454" t="s">
        <v>52</v>
      </c>
      <c r="N454">
        <v>1</v>
      </c>
      <c r="O454" t="s">
        <v>63</v>
      </c>
      <c r="P454" s="2">
        <v>0.43402777777777773</v>
      </c>
      <c r="Q454">
        <f>-0.001077582*3600</f>
        <v>-3.8792952000000005</v>
      </c>
      <c r="R454">
        <f>0.0013547374*3600</f>
        <v>4.8770546400000008</v>
      </c>
    </row>
    <row r="455" spans="1:18" x14ac:dyDescent="0.3">
      <c r="A455" s="4" t="s">
        <v>47</v>
      </c>
      <c r="B455" t="s">
        <v>49</v>
      </c>
      <c r="C455">
        <v>288.40943900000002</v>
      </c>
      <c r="D455">
        <v>301.78672399999999</v>
      </c>
      <c r="E455">
        <v>40.968000000000004</v>
      </c>
      <c r="F455">
        <v>40.944800000000001</v>
      </c>
      <c r="G455">
        <v>0.23899999999999999</v>
      </c>
      <c r="H455">
        <v>0.245</v>
      </c>
      <c r="J455" t="s">
        <v>0</v>
      </c>
      <c r="K455" t="s">
        <v>61</v>
      </c>
      <c r="L455">
        <v>0</v>
      </c>
      <c r="M455" t="s">
        <v>52</v>
      </c>
      <c r="N455">
        <v>1</v>
      </c>
      <c r="O455" t="s">
        <v>63</v>
      </c>
      <c r="P455" s="2">
        <v>0.43402777777777773</v>
      </c>
      <c r="Q455">
        <f>-0.0011317441*3600</f>
        <v>-4.0742787600000003</v>
      </c>
      <c r="R455">
        <f>0.0013993298*3600</f>
        <v>5.0375872800000003</v>
      </c>
    </row>
    <row r="456" spans="1:18" x14ac:dyDescent="0.3">
      <c r="A456" s="4" t="s">
        <v>47</v>
      </c>
      <c r="B456" t="s">
        <v>49</v>
      </c>
      <c r="C456">
        <v>88.410064000000006</v>
      </c>
      <c r="D456">
        <v>98.213046000000006</v>
      </c>
      <c r="E456">
        <v>40.967799999999997</v>
      </c>
      <c r="F456">
        <v>40.944600000000001</v>
      </c>
      <c r="G456">
        <v>0.23899999999999999</v>
      </c>
      <c r="H456">
        <v>0.245</v>
      </c>
      <c r="J456" t="s">
        <v>0</v>
      </c>
      <c r="K456" t="s">
        <v>61</v>
      </c>
      <c r="L456">
        <v>0</v>
      </c>
      <c r="M456" t="s">
        <v>52</v>
      </c>
      <c r="N456">
        <v>1</v>
      </c>
      <c r="O456" t="s">
        <v>63</v>
      </c>
      <c r="P456" s="2">
        <v>0.43402777777777773</v>
      </c>
      <c r="Q456">
        <f>-0.0010241731*3600</f>
        <v>-3.6870231599999999</v>
      </c>
      <c r="R456">
        <f>0.0013433292*3600</f>
        <v>4.8359851200000001</v>
      </c>
    </row>
    <row r="457" spans="1:18" x14ac:dyDescent="0.3">
      <c r="A457" s="4" t="s">
        <v>47</v>
      </c>
      <c r="B457" t="s">
        <v>49</v>
      </c>
      <c r="C457">
        <v>288.40965699999998</v>
      </c>
      <c r="D457">
        <v>301.78671600000001</v>
      </c>
      <c r="E457">
        <v>40.9679</v>
      </c>
      <c r="F457">
        <v>40.944699999999997</v>
      </c>
      <c r="G457">
        <v>0.23899999999999999</v>
      </c>
      <c r="H457">
        <v>0.245</v>
      </c>
      <c r="J457" t="s">
        <v>0</v>
      </c>
      <c r="K457" t="s">
        <v>61</v>
      </c>
      <c r="L457">
        <v>0</v>
      </c>
      <c r="M457" t="s">
        <v>52</v>
      </c>
      <c r="N457">
        <v>1</v>
      </c>
      <c r="O457" t="s">
        <v>63</v>
      </c>
      <c r="P457" s="2">
        <v>0.43402777777777773</v>
      </c>
      <c r="Q457">
        <f>-0.0011258181*3600</f>
        <v>-4.0529451600000002</v>
      </c>
      <c r="R457">
        <f>0.001412387*3600</f>
        <v>5.0845931999999996</v>
      </c>
    </row>
    <row r="458" spans="1:18" x14ac:dyDescent="0.3">
      <c r="A458" s="4" t="s">
        <v>47</v>
      </c>
      <c r="B458" t="s">
        <v>49</v>
      </c>
      <c r="C458">
        <v>88.409561999999994</v>
      </c>
      <c r="D458">
        <v>98.212890999999999</v>
      </c>
      <c r="E458">
        <v>40.967599999999997</v>
      </c>
      <c r="F458">
        <v>40.944400000000002</v>
      </c>
      <c r="G458">
        <v>0.23899999999999999</v>
      </c>
      <c r="H458">
        <v>0.245</v>
      </c>
      <c r="J458" t="s">
        <v>0</v>
      </c>
      <c r="K458" t="s">
        <v>61</v>
      </c>
      <c r="L458">
        <v>0</v>
      </c>
      <c r="M458" t="s">
        <v>52</v>
      </c>
      <c r="N458">
        <v>1</v>
      </c>
      <c r="O458" t="s">
        <v>63</v>
      </c>
      <c r="P458" s="2">
        <v>0.43402777777777773</v>
      </c>
      <c r="Q458">
        <f>-0.0010515341*3600</f>
        <v>-3.7855227600000001</v>
      </c>
      <c r="R458">
        <f>0.0013812585*3600</f>
        <v>4.9725305999999998</v>
      </c>
    </row>
    <row r="459" spans="1:18" x14ac:dyDescent="0.3">
      <c r="A459" s="4" t="s">
        <v>47</v>
      </c>
      <c r="B459" t="s">
        <v>49</v>
      </c>
      <c r="C459">
        <v>288.40918900000003</v>
      </c>
      <c r="D459">
        <v>301.78659199999998</v>
      </c>
      <c r="E459">
        <v>40.967799999999997</v>
      </c>
      <c r="F459">
        <v>40.944699999999997</v>
      </c>
      <c r="G459">
        <v>0.23899999999999999</v>
      </c>
      <c r="H459">
        <v>0.245</v>
      </c>
      <c r="J459" t="s">
        <v>0</v>
      </c>
      <c r="K459" t="s">
        <v>61</v>
      </c>
      <c r="L459">
        <v>3.4000000000000002E-2</v>
      </c>
      <c r="M459" t="s">
        <v>52</v>
      </c>
      <c r="N459">
        <v>1</v>
      </c>
      <c r="O459" t="s">
        <v>53</v>
      </c>
      <c r="P459" s="2">
        <v>0.43472222222222223</v>
      </c>
      <c r="Q459">
        <f>-0.0009765698*3600</f>
        <v>-3.5156512800000002</v>
      </c>
      <c r="R459">
        <f>0.0012152259*3600</f>
        <v>4.3748132399999999</v>
      </c>
    </row>
    <row r="460" spans="1:18" x14ac:dyDescent="0.3">
      <c r="A460" s="4" t="s">
        <v>47</v>
      </c>
      <c r="B460" t="s">
        <v>49</v>
      </c>
      <c r="C460">
        <v>88.409548999999998</v>
      </c>
      <c r="D460">
        <v>98.213023000000007</v>
      </c>
      <c r="E460">
        <v>40.967700000000001</v>
      </c>
      <c r="F460">
        <v>40.944499999999998</v>
      </c>
      <c r="G460">
        <v>0.23899999999999999</v>
      </c>
      <c r="H460">
        <v>0.245</v>
      </c>
      <c r="J460" t="s">
        <v>0</v>
      </c>
      <c r="K460" t="s">
        <v>61</v>
      </c>
      <c r="L460">
        <v>0</v>
      </c>
      <c r="M460" t="s">
        <v>52</v>
      </c>
      <c r="N460">
        <v>1</v>
      </c>
      <c r="O460" t="s">
        <v>63</v>
      </c>
      <c r="P460" s="2">
        <v>0.43472222222222223</v>
      </c>
      <c r="Q460">
        <f>-0.0011243574*3600</f>
        <v>-4.0476866400000002</v>
      </c>
      <c r="R460">
        <f>0.0013740036*3600</f>
        <v>4.94641296</v>
      </c>
    </row>
    <row r="461" spans="1:18" x14ac:dyDescent="0.3">
      <c r="A461" s="4" t="s">
        <v>47</v>
      </c>
      <c r="B461" t="s">
        <v>49</v>
      </c>
      <c r="C461">
        <v>288.40971500000001</v>
      </c>
      <c r="D461">
        <v>301.78689000000003</v>
      </c>
      <c r="E461">
        <v>40.967700000000001</v>
      </c>
      <c r="F461">
        <v>40.944499999999998</v>
      </c>
      <c r="G461">
        <v>0.23899999999999999</v>
      </c>
      <c r="H461">
        <v>0.245</v>
      </c>
      <c r="J461" t="s">
        <v>0</v>
      </c>
      <c r="K461" t="s">
        <v>61</v>
      </c>
      <c r="L461">
        <v>0</v>
      </c>
      <c r="M461" t="s">
        <v>52</v>
      </c>
      <c r="N461">
        <v>1</v>
      </c>
      <c r="O461" t="s">
        <v>63</v>
      </c>
      <c r="P461" s="2">
        <v>0.43472222222222223</v>
      </c>
      <c r="Q461">
        <f>-0.0010300669*3600</f>
        <v>-3.7082408399999998</v>
      </c>
      <c r="R461">
        <f>0.0013940194*3600</f>
        <v>5.0184698399999998</v>
      </c>
    </row>
    <row r="462" spans="1:18" x14ac:dyDescent="0.3">
      <c r="A462" s="4" t="s">
        <v>47</v>
      </c>
      <c r="B462" t="s">
        <v>49</v>
      </c>
      <c r="C462">
        <v>88.411080999999996</v>
      </c>
      <c r="D462">
        <v>98.212885</v>
      </c>
      <c r="E462">
        <v>40.968000000000004</v>
      </c>
      <c r="F462">
        <v>40.944800000000001</v>
      </c>
      <c r="G462">
        <v>0.23899999999999999</v>
      </c>
      <c r="H462">
        <v>0.245</v>
      </c>
      <c r="J462" t="s">
        <v>0</v>
      </c>
      <c r="K462" t="s">
        <v>61</v>
      </c>
      <c r="L462">
        <v>0</v>
      </c>
      <c r="M462" t="s">
        <v>52</v>
      </c>
      <c r="N462">
        <v>1</v>
      </c>
      <c r="O462" t="s">
        <v>63</v>
      </c>
      <c r="P462" s="2">
        <v>0.43472222222222223</v>
      </c>
      <c r="Q462">
        <f>-0.001126737*3600</f>
        <v>-4.0562532000000004</v>
      </c>
      <c r="R462">
        <f>0.0013129437*3600</f>
        <v>4.7265973199999998</v>
      </c>
    </row>
    <row r="463" spans="1:18" x14ac:dyDescent="0.3">
      <c r="A463" s="4" t="s">
        <v>47</v>
      </c>
      <c r="B463" t="s">
        <v>49</v>
      </c>
      <c r="C463">
        <v>288.410912</v>
      </c>
      <c r="D463">
        <v>301.78607899999997</v>
      </c>
      <c r="E463">
        <v>40.967700000000001</v>
      </c>
      <c r="F463">
        <v>40.944600000000001</v>
      </c>
      <c r="G463">
        <v>0.23899999999999999</v>
      </c>
      <c r="H463">
        <v>0.245</v>
      </c>
      <c r="J463" t="s">
        <v>0</v>
      </c>
      <c r="K463" t="s">
        <v>61</v>
      </c>
      <c r="L463">
        <v>0</v>
      </c>
      <c r="M463" t="s">
        <v>52</v>
      </c>
      <c r="N463">
        <v>1</v>
      </c>
      <c r="O463" t="s">
        <v>63</v>
      </c>
      <c r="P463" s="2">
        <v>0.43472222222222223</v>
      </c>
      <c r="Q463">
        <f>-0.001293255*3600</f>
        <v>-4.6557180000000002</v>
      </c>
      <c r="R463">
        <f>0.0013553496*3600</f>
        <v>4.8792585600000002</v>
      </c>
    </row>
    <row r="464" spans="1:18" x14ac:dyDescent="0.3">
      <c r="A464" s="4" t="s">
        <v>47</v>
      </c>
      <c r="B464" t="s">
        <v>49</v>
      </c>
      <c r="C464">
        <v>88.410938000000002</v>
      </c>
      <c r="D464">
        <v>98.212985000000003</v>
      </c>
      <c r="E464">
        <v>40.9679</v>
      </c>
      <c r="F464">
        <v>40.944699999999997</v>
      </c>
      <c r="G464">
        <v>0.23899999999999999</v>
      </c>
      <c r="H464">
        <v>0.245</v>
      </c>
      <c r="J464" t="s">
        <v>0</v>
      </c>
      <c r="K464" t="s">
        <v>61</v>
      </c>
      <c r="L464">
        <v>0</v>
      </c>
      <c r="M464" t="s">
        <v>52</v>
      </c>
      <c r="N464">
        <v>1</v>
      </c>
      <c r="O464" t="s">
        <v>63</v>
      </c>
      <c r="P464" s="2">
        <v>0.43472222222222223</v>
      </c>
      <c r="Q464">
        <f>-0.0009964209*3600</f>
        <v>-3.5871152399999997</v>
      </c>
      <c r="R464">
        <f>0.0014389517*3600</f>
        <v>5.1802261199999995</v>
      </c>
    </row>
    <row r="465" spans="1:19" x14ac:dyDescent="0.3">
      <c r="A465" s="4" t="s">
        <v>47</v>
      </c>
      <c r="B465" t="s">
        <v>49</v>
      </c>
      <c r="C465">
        <v>288.41042700000003</v>
      </c>
      <c r="D465">
        <v>301.78627499999999</v>
      </c>
      <c r="E465">
        <v>40.9679</v>
      </c>
      <c r="F465">
        <v>40.944800000000001</v>
      </c>
      <c r="G465">
        <v>0.23899999999999999</v>
      </c>
      <c r="H465">
        <v>0.245</v>
      </c>
      <c r="J465" t="s">
        <v>0</v>
      </c>
      <c r="K465" t="s">
        <v>61</v>
      </c>
      <c r="L465">
        <v>0</v>
      </c>
      <c r="M465" t="s">
        <v>52</v>
      </c>
      <c r="N465">
        <v>1</v>
      </c>
      <c r="O465" t="s">
        <v>63</v>
      </c>
      <c r="P465" s="2">
        <v>0.43472222222222223</v>
      </c>
      <c r="Q465">
        <f>-0.0011499267*3600</f>
        <v>-4.1397361199999994</v>
      </c>
      <c r="R465">
        <f>0.0013021284*3600</f>
        <v>4.6876622399999999</v>
      </c>
    </row>
    <row r="466" spans="1:19" x14ac:dyDescent="0.3">
      <c r="A466" s="4" t="s">
        <v>47</v>
      </c>
      <c r="B466" t="s">
        <v>49</v>
      </c>
      <c r="C466">
        <v>88.410677000000007</v>
      </c>
      <c r="D466">
        <v>98.212935000000002</v>
      </c>
      <c r="E466">
        <v>40.9679</v>
      </c>
      <c r="F466">
        <v>40.944699999999997</v>
      </c>
      <c r="G466">
        <v>0.23899999999999999</v>
      </c>
      <c r="H466">
        <v>0.245</v>
      </c>
      <c r="J466" t="s">
        <v>0</v>
      </c>
      <c r="K466" t="s">
        <v>61</v>
      </c>
      <c r="L466">
        <v>0</v>
      </c>
      <c r="M466" t="s">
        <v>52</v>
      </c>
      <c r="N466">
        <v>1</v>
      </c>
      <c r="O466" t="s">
        <v>63</v>
      </c>
      <c r="P466" s="2">
        <v>0.43472222222222223</v>
      </c>
      <c r="Q466">
        <f>-0.0008276747*3600</f>
        <v>-2.9796289200000001</v>
      </c>
      <c r="R466">
        <f>0.0014586311*3600</f>
        <v>5.25107196</v>
      </c>
    </row>
    <row r="467" spans="1:19" x14ac:dyDescent="0.3">
      <c r="A467" s="4" t="s">
        <v>47</v>
      </c>
      <c r="B467" t="s">
        <v>49</v>
      </c>
      <c r="C467">
        <v>288.41062699999998</v>
      </c>
      <c r="D467">
        <v>301.78618</v>
      </c>
      <c r="E467">
        <v>40.967799999999997</v>
      </c>
      <c r="F467">
        <v>40.944699999999997</v>
      </c>
      <c r="G467">
        <v>0.23899999999999999</v>
      </c>
      <c r="H467">
        <v>0.245</v>
      </c>
      <c r="J467" t="s">
        <v>0</v>
      </c>
      <c r="K467" t="s">
        <v>61</v>
      </c>
      <c r="L467">
        <v>3.4000000000000002E-2</v>
      </c>
      <c r="M467" t="s">
        <v>52</v>
      </c>
      <c r="N467">
        <v>1</v>
      </c>
      <c r="O467" t="s">
        <v>53</v>
      </c>
      <c r="P467" s="2">
        <v>0.43541666666666662</v>
      </c>
      <c r="Q467">
        <f>-0.0010007838*3600</f>
        <v>-3.6028216799999999</v>
      </c>
      <c r="R467">
        <f>0.0013388889*3600</f>
        <v>4.82000004</v>
      </c>
    </row>
    <row r="468" spans="1:19" x14ac:dyDescent="0.3">
      <c r="A468" t="s">
        <v>47</v>
      </c>
      <c r="B468" t="s">
        <v>40</v>
      </c>
      <c r="C468" t="s">
        <v>41</v>
      </c>
      <c r="D468" t="s">
        <v>42</v>
      </c>
      <c r="E468">
        <v>5</v>
      </c>
    </row>
    <row r="469" spans="1:19" x14ac:dyDescent="0.3">
      <c r="A469" t="s">
        <v>47</v>
      </c>
      <c r="B469" t="s">
        <v>43</v>
      </c>
      <c r="C469" t="s">
        <v>44</v>
      </c>
      <c r="D469">
        <v>1547</v>
      </c>
    </row>
    <row r="470" spans="1:19" x14ac:dyDescent="0.3">
      <c r="A470" t="s">
        <v>47</v>
      </c>
      <c r="B470" t="s">
        <v>43</v>
      </c>
      <c r="C470" t="s">
        <v>45</v>
      </c>
      <c r="D470" t="s">
        <v>44</v>
      </c>
      <c r="E470">
        <v>1.0015469999</v>
      </c>
    </row>
    <row r="474" spans="1:19" x14ac:dyDescent="0.3">
      <c r="A474" t="s">
        <v>46</v>
      </c>
      <c r="B474" t="s">
        <v>316</v>
      </c>
    </row>
    <row r="475" spans="1:19" x14ac:dyDescent="0.3">
      <c r="A475" t="s">
        <v>48</v>
      </c>
      <c r="B475" t="s">
        <v>317</v>
      </c>
      <c r="C475">
        <v>0</v>
      </c>
      <c r="D475">
        <v>98.551552999999998</v>
      </c>
      <c r="E475">
        <v>55.994599999999998</v>
      </c>
      <c r="F475">
        <v>56.066699999999997</v>
      </c>
      <c r="G475">
        <v>0</v>
      </c>
      <c r="H475">
        <v>0</v>
      </c>
      <c r="J475" t="s">
        <v>0</v>
      </c>
      <c r="K475" t="s">
        <v>50</v>
      </c>
      <c r="L475" t="s">
        <v>51</v>
      </c>
      <c r="M475">
        <v>0</v>
      </c>
      <c r="N475" t="s">
        <v>52</v>
      </c>
      <c r="O475">
        <v>1</v>
      </c>
      <c r="P475" t="s">
        <v>53</v>
      </c>
      <c r="Q475" s="2">
        <v>0.45277777777777778</v>
      </c>
      <c r="R475">
        <f>-0.0000950262*3600</f>
        <v>-0.34209432000000001</v>
      </c>
      <c r="S475">
        <f>0.0005154579*3600</f>
        <v>1.85564844</v>
      </c>
    </row>
    <row r="476" spans="1:19" x14ac:dyDescent="0.3">
      <c r="A476" t="s">
        <v>29</v>
      </c>
      <c r="B476">
        <v>18</v>
      </c>
      <c r="C476" t="s">
        <v>30</v>
      </c>
      <c r="D476" s="3">
        <v>0.86</v>
      </c>
      <c r="E476" t="s">
        <v>31</v>
      </c>
      <c r="F476" t="s">
        <v>32</v>
      </c>
      <c r="G476" t="s">
        <v>33</v>
      </c>
      <c r="H476" t="s">
        <v>34</v>
      </c>
    </row>
    <row r="477" spans="1:19" x14ac:dyDescent="0.3">
      <c r="A477" t="s">
        <v>35</v>
      </c>
      <c r="B477" t="s">
        <v>318</v>
      </c>
      <c r="C477" t="s">
        <v>35</v>
      </c>
      <c r="D477" t="s">
        <v>319</v>
      </c>
    </row>
    <row r="478" spans="1:19" x14ac:dyDescent="0.3">
      <c r="A478" t="s">
        <v>38</v>
      </c>
      <c r="B478" t="s">
        <v>39</v>
      </c>
      <c r="C478">
        <v>0.13</v>
      </c>
    </row>
    <row r="480" spans="1:19" x14ac:dyDescent="0.3">
      <c r="A480" t="s">
        <v>48</v>
      </c>
      <c r="B480" t="s">
        <v>320</v>
      </c>
      <c r="C480">
        <v>6.78E-4</v>
      </c>
      <c r="D480">
        <v>98.550809999999998</v>
      </c>
      <c r="E480">
        <v>55.994500000000002</v>
      </c>
      <c r="F480">
        <v>56.066499999999998</v>
      </c>
      <c r="G480">
        <v>0</v>
      </c>
      <c r="H480">
        <v>0</v>
      </c>
      <c r="J480" t="s">
        <v>0</v>
      </c>
      <c r="K480" t="s">
        <v>50</v>
      </c>
      <c r="L480" t="s">
        <v>51</v>
      </c>
      <c r="M480">
        <v>0</v>
      </c>
      <c r="N480" t="s">
        <v>57</v>
      </c>
      <c r="O480">
        <v>1</v>
      </c>
      <c r="P480" t="s">
        <v>53</v>
      </c>
      <c r="Q480" s="2">
        <v>0.45277777777777778</v>
      </c>
      <c r="R480">
        <f>-0.0003063531*3600</f>
        <v>-1.1028711600000001</v>
      </c>
      <c r="S480">
        <f>-0.000321958*3600</f>
        <v>-1.1590488000000001</v>
      </c>
    </row>
    <row r="481" spans="1:19" x14ac:dyDescent="0.3">
      <c r="A481" t="s">
        <v>48</v>
      </c>
      <c r="B481" t="s">
        <v>321</v>
      </c>
      <c r="C481">
        <v>8.1400000000000005E-4</v>
      </c>
      <c r="D481">
        <v>98.551221999999996</v>
      </c>
      <c r="E481">
        <v>55.994599999999998</v>
      </c>
      <c r="F481">
        <v>56.066600000000001</v>
      </c>
      <c r="G481">
        <v>0</v>
      </c>
      <c r="H481">
        <v>0</v>
      </c>
      <c r="J481" t="s">
        <v>0</v>
      </c>
      <c r="K481" t="s">
        <v>50</v>
      </c>
      <c r="L481" t="s">
        <v>51</v>
      </c>
      <c r="M481">
        <v>0</v>
      </c>
      <c r="N481" t="s">
        <v>57</v>
      </c>
      <c r="O481">
        <v>1</v>
      </c>
      <c r="P481" t="s">
        <v>53</v>
      </c>
      <c r="Q481" s="2">
        <v>0.45347222222222222</v>
      </c>
      <c r="R481">
        <f>-0.0001545452*3600</f>
        <v>-0.55636271999999998</v>
      </c>
      <c r="S481">
        <f>-0.0002243956*3600</f>
        <v>-0.80782416000000001</v>
      </c>
    </row>
    <row r="482" spans="1:19" x14ac:dyDescent="0.3">
      <c r="A482" t="s">
        <v>48</v>
      </c>
      <c r="B482" t="s">
        <v>322</v>
      </c>
      <c r="C482">
        <v>4.9200000000000003E-4</v>
      </c>
      <c r="D482">
        <v>98.551186000000001</v>
      </c>
      <c r="E482">
        <v>55.994599999999998</v>
      </c>
      <c r="F482">
        <v>56.066600000000001</v>
      </c>
      <c r="G482">
        <v>0</v>
      </c>
      <c r="H482">
        <v>0</v>
      </c>
      <c r="J482" t="s">
        <v>0</v>
      </c>
      <c r="K482" t="s">
        <v>50</v>
      </c>
      <c r="L482" t="s">
        <v>51</v>
      </c>
      <c r="M482">
        <v>0</v>
      </c>
      <c r="N482" t="s">
        <v>57</v>
      </c>
      <c r="O482">
        <v>1</v>
      </c>
      <c r="P482" t="s">
        <v>53</v>
      </c>
      <c r="Q482" s="2">
        <v>0.45347222222222222</v>
      </c>
      <c r="R482">
        <f>-0.000225097*3600</f>
        <v>-0.81034919999999999</v>
      </c>
      <c r="S482">
        <f>-0.000379597*3600</f>
        <v>-1.3665492000000001</v>
      </c>
    </row>
    <row r="483" spans="1:19" x14ac:dyDescent="0.3">
      <c r="A483" t="s">
        <v>48</v>
      </c>
      <c r="B483" t="s">
        <v>323</v>
      </c>
      <c r="C483">
        <v>7.4006340000000002</v>
      </c>
      <c r="D483">
        <v>99.478621000000004</v>
      </c>
      <c r="E483">
        <v>15.1692</v>
      </c>
      <c r="F483">
        <v>15.1922</v>
      </c>
      <c r="G483">
        <v>0</v>
      </c>
      <c r="H483">
        <v>0</v>
      </c>
      <c r="J483" t="s">
        <v>0</v>
      </c>
      <c r="K483" t="s">
        <v>50</v>
      </c>
      <c r="L483" t="s">
        <v>51</v>
      </c>
      <c r="M483">
        <v>0</v>
      </c>
      <c r="N483" t="s">
        <v>57</v>
      </c>
      <c r="O483">
        <v>1</v>
      </c>
      <c r="P483" t="s">
        <v>53</v>
      </c>
      <c r="Q483" s="2">
        <v>0.45416666666666666</v>
      </c>
      <c r="R483">
        <f>-0.0002268033*3600</f>
        <v>-0.81649187999999995</v>
      </c>
      <c r="S483">
        <f>-0.0002848357*3600</f>
        <v>-1.02540852</v>
      </c>
    </row>
    <row r="484" spans="1:19" x14ac:dyDescent="0.3">
      <c r="A484" t="s">
        <v>48</v>
      </c>
      <c r="B484" t="s">
        <v>324</v>
      </c>
      <c r="C484">
        <v>7.4006699999999999</v>
      </c>
      <c r="D484">
        <v>99.478612999999996</v>
      </c>
      <c r="E484">
        <v>15.1691</v>
      </c>
      <c r="F484">
        <v>15.1921</v>
      </c>
      <c r="G484">
        <v>0</v>
      </c>
      <c r="H484">
        <v>0</v>
      </c>
      <c r="J484" t="s">
        <v>0</v>
      </c>
      <c r="K484" t="s">
        <v>50</v>
      </c>
      <c r="L484" t="s">
        <v>51</v>
      </c>
      <c r="M484">
        <v>0</v>
      </c>
      <c r="N484" t="s">
        <v>57</v>
      </c>
      <c r="O484">
        <v>1</v>
      </c>
      <c r="P484" t="s">
        <v>53</v>
      </c>
      <c r="Q484" s="2">
        <v>0.4548611111111111</v>
      </c>
      <c r="R484">
        <f>-0.0001692733*3600</f>
        <v>-0.60938387999999999</v>
      </c>
      <c r="S484">
        <f>-0.0002692615*3600</f>
        <v>-0.96934139999999991</v>
      </c>
    </row>
    <row r="485" spans="1:19" x14ac:dyDescent="0.3">
      <c r="A485" t="s">
        <v>48</v>
      </c>
      <c r="B485" t="s">
        <v>325</v>
      </c>
      <c r="C485">
        <v>7.4006829999999999</v>
      </c>
      <c r="D485">
        <v>99.478668999999996</v>
      </c>
      <c r="E485">
        <v>15.1692</v>
      </c>
      <c r="F485">
        <v>15.1921</v>
      </c>
      <c r="G485">
        <v>0</v>
      </c>
      <c r="H485">
        <v>0</v>
      </c>
      <c r="J485" t="s">
        <v>0</v>
      </c>
      <c r="K485" t="s">
        <v>50</v>
      </c>
      <c r="L485" t="s">
        <v>51</v>
      </c>
      <c r="M485">
        <v>0</v>
      </c>
      <c r="N485" t="s">
        <v>57</v>
      </c>
      <c r="O485">
        <v>1</v>
      </c>
      <c r="P485" t="s">
        <v>53</v>
      </c>
      <c r="Q485" s="2">
        <v>0.4548611111111111</v>
      </c>
      <c r="R485">
        <f>-0.0001624433*3600</f>
        <v>-0.58479588000000005</v>
      </c>
      <c r="S485">
        <f>-0.000234442*3600</f>
        <v>-0.84399119999999994</v>
      </c>
    </row>
    <row r="486" spans="1:19" x14ac:dyDescent="0.3">
      <c r="A486" t="s">
        <v>48</v>
      </c>
      <c r="B486" t="s">
        <v>326</v>
      </c>
      <c r="C486">
        <v>205.543431</v>
      </c>
      <c r="D486">
        <v>100.447047</v>
      </c>
      <c r="E486">
        <v>55.915799999999997</v>
      </c>
      <c r="F486">
        <v>56.000900000000001</v>
      </c>
      <c r="G486">
        <v>0</v>
      </c>
      <c r="H486">
        <v>0</v>
      </c>
      <c r="J486" t="s">
        <v>0</v>
      </c>
      <c r="K486" t="s">
        <v>50</v>
      </c>
      <c r="L486" t="s">
        <v>51</v>
      </c>
      <c r="M486">
        <v>0</v>
      </c>
      <c r="N486" t="s">
        <v>57</v>
      </c>
      <c r="O486">
        <v>1</v>
      </c>
      <c r="P486" t="s">
        <v>53</v>
      </c>
      <c r="Q486" s="2">
        <v>0.45555555555555555</v>
      </c>
      <c r="R486">
        <f>-0.0002871788*3600</f>
        <v>-1.0338436800000002</v>
      </c>
      <c r="S486">
        <f>-0.0003266556*3600</f>
        <v>-1.17596016</v>
      </c>
    </row>
    <row r="487" spans="1:19" x14ac:dyDescent="0.3">
      <c r="A487" t="s">
        <v>48</v>
      </c>
      <c r="B487" t="s">
        <v>327</v>
      </c>
      <c r="C487">
        <v>205.54342700000001</v>
      </c>
      <c r="D487">
        <v>100.446842</v>
      </c>
      <c r="E487">
        <v>55.915599999999998</v>
      </c>
      <c r="F487">
        <v>56.000700000000002</v>
      </c>
      <c r="G487">
        <v>0</v>
      </c>
      <c r="H487">
        <v>0</v>
      </c>
      <c r="J487" t="s">
        <v>0</v>
      </c>
      <c r="K487" t="s">
        <v>50</v>
      </c>
      <c r="L487" t="s">
        <v>51</v>
      </c>
      <c r="M487">
        <v>0</v>
      </c>
      <c r="N487" t="s">
        <v>57</v>
      </c>
      <c r="O487">
        <v>1</v>
      </c>
      <c r="P487" t="s">
        <v>53</v>
      </c>
      <c r="Q487" s="2">
        <v>0.45624999999999999</v>
      </c>
      <c r="R487">
        <f>-0.0002477574*3600</f>
        <v>-0.89192663999999999</v>
      </c>
      <c r="S487">
        <f>-0.0003277289*3600</f>
        <v>-1.17982404</v>
      </c>
    </row>
    <row r="488" spans="1:19" x14ac:dyDescent="0.3">
      <c r="A488" t="s">
        <v>48</v>
      </c>
      <c r="B488" t="s">
        <v>328</v>
      </c>
      <c r="C488">
        <v>205.54358500000001</v>
      </c>
      <c r="D488">
        <v>100.44704299999999</v>
      </c>
      <c r="E488">
        <v>55.915700000000001</v>
      </c>
      <c r="F488">
        <v>56.000799999999998</v>
      </c>
      <c r="G488">
        <v>0</v>
      </c>
      <c r="H488">
        <v>0</v>
      </c>
      <c r="J488" t="s">
        <v>0</v>
      </c>
      <c r="K488" t="s">
        <v>50</v>
      </c>
      <c r="L488" t="s">
        <v>51</v>
      </c>
      <c r="M488">
        <v>0</v>
      </c>
      <c r="N488" t="s">
        <v>57</v>
      </c>
      <c r="O488">
        <v>1</v>
      </c>
      <c r="P488" t="s">
        <v>53</v>
      </c>
      <c r="Q488" s="2">
        <v>0.45624999999999999</v>
      </c>
      <c r="R488">
        <f>-0.000260434*3600</f>
        <v>-0.93756239999999991</v>
      </c>
      <c r="S488">
        <f>-0.0002907975*3600</f>
        <v>-1.0468709999999999</v>
      </c>
    </row>
    <row r="489" spans="1:19" x14ac:dyDescent="0.3">
      <c r="A489" t="s">
        <v>48</v>
      </c>
      <c r="B489" t="s">
        <v>329</v>
      </c>
      <c r="C489">
        <v>207.647042</v>
      </c>
      <c r="D489">
        <v>100.246833</v>
      </c>
      <c r="E489">
        <v>75.158299999999997</v>
      </c>
      <c r="F489">
        <v>75.274000000000001</v>
      </c>
      <c r="G489">
        <v>0</v>
      </c>
      <c r="H489">
        <v>0</v>
      </c>
      <c r="J489" t="s">
        <v>0</v>
      </c>
      <c r="K489" t="s">
        <v>50</v>
      </c>
      <c r="L489" t="s">
        <v>51</v>
      </c>
      <c r="M489">
        <v>0</v>
      </c>
      <c r="N489" t="s">
        <v>57</v>
      </c>
      <c r="O489">
        <v>1</v>
      </c>
      <c r="P489" t="s">
        <v>53</v>
      </c>
      <c r="Q489" s="2">
        <v>0.45694444444444443</v>
      </c>
      <c r="R489">
        <f>-0.000202979*3600</f>
        <v>-0.73072439999999994</v>
      </c>
      <c r="S489">
        <f>-0.0002411939*3600</f>
        <v>-0.86829803999999999</v>
      </c>
    </row>
    <row r="490" spans="1:19" x14ac:dyDescent="0.3">
      <c r="A490" t="s">
        <v>48</v>
      </c>
      <c r="B490" t="s">
        <v>330</v>
      </c>
      <c r="C490">
        <v>207.64687000000001</v>
      </c>
      <c r="D490">
        <v>100.24691199999999</v>
      </c>
      <c r="E490">
        <v>75.158299999999997</v>
      </c>
      <c r="F490">
        <v>75.274000000000001</v>
      </c>
      <c r="G490">
        <v>0</v>
      </c>
      <c r="H490">
        <v>0</v>
      </c>
      <c r="J490" t="s">
        <v>0</v>
      </c>
      <c r="K490" t="s">
        <v>50</v>
      </c>
      <c r="L490" t="s">
        <v>51</v>
      </c>
      <c r="M490">
        <v>0</v>
      </c>
      <c r="N490" t="s">
        <v>57</v>
      </c>
      <c r="O490">
        <v>1</v>
      </c>
      <c r="P490" t="s">
        <v>53</v>
      </c>
      <c r="Q490" s="2">
        <v>0.45694444444444443</v>
      </c>
      <c r="R490">
        <f>-0.0001745979*3600</f>
        <v>-0.62855243999999999</v>
      </c>
      <c r="S490">
        <f>-0.0001763757*3600</f>
        <v>-0.63495252000000002</v>
      </c>
    </row>
    <row r="491" spans="1:19" x14ac:dyDescent="0.3">
      <c r="A491" t="s">
        <v>48</v>
      </c>
      <c r="B491" t="s">
        <v>331</v>
      </c>
      <c r="C491">
        <v>207.647311</v>
      </c>
      <c r="D491">
        <v>100.246864</v>
      </c>
      <c r="E491">
        <v>75.158299999999997</v>
      </c>
      <c r="F491">
        <v>75.274000000000001</v>
      </c>
      <c r="G491">
        <v>0</v>
      </c>
      <c r="H491">
        <v>0</v>
      </c>
      <c r="J491" t="s">
        <v>0</v>
      </c>
      <c r="K491" t="s">
        <v>50</v>
      </c>
      <c r="L491" t="s">
        <v>51</v>
      </c>
      <c r="M491">
        <v>0</v>
      </c>
      <c r="N491" t="s">
        <v>57</v>
      </c>
      <c r="O491">
        <v>1</v>
      </c>
      <c r="P491" t="s">
        <v>53</v>
      </c>
      <c r="Q491" s="2">
        <v>0.45763888888888887</v>
      </c>
      <c r="R491">
        <f>-0.0002525541*3600</f>
        <v>-0.90919475999999988</v>
      </c>
      <c r="S491">
        <f>-0.0004065842*3600</f>
        <v>-1.4637031199999999</v>
      </c>
    </row>
    <row r="492" spans="1:19" x14ac:dyDescent="0.3">
      <c r="A492" t="s">
        <v>48</v>
      </c>
      <c r="B492" t="s">
        <v>332</v>
      </c>
      <c r="C492">
        <v>4.1399999999999998E-4</v>
      </c>
      <c r="D492">
        <v>98.551064999999994</v>
      </c>
      <c r="E492">
        <v>55.994700000000002</v>
      </c>
      <c r="F492">
        <v>56.066699999999997</v>
      </c>
      <c r="G492">
        <v>0</v>
      </c>
      <c r="H492">
        <v>0</v>
      </c>
      <c r="J492" t="s">
        <v>0</v>
      </c>
      <c r="K492" t="s">
        <v>50</v>
      </c>
      <c r="L492" t="s">
        <v>51</v>
      </c>
      <c r="M492">
        <v>0</v>
      </c>
      <c r="N492" t="s">
        <v>57</v>
      </c>
      <c r="O492">
        <v>1</v>
      </c>
      <c r="P492" t="s">
        <v>53</v>
      </c>
      <c r="Q492" s="2">
        <v>0.45763888888888887</v>
      </c>
      <c r="R492">
        <f>-0.0002069833*3600</f>
        <v>-0.74513987999999998</v>
      </c>
      <c r="S492">
        <f>-0.0003155583*3600</f>
        <v>-1.13600988</v>
      </c>
    </row>
    <row r="493" spans="1:19" x14ac:dyDescent="0.3">
      <c r="A493" t="s">
        <v>48</v>
      </c>
      <c r="B493" t="s">
        <v>333</v>
      </c>
      <c r="C493">
        <v>5.4900000000000001E-4</v>
      </c>
      <c r="D493">
        <v>98.550884999999994</v>
      </c>
      <c r="E493">
        <v>55.994599999999998</v>
      </c>
      <c r="F493">
        <v>56.066600000000001</v>
      </c>
      <c r="G493">
        <v>0</v>
      </c>
      <c r="H493">
        <v>0</v>
      </c>
      <c r="J493" t="s">
        <v>0</v>
      </c>
      <c r="K493" t="s">
        <v>50</v>
      </c>
      <c r="L493" t="s">
        <v>51</v>
      </c>
      <c r="M493">
        <v>0</v>
      </c>
      <c r="N493" t="s">
        <v>57</v>
      </c>
      <c r="O493">
        <v>1</v>
      </c>
      <c r="P493" t="s">
        <v>53</v>
      </c>
      <c r="Q493" s="2">
        <v>0.45833333333333331</v>
      </c>
      <c r="R493">
        <f>-0.0001191987*3600</f>
        <v>-0.42911532000000002</v>
      </c>
      <c r="S493">
        <f>-0.0001240466*3600</f>
        <v>-0.44656776000000004</v>
      </c>
    </row>
    <row r="494" spans="1:19" x14ac:dyDescent="0.3">
      <c r="A494" t="s">
        <v>48</v>
      </c>
      <c r="B494">
        <v>7000</v>
      </c>
      <c r="C494">
        <v>7.5233230000000004</v>
      </c>
      <c r="D494">
        <v>100.99528100000001</v>
      </c>
      <c r="E494">
        <v>2.0442999999999998</v>
      </c>
      <c r="F494">
        <v>2.0472000000000001</v>
      </c>
      <c r="G494">
        <v>0</v>
      </c>
      <c r="H494">
        <v>0</v>
      </c>
      <c r="J494" t="s">
        <v>0</v>
      </c>
      <c r="K494" t="s">
        <v>61</v>
      </c>
      <c r="L494">
        <v>3.4000000000000002E-2</v>
      </c>
      <c r="M494" t="s">
        <v>52</v>
      </c>
      <c r="N494">
        <v>1</v>
      </c>
      <c r="O494" t="s">
        <v>53</v>
      </c>
      <c r="P494" s="2">
        <v>0.45902777777777781</v>
      </c>
      <c r="Q494">
        <f>-0.0002839503*3600</f>
        <v>-1.02222108</v>
      </c>
      <c r="R494">
        <f>-0.0001289073*3600</f>
        <v>-0.46406628000000005</v>
      </c>
    </row>
    <row r="495" spans="1:19" x14ac:dyDescent="0.3">
      <c r="A495" t="s">
        <v>48</v>
      </c>
      <c r="B495">
        <v>7001</v>
      </c>
      <c r="C495">
        <v>7.5207319999999998</v>
      </c>
      <c r="D495">
        <v>99.519558000000004</v>
      </c>
      <c r="E495">
        <v>1</v>
      </c>
      <c r="F495">
        <v>1</v>
      </c>
      <c r="G495">
        <v>0</v>
      </c>
      <c r="H495">
        <v>0</v>
      </c>
      <c r="J495" t="s">
        <v>0</v>
      </c>
      <c r="K495" t="s">
        <v>61</v>
      </c>
      <c r="L495">
        <v>0</v>
      </c>
      <c r="M495" t="s">
        <v>52</v>
      </c>
      <c r="N495">
        <v>1</v>
      </c>
      <c r="O495" t="s">
        <v>63</v>
      </c>
      <c r="P495" s="2">
        <v>0.4597222222222222</v>
      </c>
      <c r="Q495">
        <f>-0.0003374436*3600</f>
        <v>-1.2147969599999999</v>
      </c>
      <c r="R495">
        <f>-0.0001065199*3600</f>
        <v>-0.38347164</v>
      </c>
    </row>
    <row r="496" spans="1:19" x14ac:dyDescent="0.3">
      <c r="A496" t="s">
        <v>48</v>
      </c>
      <c r="B496">
        <v>7002</v>
      </c>
      <c r="C496">
        <v>7.5198520000000002</v>
      </c>
      <c r="D496">
        <v>99.519540000000006</v>
      </c>
      <c r="E496">
        <v>1</v>
      </c>
      <c r="F496">
        <v>1</v>
      </c>
      <c r="G496">
        <v>0</v>
      </c>
      <c r="H496">
        <v>0</v>
      </c>
      <c r="J496" t="s">
        <v>0</v>
      </c>
      <c r="K496" t="s">
        <v>61</v>
      </c>
      <c r="L496">
        <v>0</v>
      </c>
      <c r="M496" t="s">
        <v>52</v>
      </c>
      <c r="N496">
        <v>1</v>
      </c>
      <c r="O496" t="s">
        <v>63</v>
      </c>
      <c r="P496" s="2">
        <v>0.4597222222222222</v>
      </c>
      <c r="Q496">
        <f>-0.0003372403*3600</f>
        <v>-1.2140650799999999</v>
      </c>
      <c r="R496">
        <f>-0.0001140414*3600</f>
        <v>-0.41054904000000003</v>
      </c>
    </row>
    <row r="497" spans="1:18" x14ac:dyDescent="0.3">
      <c r="A497" t="s">
        <v>48</v>
      </c>
      <c r="B497">
        <v>7003</v>
      </c>
      <c r="C497">
        <v>7.5223839999999997</v>
      </c>
      <c r="D497">
        <v>99.519559000000001</v>
      </c>
      <c r="E497">
        <v>1</v>
      </c>
      <c r="F497">
        <v>1</v>
      </c>
      <c r="G497">
        <v>0</v>
      </c>
      <c r="H497">
        <v>0</v>
      </c>
      <c r="J497" t="s">
        <v>0</v>
      </c>
      <c r="K497" t="s">
        <v>61</v>
      </c>
      <c r="L497">
        <v>0</v>
      </c>
      <c r="M497" t="s">
        <v>52</v>
      </c>
      <c r="N497">
        <v>1</v>
      </c>
      <c r="O497" t="s">
        <v>63</v>
      </c>
      <c r="P497" s="2">
        <v>0.4597222222222222</v>
      </c>
      <c r="Q497">
        <f>-0.0003873248*3600</f>
        <v>-1.39436928</v>
      </c>
      <c r="R497">
        <f>-0.0001065076*3600</f>
        <v>-0.38342735999999999</v>
      </c>
    </row>
    <row r="498" spans="1:18" x14ac:dyDescent="0.3">
      <c r="A498" t="s">
        <v>48</v>
      </c>
      <c r="B498">
        <v>7004</v>
      </c>
      <c r="C498">
        <v>7.5218769999999999</v>
      </c>
      <c r="D498">
        <v>99.519604999999999</v>
      </c>
      <c r="E498">
        <v>1</v>
      </c>
      <c r="F498">
        <v>1</v>
      </c>
      <c r="G498">
        <v>0</v>
      </c>
      <c r="H498">
        <v>0</v>
      </c>
      <c r="J498" t="s">
        <v>0</v>
      </c>
      <c r="K498" t="s">
        <v>61</v>
      </c>
      <c r="L498">
        <v>0</v>
      </c>
      <c r="M498" t="s">
        <v>52</v>
      </c>
      <c r="N498">
        <v>1</v>
      </c>
      <c r="O498" t="s">
        <v>63</v>
      </c>
      <c r="P498" s="2">
        <v>0.4597222222222222</v>
      </c>
      <c r="Q498">
        <f>-0.0003703642*3600</f>
        <v>-1.3333111200000001</v>
      </c>
      <c r="R498">
        <f>-0.0000653711*3600</f>
        <v>-0.23533596000000001</v>
      </c>
    </row>
    <row r="499" spans="1:18" x14ac:dyDescent="0.3">
      <c r="A499" t="s">
        <v>48</v>
      </c>
      <c r="B499">
        <v>7005</v>
      </c>
      <c r="C499">
        <v>7.5241829999999998</v>
      </c>
      <c r="D499">
        <v>99.519608000000005</v>
      </c>
      <c r="E499">
        <v>1</v>
      </c>
      <c r="F499">
        <v>1</v>
      </c>
      <c r="G499">
        <v>0</v>
      </c>
      <c r="H499">
        <v>0</v>
      </c>
      <c r="J499" t="s">
        <v>0</v>
      </c>
      <c r="K499" t="s">
        <v>61</v>
      </c>
      <c r="L499">
        <v>0</v>
      </c>
      <c r="M499" t="s">
        <v>52</v>
      </c>
      <c r="N499">
        <v>1</v>
      </c>
      <c r="O499" t="s">
        <v>63</v>
      </c>
      <c r="P499" s="2">
        <v>0.4597222222222222</v>
      </c>
      <c r="Q499">
        <f>-0.0003879191*3600</f>
        <v>-1.3965087599999999</v>
      </c>
      <c r="R499">
        <f>-0.0000719978*3600</f>
        <v>-0.25919207999999999</v>
      </c>
    </row>
    <row r="500" spans="1:18" x14ac:dyDescent="0.3">
      <c r="A500" t="s">
        <v>48</v>
      </c>
      <c r="B500">
        <v>7006</v>
      </c>
      <c r="C500">
        <v>7.5205690000000001</v>
      </c>
      <c r="D500">
        <v>99.519553999999999</v>
      </c>
      <c r="E500">
        <v>1</v>
      </c>
      <c r="F500">
        <v>1</v>
      </c>
      <c r="G500">
        <v>0</v>
      </c>
      <c r="H500">
        <v>0</v>
      </c>
      <c r="J500" t="s">
        <v>0</v>
      </c>
      <c r="K500" t="s">
        <v>61</v>
      </c>
      <c r="L500">
        <v>0</v>
      </c>
      <c r="M500" t="s">
        <v>52</v>
      </c>
      <c r="N500">
        <v>1</v>
      </c>
      <c r="O500" t="s">
        <v>63</v>
      </c>
      <c r="P500" s="2">
        <v>0.4597222222222222</v>
      </c>
      <c r="Q500">
        <f>-0.0004129726*3600</f>
        <v>-1.4867013599999999</v>
      </c>
      <c r="R500">
        <f>-0.0001172223*3600</f>
        <v>-0.42200028000000001</v>
      </c>
    </row>
    <row r="501" spans="1:18" x14ac:dyDescent="0.3">
      <c r="A501" t="s">
        <v>48</v>
      </c>
      <c r="B501">
        <v>7007</v>
      </c>
      <c r="C501">
        <v>7.5232760000000001</v>
      </c>
      <c r="D501">
        <v>99.519527999999994</v>
      </c>
      <c r="E501">
        <v>1</v>
      </c>
      <c r="F501">
        <v>1</v>
      </c>
      <c r="G501">
        <v>0</v>
      </c>
      <c r="H501">
        <v>0</v>
      </c>
      <c r="J501" t="s">
        <v>0</v>
      </c>
      <c r="K501" t="s">
        <v>61</v>
      </c>
      <c r="L501">
        <v>0</v>
      </c>
      <c r="M501" t="s">
        <v>52</v>
      </c>
      <c r="N501">
        <v>1</v>
      </c>
      <c r="O501" t="s">
        <v>63</v>
      </c>
      <c r="P501" s="2">
        <v>0.4597222222222222</v>
      </c>
      <c r="Q501">
        <f>-0.0003980321*3600</f>
        <v>-1.4329155600000001</v>
      </c>
      <c r="R501">
        <f>-0.0001317262*3600</f>
        <v>-0.47421431999999997</v>
      </c>
    </row>
    <row r="502" spans="1:18" x14ac:dyDescent="0.3">
      <c r="A502" t="s">
        <v>48</v>
      </c>
      <c r="B502">
        <v>7008</v>
      </c>
      <c r="C502">
        <v>7.5237129999999999</v>
      </c>
      <c r="D502">
        <v>99.519524000000004</v>
      </c>
      <c r="E502">
        <v>1</v>
      </c>
      <c r="F502">
        <v>1</v>
      </c>
      <c r="G502">
        <v>0</v>
      </c>
      <c r="H502">
        <v>0</v>
      </c>
      <c r="J502" t="s">
        <v>0</v>
      </c>
      <c r="K502" t="s">
        <v>61</v>
      </c>
      <c r="L502">
        <v>0</v>
      </c>
      <c r="M502" t="s">
        <v>52</v>
      </c>
      <c r="N502">
        <v>1</v>
      </c>
      <c r="O502" t="s">
        <v>63</v>
      </c>
      <c r="P502" s="2">
        <v>0.4597222222222222</v>
      </c>
      <c r="Q502">
        <f>-0.0004422117*3600</f>
        <v>-1.59196212</v>
      </c>
      <c r="R502">
        <f>-0.0001493099*3600</f>
        <v>-0.53751564000000007</v>
      </c>
    </row>
    <row r="503" spans="1:18" x14ac:dyDescent="0.3">
      <c r="A503" t="s">
        <v>48</v>
      </c>
      <c r="B503">
        <v>7009</v>
      </c>
      <c r="C503">
        <v>7.5215500000000004</v>
      </c>
      <c r="D503">
        <v>99.519576999999998</v>
      </c>
      <c r="E503">
        <v>1</v>
      </c>
      <c r="F503">
        <v>1</v>
      </c>
      <c r="G503">
        <v>0</v>
      </c>
      <c r="H503">
        <v>0</v>
      </c>
      <c r="J503" t="s">
        <v>0</v>
      </c>
      <c r="K503" t="s">
        <v>61</v>
      </c>
      <c r="L503">
        <v>0</v>
      </c>
      <c r="M503" t="s">
        <v>52</v>
      </c>
      <c r="N503">
        <v>1</v>
      </c>
      <c r="O503" t="s">
        <v>63</v>
      </c>
      <c r="P503" s="2">
        <v>0.4597222222222222</v>
      </c>
      <c r="Q503">
        <f>-0.0004128126*3600</f>
        <v>-1.4861253600000002</v>
      </c>
      <c r="R503">
        <f>-0.0000582916*3600</f>
        <v>-0.20984976</v>
      </c>
    </row>
    <row r="504" spans="1:18" x14ac:dyDescent="0.3">
      <c r="A504" t="s">
        <v>48</v>
      </c>
      <c r="B504">
        <v>7010</v>
      </c>
      <c r="C504">
        <v>7.5209900000000003</v>
      </c>
      <c r="D504">
        <v>99.519570999999999</v>
      </c>
      <c r="E504">
        <v>1</v>
      </c>
      <c r="F504">
        <v>1</v>
      </c>
      <c r="G504">
        <v>0</v>
      </c>
      <c r="H504">
        <v>0</v>
      </c>
      <c r="J504" t="s">
        <v>0</v>
      </c>
      <c r="K504" t="s">
        <v>61</v>
      </c>
      <c r="L504">
        <v>0</v>
      </c>
      <c r="M504" t="s">
        <v>52</v>
      </c>
      <c r="N504">
        <v>1</v>
      </c>
      <c r="O504" t="s">
        <v>63</v>
      </c>
      <c r="P504" s="2">
        <v>0.4604166666666667</v>
      </c>
      <c r="Q504">
        <f>-0.0004167365*3600</f>
        <v>-1.5002514</v>
      </c>
      <c r="R504">
        <f>-0.0000803873*3600</f>
        <v>-0.28939428</v>
      </c>
    </row>
    <row r="505" spans="1:18" x14ac:dyDescent="0.3">
      <c r="A505" t="s">
        <v>48</v>
      </c>
      <c r="B505">
        <v>7011</v>
      </c>
      <c r="C505">
        <v>7.5232659999999996</v>
      </c>
      <c r="D505">
        <v>99.519531999999998</v>
      </c>
      <c r="E505">
        <v>1</v>
      </c>
      <c r="F505">
        <v>1</v>
      </c>
      <c r="G505">
        <v>0</v>
      </c>
      <c r="H505">
        <v>0</v>
      </c>
      <c r="J505" t="s">
        <v>0</v>
      </c>
      <c r="K505" t="s">
        <v>61</v>
      </c>
      <c r="L505">
        <v>0</v>
      </c>
      <c r="M505" t="s">
        <v>52</v>
      </c>
      <c r="N505">
        <v>1</v>
      </c>
      <c r="O505" t="s">
        <v>63</v>
      </c>
      <c r="P505" s="2">
        <v>0.4604166666666667</v>
      </c>
      <c r="Q505">
        <f>-0.0004352073*3600</f>
        <v>-1.56674628</v>
      </c>
      <c r="R505">
        <f>-0.0001177904*3600</f>
        <v>-0.42404544</v>
      </c>
    </row>
    <row r="506" spans="1:18" x14ac:dyDescent="0.3">
      <c r="A506" t="s">
        <v>48</v>
      </c>
      <c r="B506">
        <v>7012</v>
      </c>
      <c r="C506">
        <v>7.5226249999999997</v>
      </c>
      <c r="D506">
        <v>99.519531000000001</v>
      </c>
      <c r="E506">
        <v>1</v>
      </c>
      <c r="F506">
        <v>1</v>
      </c>
      <c r="G506">
        <v>0</v>
      </c>
      <c r="H506">
        <v>0</v>
      </c>
      <c r="J506" t="s">
        <v>0</v>
      </c>
      <c r="K506" t="s">
        <v>61</v>
      </c>
      <c r="L506">
        <v>0</v>
      </c>
      <c r="M506" t="s">
        <v>52</v>
      </c>
      <c r="N506">
        <v>1</v>
      </c>
      <c r="O506" t="s">
        <v>63</v>
      </c>
      <c r="P506" s="2">
        <v>0.4604166666666667</v>
      </c>
      <c r="Q506">
        <f>-0.0005021585*3600</f>
        <v>-1.8077706</v>
      </c>
      <c r="R506">
        <f>-0.0001386725*3600</f>
        <v>-0.49922100000000003</v>
      </c>
    </row>
    <row r="507" spans="1:18" x14ac:dyDescent="0.3">
      <c r="A507" t="s">
        <v>48</v>
      </c>
      <c r="B507">
        <v>7013</v>
      </c>
      <c r="C507">
        <v>7.5219800000000001</v>
      </c>
      <c r="D507">
        <v>99.519586000000004</v>
      </c>
      <c r="E507">
        <v>1</v>
      </c>
      <c r="F507">
        <v>1</v>
      </c>
      <c r="G507">
        <v>0</v>
      </c>
      <c r="H507">
        <v>0</v>
      </c>
      <c r="J507" t="s">
        <v>0</v>
      </c>
      <c r="K507" t="s">
        <v>61</v>
      </c>
      <c r="L507">
        <v>0</v>
      </c>
      <c r="M507" t="s">
        <v>52</v>
      </c>
      <c r="N507">
        <v>1</v>
      </c>
      <c r="O507" t="s">
        <v>63</v>
      </c>
      <c r="P507" s="2">
        <v>0.4604166666666667</v>
      </c>
      <c r="Q507">
        <f>-0.000469369*3600</f>
        <v>-1.6897284000000001</v>
      </c>
      <c r="R507">
        <f>-0.0000713544*3600</f>
        <v>-0.25687583999999997</v>
      </c>
    </row>
    <row r="508" spans="1:18" x14ac:dyDescent="0.3">
      <c r="A508" t="s">
        <v>48</v>
      </c>
      <c r="B508">
        <v>7014</v>
      </c>
      <c r="C508">
        <v>7.5224099999999998</v>
      </c>
      <c r="D508">
        <v>99.519604000000001</v>
      </c>
      <c r="E508">
        <v>1</v>
      </c>
      <c r="F508">
        <v>1</v>
      </c>
      <c r="G508">
        <v>0</v>
      </c>
      <c r="H508">
        <v>0</v>
      </c>
      <c r="J508" t="s">
        <v>0</v>
      </c>
      <c r="K508" t="s">
        <v>61</v>
      </c>
      <c r="L508">
        <v>0</v>
      </c>
      <c r="M508" t="s">
        <v>52</v>
      </c>
      <c r="N508">
        <v>1</v>
      </c>
      <c r="O508" t="s">
        <v>63</v>
      </c>
      <c r="P508" s="2">
        <v>0.4604166666666667</v>
      </c>
      <c r="Q508">
        <f>-0.0004363001*3600</f>
        <v>-1.5706803600000001</v>
      </c>
      <c r="R508">
        <f>-0.0000584042*3600</f>
        <v>-0.21025511999999999</v>
      </c>
    </row>
    <row r="509" spans="1:18" x14ac:dyDescent="0.3">
      <c r="A509" t="s">
        <v>48</v>
      </c>
      <c r="B509">
        <v>7015</v>
      </c>
      <c r="C509">
        <v>7.522062</v>
      </c>
      <c r="D509">
        <v>99.519604000000001</v>
      </c>
      <c r="E509">
        <v>1</v>
      </c>
      <c r="F509">
        <v>1</v>
      </c>
      <c r="G509">
        <v>0</v>
      </c>
      <c r="H509">
        <v>0</v>
      </c>
      <c r="J509" t="s">
        <v>0</v>
      </c>
      <c r="K509" t="s">
        <v>61</v>
      </c>
      <c r="L509">
        <v>0</v>
      </c>
      <c r="M509" t="s">
        <v>52</v>
      </c>
      <c r="N509">
        <v>1</v>
      </c>
      <c r="O509" t="s">
        <v>63</v>
      </c>
      <c r="P509" s="2">
        <v>0.4604166666666667</v>
      </c>
      <c r="Q509">
        <f>-0.0004655634*3600</f>
        <v>-1.6760282399999999</v>
      </c>
      <c r="R509">
        <f>-0.0000461902*3600</f>
        <v>-0.16628472</v>
      </c>
    </row>
    <row r="510" spans="1:18" x14ac:dyDescent="0.3">
      <c r="A510" t="s">
        <v>48</v>
      </c>
      <c r="B510">
        <v>7016</v>
      </c>
      <c r="C510">
        <v>7.5209229999999998</v>
      </c>
      <c r="D510">
        <v>99.519565999999998</v>
      </c>
      <c r="E510">
        <v>1</v>
      </c>
      <c r="F510">
        <v>1</v>
      </c>
      <c r="G510">
        <v>0</v>
      </c>
      <c r="H510">
        <v>0</v>
      </c>
      <c r="J510" t="s">
        <v>0</v>
      </c>
      <c r="K510" t="s">
        <v>61</v>
      </c>
      <c r="L510">
        <v>0</v>
      </c>
      <c r="M510" t="s">
        <v>52</v>
      </c>
      <c r="N510">
        <v>1</v>
      </c>
      <c r="O510" t="s">
        <v>63</v>
      </c>
      <c r="P510" s="2">
        <v>0.4604166666666667</v>
      </c>
      <c r="Q510">
        <f>-0.0004854165*3600</f>
        <v>-1.7474994000000001</v>
      </c>
      <c r="R510">
        <f>-0.0000527381*3600</f>
        <v>-0.18985716</v>
      </c>
    </row>
    <row r="511" spans="1:18" x14ac:dyDescent="0.3">
      <c r="A511" t="s">
        <v>48</v>
      </c>
      <c r="B511">
        <v>7017</v>
      </c>
      <c r="C511">
        <v>7.5237420000000004</v>
      </c>
      <c r="D511">
        <v>99.519546000000005</v>
      </c>
      <c r="E511">
        <v>1</v>
      </c>
      <c r="F511">
        <v>1</v>
      </c>
      <c r="G511">
        <v>0</v>
      </c>
      <c r="H511">
        <v>0</v>
      </c>
      <c r="J511" t="s">
        <v>0</v>
      </c>
      <c r="K511" t="s">
        <v>61</v>
      </c>
      <c r="L511">
        <v>0</v>
      </c>
      <c r="M511" t="s">
        <v>52</v>
      </c>
      <c r="N511">
        <v>1</v>
      </c>
      <c r="O511" t="s">
        <v>63</v>
      </c>
      <c r="P511" s="2">
        <v>0.4604166666666667</v>
      </c>
      <c r="Q511">
        <f>-0.0005234647*3600</f>
        <v>-1.8844729199999999</v>
      </c>
      <c r="R511">
        <f>-0.0001211465*3600</f>
        <v>-0.4361274</v>
      </c>
    </row>
    <row r="512" spans="1:18" x14ac:dyDescent="0.3">
      <c r="A512" t="s">
        <v>48</v>
      </c>
      <c r="B512">
        <v>7018</v>
      </c>
      <c r="C512">
        <v>7.5224830000000003</v>
      </c>
      <c r="D512">
        <v>99.519589999999994</v>
      </c>
      <c r="E512">
        <v>1</v>
      </c>
      <c r="F512">
        <v>1</v>
      </c>
      <c r="G512">
        <v>0</v>
      </c>
      <c r="H512">
        <v>0</v>
      </c>
      <c r="J512" t="s">
        <v>0</v>
      </c>
      <c r="K512" t="s">
        <v>61</v>
      </c>
      <c r="L512">
        <v>0</v>
      </c>
      <c r="M512" t="s">
        <v>52</v>
      </c>
      <c r="N512">
        <v>1</v>
      </c>
      <c r="O512" t="s">
        <v>63</v>
      </c>
      <c r="P512" s="2">
        <v>0.4604166666666667</v>
      </c>
      <c r="Q512">
        <f>-0.0005078741*3600</f>
        <v>-1.8283467600000001</v>
      </c>
      <c r="R512">
        <f>-0.0000560487*3600</f>
        <v>-0.20177531999999998</v>
      </c>
    </row>
    <row r="513" spans="1:18" x14ac:dyDescent="0.3">
      <c r="A513" t="s">
        <v>48</v>
      </c>
      <c r="B513">
        <v>7019</v>
      </c>
      <c r="C513">
        <v>7.5221619999999998</v>
      </c>
      <c r="D513">
        <v>99.519552000000004</v>
      </c>
      <c r="E513">
        <v>1</v>
      </c>
      <c r="F513">
        <v>1</v>
      </c>
      <c r="G513">
        <v>0</v>
      </c>
      <c r="H513">
        <v>0</v>
      </c>
      <c r="J513" t="s">
        <v>0</v>
      </c>
      <c r="K513" t="s">
        <v>61</v>
      </c>
      <c r="L513">
        <v>0</v>
      </c>
      <c r="M513" t="s">
        <v>52</v>
      </c>
      <c r="N513">
        <v>1</v>
      </c>
      <c r="O513" t="s">
        <v>63</v>
      </c>
      <c r="P513" s="2">
        <v>0.46111111111111108</v>
      </c>
      <c r="Q513">
        <f>-0.0005437031*3600</f>
        <v>-1.9573311600000001</v>
      </c>
      <c r="R513">
        <f>-0.0001013981*3600</f>
        <v>-0.36503316000000002</v>
      </c>
    </row>
    <row r="514" spans="1:18" x14ac:dyDescent="0.3">
      <c r="A514" t="s">
        <v>48</v>
      </c>
      <c r="B514">
        <v>7020</v>
      </c>
      <c r="C514">
        <v>7.521706</v>
      </c>
      <c r="D514">
        <v>99.519587000000001</v>
      </c>
      <c r="E514">
        <v>1</v>
      </c>
      <c r="F514">
        <v>1</v>
      </c>
      <c r="G514">
        <v>0</v>
      </c>
      <c r="H514">
        <v>0</v>
      </c>
      <c r="J514" t="s">
        <v>0</v>
      </c>
      <c r="K514" t="s">
        <v>61</v>
      </c>
      <c r="L514">
        <v>0</v>
      </c>
      <c r="M514" t="s">
        <v>52</v>
      </c>
      <c r="N514">
        <v>1</v>
      </c>
      <c r="O514" t="s">
        <v>63</v>
      </c>
      <c r="P514" s="2">
        <v>0.46111111111111108</v>
      </c>
      <c r="Q514">
        <f>-0.0005570721*3600</f>
        <v>-2.0054595599999998</v>
      </c>
      <c r="R514">
        <f>-0.0000370208*3600</f>
        <v>-0.13327488000000001</v>
      </c>
    </row>
    <row r="515" spans="1:18" x14ac:dyDescent="0.3">
      <c r="A515" t="s">
        <v>48</v>
      </c>
      <c r="B515">
        <v>7021</v>
      </c>
      <c r="C515">
        <v>7.5227130000000004</v>
      </c>
      <c r="D515">
        <v>99.519540000000006</v>
      </c>
      <c r="E515">
        <v>1</v>
      </c>
      <c r="F515">
        <v>1</v>
      </c>
      <c r="G515">
        <v>0</v>
      </c>
      <c r="H515">
        <v>0</v>
      </c>
      <c r="J515" t="s">
        <v>0</v>
      </c>
      <c r="K515" t="s">
        <v>61</v>
      </c>
      <c r="L515">
        <v>0</v>
      </c>
      <c r="M515" t="s">
        <v>52</v>
      </c>
      <c r="N515">
        <v>1</v>
      </c>
      <c r="O515" t="s">
        <v>63</v>
      </c>
      <c r="P515" s="2">
        <v>0.46111111111111108</v>
      </c>
      <c r="Q515">
        <f>-0.0005300444*3600</f>
        <v>-1.9081598400000002</v>
      </c>
      <c r="R515">
        <f>-0.0001174084*3600</f>
        <v>-0.42267023999999997</v>
      </c>
    </row>
    <row r="516" spans="1:18" x14ac:dyDescent="0.3">
      <c r="A516" t="s">
        <v>48</v>
      </c>
      <c r="B516">
        <v>7022</v>
      </c>
      <c r="C516">
        <v>7.5231380000000003</v>
      </c>
      <c r="D516">
        <v>99.519596000000007</v>
      </c>
      <c r="E516">
        <v>1</v>
      </c>
      <c r="F516">
        <v>1</v>
      </c>
      <c r="G516">
        <v>0</v>
      </c>
      <c r="H516">
        <v>0</v>
      </c>
      <c r="J516" t="s">
        <v>0</v>
      </c>
      <c r="K516" t="s">
        <v>61</v>
      </c>
      <c r="L516">
        <v>0</v>
      </c>
      <c r="M516" t="s">
        <v>52</v>
      </c>
      <c r="N516">
        <v>1</v>
      </c>
      <c r="O516" t="s">
        <v>63</v>
      </c>
      <c r="P516" s="2">
        <v>0.46111111111111108</v>
      </c>
      <c r="Q516">
        <f>-0.0005134754*3600</f>
        <v>-1.84851144</v>
      </c>
      <c r="R516">
        <f>-0.0000460013*3600</f>
        <v>-0.16560468</v>
      </c>
    </row>
    <row r="517" spans="1:18" x14ac:dyDescent="0.3">
      <c r="A517" t="s">
        <v>48</v>
      </c>
      <c r="B517">
        <v>7023</v>
      </c>
      <c r="C517">
        <v>7.5227009999999996</v>
      </c>
      <c r="D517">
        <v>99.519640999999993</v>
      </c>
      <c r="E517">
        <v>1</v>
      </c>
      <c r="F517">
        <v>1</v>
      </c>
      <c r="G517">
        <v>0</v>
      </c>
      <c r="H517">
        <v>0</v>
      </c>
      <c r="J517" t="s">
        <v>0</v>
      </c>
      <c r="K517" t="s">
        <v>61</v>
      </c>
      <c r="L517">
        <v>0</v>
      </c>
      <c r="M517" t="s">
        <v>52</v>
      </c>
      <c r="N517">
        <v>1</v>
      </c>
      <c r="O517" t="s">
        <v>63</v>
      </c>
      <c r="P517" s="2">
        <v>0.46111111111111108</v>
      </c>
      <c r="Q517">
        <f>-0.0005886088*3600</f>
        <v>-2.1189916799999997</v>
      </c>
      <c r="R517">
        <f>0.000008067*3600</f>
        <v>2.9041199999999996E-2</v>
      </c>
    </row>
    <row r="518" spans="1:18" x14ac:dyDescent="0.3">
      <c r="A518" t="s">
        <v>48</v>
      </c>
      <c r="B518">
        <v>7024</v>
      </c>
      <c r="C518">
        <v>7.5202869999999997</v>
      </c>
      <c r="D518">
        <v>99.519604000000001</v>
      </c>
      <c r="E518">
        <v>1</v>
      </c>
      <c r="F518">
        <v>1</v>
      </c>
      <c r="G518">
        <v>0</v>
      </c>
      <c r="H518">
        <v>0</v>
      </c>
      <c r="J518" t="s">
        <v>0</v>
      </c>
      <c r="K518" t="s">
        <v>61</v>
      </c>
      <c r="L518">
        <v>0</v>
      </c>
      <c r="M518" t="s">
        <v>52</v>
      </c>
      <c r="N518">
        <v>1</v>
      </c>
      <c r="O518" t="s">
        <v>63</v>
      </c>
      <c r="P518" s="2">
        <v>0.46111111111111108</v>
      </c>
      <c r="Q518">
        <f>-0.0004654272*3600</f>
        <v>-1.67553792</v>
      </c>
      <c r="R518">
        <f>-0.0000371998*3600</f>
        <v>-0.13391928</v>
      </c>
    </row>
    <row r="519" spans="1:18" x14ac:dyDescent="0.3">
      <c r="A519" t="s">
        <v>48</v>
      </c>
      <c r="B519">
        <v>7025</v>
      </c>
      <c r="C519">
        <v>7.5230240000000004</v>
      </c>
      <c r="D519">
        <v>99.519636000000006</v>
      </c>
      <c r="E519">
        <v>1</v>
      </c>
      <c r="F519">
        <v>1</v>
      </c>
      <c r="G519">
        <v>0</v>
      </c>
      <c r="H519">
        <v>0</v>
      </c>
      <c r="J519" t="s">
        <v>0</v>
      </c>
      <c r="K519" t="s">
        <v>61</v>
      </c>
      <c r="L519">
        <v>0</v>
      </c>
      <c r="M519" t="s">
        <v>52</v>
      </c>
      <c r="N519">
        <v>1</v>
      </c>
      <c r="O519" t="s">
        <v>63</v>
      </c>
      <c r="P519" s="2">
        <v>0.46111111111111108</v>
      </c>
      <c r="Q519">
        <f>-0.0005051112*3600</f>
        <v>-1.8184003200000001</v>
      </c>
      <c r="R519">
        <f>-0.0000281101*3600</f>
        <v>-0.10119636</v>
      </c>
    </row>
    <row r="520" spans="1:18" x14ac:dyDescent="0.3">
      <c r="A520" t="s">
        <v>48</v>
      </c>
      <c r="B520">
        <v>7026</v>
      </c>
      <c r="C520">
        <v>7.5232159999999997</v>
      </c>
      <c r="D520">
        <v>99.519576000000001</v>
      </c>
      <c r="E520">
        <v>1</v>
      </c>
      <c r="F520">
        <v>1</v>
      </c>
      <c r="G520">
        <v>0</v>
      </c>
      <c r="H520">
        <v>0</v>
      </c>
      <c r="J520" t="s">
        <v>0</v>
      </c>
      <c r="K520" t="s">
        <v>61</v>
      </c>
      <c r="L520">
        <v>0</v>
      </c>
      <c r="M520" t="s">
        <v>52</v>
      </c>
      <c r="N520">
        <v>1</v>
      </c>
      <c r="O520" t="s">
        <v>63</v>
      </c>
      <c r="P520" s="2">
        <v>0.46111111111111108</v>
      </c>
      <c r="Q520">
        <f>-0.0004733152*3600</f>
        <v>-1.7039347199999999</v>
      </c>
      <c r="R520">
        <f>-0.0000580341*3600</f>
        <v>-0.20892276000000001</v>
      </c>
    </row>
    <row r="521" spans="1:18" x14ac:dyDescent="0.3">
      <c r="A521" t="s">
        <v>48</v>
      </c>
      <c r="B521">
        <v>7027</v>
      </c>
      <c r="C521">
        <v>7.5214590000000001</v>
      </c>
      <c r="D521">
        <v>99.519599999999997</v>
      </c>
      <c r="E521">
        <v>1</v>
      </c>
      <c r="F521">
        <v>1</v>
      </c>
      <c r="G521">
        <v>0</v>
      </c>
      <c r="H521">
        <v>0</v>
      </c>
      <c r="J521" t="s">
        <v>0</v>
      </c>
      <c r="K521" t="s">
        <v>61</v>
      </c>
      <c r="L521">
        <v>0</v>
      </c>
      <c r="M521" t="s">
        <v>52</v>
      </c>
      <c r="N521">
        <v>1</v>
      </c>
      <c r="O521" t="s">
        <v>63</v>
      </c>
      <c r="P521" s="2">
        <v>0.46111111111111108</v>
      </c>
      <c r="Q521">
        <f>-0.0005339168*3600</f>
        <v>-1.9221004800000001</v>
      </c>
      <c r="R521">
        <f>-0.0000252662*3600</f>
        <v>-9.0958319999999995E-2</v>
      </c>
    </row>
    <row r="522" spans="1:18" x14ac:dyDescent="0.3">
      <c r="A522" t="s">
        <v>48</v>
      </c>
      <c r="B522">
        <v>7028</v>
      </c>
      <c r="C522">
        <v>7.5216950000000002</v>
      </c>
      <c r="D522">
        <v>99.519577999999996</v>
      </c>
      <c r="E522">
        <v>1</v>
      </c>
      <c r="F522">
        <v>1</v>
      </c>
      <c r="G522">
        <v>0</v>
      </c>
      <c r="H522">
        <v>0</v>
      </c>
      <c r="J522" t="s">
        <v>0</v>
      </c>
      <c r="K522" t="s">
        <v>61</v>
      </c>
      <c r="L522">
        <v>0</v>
      </c>
      <c r="M522" t="s">
        <v>52</v>
      </c>
      <c r="N522">
        <v>1</v>
      </c>
      <c r="O522" t="s">
        <v>63</v>
      </c>
      <c r="P522" s="2">
        <v>0.46111111111111108</v>
      </c>
      <c r="Q522">
        <f>-0.0004980483*3600</f>
        <v>-1.7929738799999999</v>
      </c>
      <c r="R522">
        <f>-0.0000236051*3600</f>
        <v>-8.4978359999999989E-2</v>
      </c>
    </row>
    <row r="523" spans="1:18" x14ac:dyDescent="0.3">
      <c r="A523" t="s">
        <v>48</v>
      </c>
      <c r="B523">
        <v>7029</v>
      </c>
      <c r="C523">
        <v>7.5222470000000001</v>
      </c>
      <c r="D523">
        <v>99.519540000000006</v>
      </c>
      <c r="E523">
        <v>1</v>
      </c>
      <c r="F523">
        <v>1</v>
      </c>
      <c r="G523">
        <v>0</v>
      </c>
      <c r="H523">
        <v>0</v>
      </c>
      <c r="J523" t="s">
        <v>0</v>
      </c>
      <c r="K523" t="s">
        <v>61</v>
      </c>
      <c r="L523">
        <v>0</v>
      </c>
      <c r="M523" t="s">
        <v>52</v>
      </c>
      <c r="N523">
        <v>1</v>
      </c>
      <c r="O523" t="s">
        <v>63</v>
      </c>
      <c r="P523" s="2">
        <v>0.46111111111111108</v>
      </c>
      <c r="Q523">
        <f>-0.0005459318*3600</f>
        <v>-1.96535448</v>
      </c>
      <c r="R523">
        <f>-0.0000466249*3600</f>
        <v>-0.16784963999999999</v>
      </c>
    </row>
    <row r="524" spans="1:18" x14ac:dyDescent="0.3">
      <c r="A524" t="s">
        <v>48</v>
      </c>
      <c r="B524">
        <v>7030</v>
      </c>
      <c r="C524">
        <v>7.5208130000000004</v>
      </c>
      <c r="D524">
        <v>99.519571999999997</v>
      </c>
      <c r="E524">
        <v>1</v>
      </c>
      <c r="F524">
        <v>1</v>
      </c>
      <c r="G524">
        <v>0</v>
      </c>
      <c r="H524">
        <v>0</v>
      </c>
      <c r="J524" t="s">
        <v>0</v>
      </c>
      <c r="K524" t="s">
        <v>61</v>
      </c>
      <c r="L524">
        <v>0</v>
      </c>
      <c r="M524" t="s">
        <v>52</v>
      </c>
      <c r="N524">
        <v>1</v>
      </c>
      <c r="O524" t="s">
        <v>63</v>
      </c>
      <c r="P524" s="2">
        <v>0.46180555555555558</v>
      </c>
      <c r="Q524">
        <f>-0.0004710933*3600</f>
        <v>-1.69593588</v>
      </c>
      <c r="R524">
        <f>-0.0000159899*3600</f>
        <v>-5.7563640000000006E-2</v>
      </c>
    </row>
    <row r="525" spans="1:18" x14ac:dyDescent="0.3">
      <c r="A525" t="s">
        <v>48</v>
      </c>
      <c r="B525">
        <v>7031</v>
      </c>
      <c r="C525">
        <v>7.521795</v>
      </c>
      <c r="D525">
        <v>99.519604999999999</v>
      </c>
      <c r="E525">
        <v>1</v>
      </c>
      <c r="F525">
        <v>1</v>
      </c>
      <c r="G525">
        <v>0</v>
      </c>
      <c r="H525">
        <v>0</v>
      </c>
      <c r="J525" t="s">
        <v>0</v>
      </c>
      <c r="K525" t="s">
        <v>61</v>
      </c>
      <c r="L525">
        <v>0</v>
      </c>
      <c r="M525" t="s">
        <v>52</v>
      </c>
      <c r="N525">
        <v>1</v>
      </c>
      <c r="O525" t="s">
        <v>63</v>
      </c>
      <c r="P525" s="2">
        <v>0.46180555555555558</v>
      </c>
      <c r="Q525">
        <f>-0.0004758419*3600</f>
        <v>-1.7130308400000001</v>
      </c>
      <c r="R525">
        <f>0.0000029876*3600</f>
        <v>1.075536E-2</v>
      </c>
    </row>
    <row r="526" spans="1:18" x14ac:dyDescent="0.3">
      <c r="A526" t="s">
        <v>48</v>
      </c>
      <c r="B526">
        <v>7032</v>
      </c>
      <c r="C526">
        <v>7.5213460000000003</v>
      </c>
      <c r="D526">
        <v>99.519569000000004</v>
      </c>
      <c r="E526">
        <v>1</v>
      </c>
      <c r="F526">
        <v>1</v>
      </c>
      <c r="G526">
        <v>0</v>
      </c>
      <c r="H526">
        <v>0</v>
      </c>
      <c r="J526" t="s">
        <v>0</v>
      </c>
      <c r="K526" t="s">
        <v>61</v>
      </c>
      <c r="L526">
        <v>0</v>
      </c>
      <c r="M526" t="s">
        <v>52</v>
      </c>
      <c r="N526">
        <v>1</v>
      </c>
      <c r="O526" t="s">
        <v>63</v>
      </c>
      <c r="P526" s="2">
        <v>0.46180555555555558</v>
      </c>
      <c r="Q526">
        <f>-0.0004696267*3600</f>
        <v>-1.6906561199999999</v>
      </c>
      <c r="R526">
        <f>-0.0000361935*3600</f>
        <v>-0.13029659999999998</v>
      </c>
    </row>
    <row r="527" spans="1:18" x14ac:dyDescent="0.3">
      <c r="A527" t="s">
        <v>48</v>
      </c>
      <c r="B527">
        <v>7033</v>
      </c>
      <c r="C527">
        <v>7.5227209999999998</v>
      </c>
      <c r="D527">
        <v>99.519575000000003</v>
      </c>
      <c r="E527">
        <v>1</v>
      </c>
      <c r="F527">
        <v>1</v>
      </c>
      <c r="G527">
        <v>0</v>
      </c>
      <c r="H527">
        <v>0</v>
      </c>
      <c r="J527" t="s">
        <v>0</v>
      </c>
      <c r="K527" t="s">
        <v>61</v>
      </c>
      <c r="L527">
        <v>0</v>
      </c>
      <c r="M527" t="s">
        <v>52</v>
      </c>
      <c r="N527">
        <v>1</v>
      </c>
      <c r="O527" t="s">
        <v>63</v>
      </c>
      <c r="P527" s="2">
        <v>0.46180555555555558</v>
      </c>
      <c r="Q527">
        <f>-0.0005417232*3600</f>
        <v>-1.9502035199999999</v>
      </c>
      <c r="R527">
        <f>-0.0000619626*3600</f>
        <v>-0.22306536000000002</v>
      </c>
    </row>
    <row r="528" spans="1:18" x14ac:dyDescent="0.3">
      <c r="A528" t="s">
        <v>48</v>
      </c>
      <c r="B528">
        <v>7034</v>
      </c>
      <c r="C528">
        <v>7.5218800000000003</v>
      </c>
      <c r="D528">
        <v>99.519570999999999</v>
      </c>
      <c r="E528">
        <v>1</v>
      </c>
      <c r="F528">
        <v>1</v>
      </c>
      <c r="G528">
        <v>0</v>
      </c>
      <c r="H528">
        <v>0</v>
      </c>
      <c r="J528" t="s">
        <v>0</v>
      </c>
      <c r="K528" t="s">
        <v>61</v>
      </c>
      <c r="L528">
        <v>0</v>
      </c>
      <c r="M528" t="s">
        <v>52</v>
      </c>
      <c r="N528">
        <v>1</v>
      </c>
      <c r="O528" t="s">
        <v>63</v>
      </c>
      <c r="P528" s="2">
        <v>0.46180555555555558</v>
      </c>
      <c r="Q528">
        <f>-0.000512846*3600</f>
        <v>-1.8462455999999998</v>
      </c>
      <c r="R528">
        <f>-0.0000567455*3600</f>
        <v>-0.20428380000000002</v>
      </c>
    </row>
    <row r="529" spans="1:18" x14ac:dyDescent="0.3">
      <c r="A529" t="s">
        <v>48</v>
      </c>
      <c r="B529">
        <v>7035</v>
      </c>
      <c r="C529">
        <v>7.5241860000000003</v>
      </c>
      <c r="D529">
        <v>99.519519000000003</v>
      </c>
      <c r="E529">
        <v>1</v>
      </c>
      <c r="F529">
        <v>1</v>
      </c>
      <c r="G529">
        <v>0</v>
      </c>
      <c r="H529">
        <v>0</v>
      </c>
      <c r="J529" t="s">
        <v>0</v>
      </c>
      <c r="K529" t="s">
        <v>61</v>
      </c>
      <c r="L529">
        <v>0</v>
      </c>
      <c r="M529" t="s">
        <v>52</v>
      </c>
      <c r="N529">
        <v>1</v>
      </c>
      <c r="O529" t="s">
        <v>63</v>
      </c>
      <c r="P529" s="2">
        <v>0.46180555555555558</v>
      </c>
      <c r="Q529">
        <f>-0.0004957451*3600</f>
        <v>-1.7846823600000001</v>
      </c>
      <c r="R529">
        <f>-0.0000934106*3600</f>
        <v>-0.33627815999999999</v>
      </c>
    </row>
    <row r="530" spans="1:18" x14ac:dyDescent="0.3">
      <c r="A530" t="s">
        <v>48</v>
      </c>
      <c r="B530">
        <v>7036</v>
      </c>
      <c r="C530">
        <v>7.52217</v>
      </c>
      <c r="D530">
        <v>99.519589999999994</v>
      </c>
      <c r="E530">
        <v>1</v>
      </c>
      <c r="F530">
        <v>1</v>
      </c>
      <c r="G530">
        <v>0</v>
      </c>
      <c r="H530">
        <v>0</v>
      </c>
      <c r="J530" t="s">
        <v>0</v>
      </c>
      <c r="K530" t="s">
        <v>61</v>
      </c>
      <c r="L530">
        <v>0</v>
      </c>
      <c r="M530" t="s">
        <v>52</v>
      </c>
      <c r="N530">
        <v>1</v>
      </c>
      <c r="O530" t="s">
        <v>63</v>
      </c>
      <c r="P530" s="2">
        <v>0.46180555555555558</v>
      </c>
      <c r="Q530">
        <f>-0.0005043629*3600</f>
        <v>-1.8157064400000003</v>
      </c>
      <c r="R530">
        <f>-0.0000215441*3600</f>
        <v>-7.755875999999999E-2</v>
      </c>
    </row>
    <row r="531" spans="1:18" x14ac:dyDescent="0.3">
      <c r="A531" t="s">
        <v>48</v>
      </c>
      <c r="B531">
        <v>7037</v>
      </c>
      <c r="C531">
        <v>7.523333</v>
      </c>
      <c r="D531">
        <v>99.519572999999994</v>
      </c>
      <c r="E531">
        <v>1</v>
      </c>
      <c r="F531">
        <v>1</v>
      </c>
      <c r="G531">
        <v>0</v>
      </c>
      <c r="H531">
        <v>0</v>
      </c>
      <c r="J531" t="s">
        <v>0</v>
      </c>
      <c r="K531" t="s">
        <v>61</v>
      </c>
      <c r="L531">
        <v>0</v>
      </c>
      <c r="M531" t="s">
        <v>52</v>
      </c>
      <c r="N531">
        <v>1</v>
      </c>
      <c r="O531" t="s">
        <v>63</v>
      </c>
      <c r="P531" s="2">
        <v>0.46180555555555558</v>
      </c>
      <c r="Q531">
        <f>-0.0005435174*3600</f>
        <v>-1.95666264</v>
      </c>
      <c r="R531">
        <f>-0.0000243017*3600</f>
        <v>-8.7486120000000001E-2</v>
      </c>
    </row>
    <row r="532" spans="1:18" x14ac:dyDescent="0.3">
      <c r="A532" t="s">
        <v>48</v>
      </c>
      <c r="B532">
        <v>7038</v>
      </c>
      <c r="C532">
        <v>7.5212560000000002</v>
      </c>
      <c r="D532">
        <v>99.519568000000007</v>
      </c>
      <c r="E532">
        <v>1</v>
      </c>
      <c r="F532">
        <v>1</v>
      </c>
      <c r="G532">
        <v>0</v>
      </c>
      <c r="H532">
        <v>0</v>
      </c>
      <c r="J532" t="s">
        <v>0</v>
      </c>
      <c r="K532" t="s">
        <v>61</v>
      </c>
      <c r="L532">
        <v>0</v>
      </c>
      <c r="M532" t="s">
        <v>52</v>
      </c>
      <c r="N532">
        <v>1</v>
      </c>
      <c r="O532" t="s">
        <v>63</v>
      </c>
      <c r="P532" s="2">
        <v>0.46180555555555558</v>
      </c>
      <c r="Q532">
        <f>-0.000521296*3600</f>
        <v>-1.8766655999999999</v>
      </c>
      <c r="R532">
        <f>-0.000043067*3600</f>
        <v>-0.15504119999999999</v>
      </c>
    </row>
    <row r="533" spans="1:18" x14ac:dyDescent="0.3">
      <c r="A533" t="s">
        <v>48</v>
      </c>
      <c r="B533">
        <v>7039</v>
      </c>
      <c r="C533">
        <v>7.5227300000000001</v>
      </c>
      <c r="D533">
        <v>99.519532999999996</v>
      </c>
      <c r="E533">
        <v>1</v>
      </c>
      <c r="F533">
        <v>1</v>
      </c>
      <c r="G533">
        <v>0</v>
      </c>
      <c r="H533">
        <v>0</v>
      </c>
      <c r="J533" t="s">
        <v>0</v>
      </c>
      <c r="K533" t="s">
        <v>61</v>
      </c>
      <c r="L533">
        <v>0</v>
      </c>
      <c r="M533" t="s">
        <v>52</v>
      </c>
      <c r="N533">
        <v>1</v>
      </c>
      <c r="O533" t="s">
        <v>63</v>
      </c>
      <c r="P533" s="2">
        <v>0.46180555555555558</v>
      </c>
      <c r="Q533">
        <f>-0.0005339764*3600</f>
        <v>-1.9223150400000002</v>
      </c>
      <c r="R533">
        <f>-0.0000740196*3600</f>
        <v>-0.26647055999999997</v>
      </c>
    </row>
    <row r="534" spans="1:18" x14ac:dyDescent="0.3">
      <c r="A534" t="s">
        <v>48</v>
      </c>
      <c r="B534">
        <v>7040</v>
      </c>
      <c r="C534">
        <v>7.522945</v>
      </c>
      <c r="D534">
        <v>99.519532999999996</v>
      </c>
      <c r="E534">
        <v>1</v>
      </c>
      <c r="F534">
        <v>1</v>
      </c>
      <c r="G534">
        <v>0</v>
      </c>
      <c r="H534">
        <v>0</v>
      </c>
      <c r="J534" t="s">
        <v>0</v>
      </c>
      <c r="K534" t="s">
        <v>61</v>
      </c>
      <c r="L534">
        <v>0</v>
      </c>
      <c r="M534" t="s">
        <v>52</v>
      </c>
      <c r="N534">
        <v>1</v>
      </c>
      <c r="O534" t="s">
        <v>63</v>
      </c>
      <c r="P534" s="2">
        <v>0.46249999999999997</v>
      </c>
      <c r="Q534">
        <f>-0.0005886759*3600</f>
        <v>-2.1192332399999998</v>
      </c>
      <c r="R534">
        <f>-0.0000788781*3600</f>
        <v>-0.28396116000000005</v>
      </c>
    </row>
    <row r="535" spans="1:18" x14ac:dyDescent="0.3">
      <c r="A535" t="s">
        <v>48</v>
      </c>
      <c r="B535">
        <v>7041</v>
      </c>
      <c r="C535">
        <v>7.5239120000000002</v>
      </c>
      <c r="D535">
        <v>99.519558000000004</v>
      </c>
      <c r="E535">
        <v>1</v>
      </c>
      <c r="F535">
        <v>1</v>
      </c>
      <c r="G535">
        <v>0</v>
      </c>
      <c r="H535">
        <v>0</v>
      </c>
      <c r="J535" t="s">
        <v>0</v>
      </c>
      <c r="K535" t="s">
        <v>61</v>
      </c>
      <c r="L535">
        <v>0</v>
      </c>
      <c r="M535" t="s">
        <v>52</v>
      </c>
      <c r="N535">
        <v>1</v>
      </c>
      <c r="O535" t="s">
        <v>63</v>
      </c>
      <c r="P535" s="2">
        <v>0.46249999999999997</v>
      </c>
      <c r="Q535">
        <f>-0.0005104798*3600</f>
        <v>-1.8377272800000002</v>
      </c>
      <c r="R535">
        <f>-0.0000267224*3600</f>
        <v>-9.6200640000000004E-2</v>
      </c>
    </row>
    <row r="536" spans="1:18" x14ac:dyDescent="0.3">
      <c r="A536" t="s">
        <v>48</v>
      </c>
      <c r="B536">
        <v>7042</v>
      </c>
      <c r="C536">
        <v>7.521312</v>
      </c>
      <c r="D536">
        <v>99.519559999999998</v>
      </c>
      <c r="E536">
        <v>1</v>
      </c>
      <c r="F536">
        <v>1</v>
      </c>
      <c r="G536">
        <v>0</v>
      </c>
      <c r="H536">
        <v>0</v>
      </c>
      <c r="J536" t="s">
        <v>0</v>
      </c>
      <c r="K536" t="s">
        <v>61</v>
      </c>
      <c r="L536">
        <v>0</v>
      </c>
      <c r="M536" t="s">
        <v>52</v>
      </c>
      <c r="N536">
        <v>1</v>
      </c>
      <c r="O536" t="s">
        <v>63</v>
      </c>
      <c r="P536" s="2">
        <v>0.46249999999999997</v>
      </c>
      <c r="Q536">
        <f>-0.0004904132*3600</f>
        <v>-1.7654875200000002</v>
      </c>
      <c r="R536">
        <f>-0.0000428781*3600</f>
        <v>-0.15436116</v>
      </c>
    </row>
    <row r="537" spans="1:18" x14ac:dyDescent="0.3">
      <c r="A537" t="s">
        <v>48</v>
      </c>
      <c r="B537">
        <v>7043</v>
      </c>
      <c r="C537">
        <v>7.5212539999999999</v>
      </c>
      <c r="D537">
        <v>99.519606999999993</v>
      </c>
      <c r="E537">
        <v>1</v>
      </c>
      <c r="F537">
        <v>1</v>
      </c>
      <c r="G537">
        <v>0</v>
      </c>
      <c r="H537">
        <v>0</v>
      </c>
      <c r="J537" t="s">
        <v>0</v>
      </c>
      <c r="K537" t="s">
        <v>61</v>
      </c>
      <c r="L537">
        <v>0</v>
      </c>
      <c r="M537" t="s">
        <v>52</v>
      </c>
      <c r="N537">
        <v>1</v>
      </c>
      <c r="O537" t="s">
        <v>63</v>
      </c>
      <c r="P537" s="2">
        <v>0.46249999999999997</v>
      </c>
      <c r="Q537">
        <f>-0.0004515275*3600</f>
        <v>-1.625499</v>
      </c>
      <c r="R537">
        <f>-0.0000217486*3600</f>
        <v>-7.8294959999999997E-2</v>
      </c>
    </row>
    <row r="538" spans="1:18" x14ac:dyDescent="0.3">
      <c r="A538" t="s">
        <v>48</v>
      </c>
      <c r="B538">
        <v>7044</v>
      </c>
      <c r="C538">
        <v>7.5209549999999998</v>
      </c>
      <c r="D538">
        <v>99.519583999999995</v>
      </c>
      <c r="E538">
        <v>1</v>
      </c>
      <c r="F538">
        <v>1</v>
      </c>
      <c r="G538">
        <v>0</v>
      </c>
      <c r="H538">
        <v>0</v>
      </c>
      <c r="J538" t="s">
        <v>0</v>
      </c>
      <c r="K538" t="s">
        <v>61</v>
      </c>
      <c r="L538">
        <v>0</v>
      </c>
      <c r="M538" t="s">
        <v>52</v>
      </c>
      <c r="N538">
        <v>1</v>
      </c>
      <c r="O538" t="s">
        <v>63</v>
      </c>
      <c r="P538" s="2">
        <v>0.46249999999999997</v>
      </c>
      <c r="Q538">
        <f>-0.0004639922*3600</f>
        <v>-1.67037192</v>
      </c>
      <c r="R538">
        <f>-0.0000115541*3600</f>
        <v>-4.1594760000000001E-2</v>
      </c>
    </row>
    <row r="539" spans="1:18" x14ac:dyDescent="0.3">
      <c r="A539" t="s">
        <v>48</v>
      </c>
      <c r="B539">
        <v>7045</v>
      </c>
      <c r="C539">
        <v>7.5220700000000003</v>
      </c>
      <c r="D539">
        <v>99.519654000000003</v>
      </c>
      <c r="E539">
        <v>1</v>
      </c>
      <c r="F539">
        <v>1</v>
      </c>
      <c r="G539">
        <v>0</v>
      </c>
      <c r="H539">
        <v>0</v>
      </c>
      <c r="J539" t="s">
        <v>0</v>
      </c>
      <c r="K539" t="s">
        <v>61</v>
      </c>
      <c r="L539">
        <v>0</v>
      </c>
      <c r="M539" t="s">
        <v>52</v>
      </c>
      <c r="N539">
        <v>1</v>
      </c>
      <c r="O539" t="s">
        <v>63</v>
      </c>
      <c r="P539" s="2">
        <v>0.46249999999999997</v>
      </c>
      <c r="Q539">
        <f>-0.0005167585*3600</f>
        <v>-1.8603306000000002</v>
      </c>
      <c r="R539">
        <f>-0.0000162583*3600</f>
        <v>-5.8529879999999999E-2</v>
      </c>
    </row>
    <row r="540" spans="1:18" x14ac:dyDescent="0.3">
      <c r="A540" t="s">
        <v>48</v>
      </c>
      <c r="B540">
        <v>7046</v>
      </c>
      <c r="C540">
        <v>7.5207699999999997</v>
      </c>
      <c r="D540">
        <v>99.519589999999994</v>
      </c>
      <c r="E540">
        <v>1</v>
      </c>
      <c r="F540">
        <v>1</v>
      </c>
      <c r="G540">
        <v>0</v>
      </c>
      <c r="H540">
        <v>0</v>
      </c>
      <c r="J540" t="s">
        <v>0</v>
      </c>
      <c r="K540" t="s">
        <v>61</v>
      </c>
      <c r="L540">
        <v>0</v>
      </c>
      <c r="M540" t="s">
        <v>52</v>
      </c>
      <c r="N540">
        <v>1</v>
      </c>
      <c r="O540" t="s">
        <v>63</v>
      </c>
      <c r="P540" s="2">
        <v>0.46249999999999997</v>
      </c>
      <c r="Q540">
        <f>-0.0004805821*3600</f>
        <v>-1.7300955600000001</v>
      </c>
      <c r="R540">
        <f>-0.0000330142*3600</f>
        <v>-0.11885112</v>
      </c>
    </row>
    <row r="541" spans="1:18" x14ac:dyDescent="0.3">
      <c r="A541" t="s">
        <v>48</v>
      </c>
      <c r="B541">
        <v>7047</v>
      </c>
      <c r="C541">
        <v>7.5234449999999997</v>
      </c>
      <c r="D541">
        <v>99.519553000000002</v>
      </c>
      <c r="E541">
        <v>1</v>
      </c>
      <c r="F541">
        <v>1</v>
      </c>
      <c r="G541">
        <v>0</v>
      </c>
      <c r="H541">
        <v>0</v>
      </c>
      <c r="J541" t="s">
        <v>0</v>
      </c>
      <c r="K541" t="s">
        <v>61</v>
      </c>
      <c r="L541">
        <v>0</v>
      </c>
      <c r="M541" t="s">
        <v>52</v>
      </c>
      <c r="N541">
        <v>1</v>
      </c>
      <c r="O541" t="s">
        <v>63</v>
      </c>
      <c r="P541" s="2">
        <v>0.46249999999999997</v>
      </c>
      <c r="Q541">
        <f>-0.0005754991*3600</f>
        <v>-2.0717967599999998</v>
      </c>
      <c r="R541">
        <f>-0.0000513242*3600</f>
        <v>-0.18476712000000001</v>
      </c>
    </row>
    <row r="542" spans="1:18" x14ac:dyDescent="0.3">
      <c r="A542" t="s">
        <v>48</v>
      </c>
      <c r="B542">
        <v>7048</v>
      </c>
      <c r="C542">
        <v>7.5219180000000003</v>
      </c>
      <c r="D542">
        <v>99.519589999999994</v>
      </c>
      <c r="E542">
        <v>1</v>
      </c>
      <c r="F542">
        <v>1</v>
      </c>
      <c r="G542">
        <v>0</v>
      </c>
      <c r="H542">
        <v>0</v>
      </c>
      <c r="J542" t="s">
        <v>0</v>
      </c>
      <c r="K542" t="s">
        <v>61</v>
      </c>
      <c r="L542">
        <v>0</v>
      </c>
      <c r="M542" t="s">
        <v>52</v>
      </c>
      <c r="N542">
        <v>1</v>
      </c>
      <c r="O542" t="s">
        <v>63</v>
      </c>
      <c r="P542" s="2">
        <v>0.46249999999999997</v>
      </c>
      <c r="Q542">
        <f>-0.000546507*3600</f>
        <v>-1.9674252000000001</v>
      </c>
      <c r="R542">
        <f>-0.0000421409*3600</f>
        <v>-0.15170723999999999</v>
      </c>
    </row>
    <row r="543" spans="1:18" x14ac:dyDescent="0.3">
      <c r="A543" t="s">
        <v>48</v>
      </c>
      <c r="B543">
        <v>7049</v>
      </c>
      <c r="C543">
        <v>7.5213130000000001</v>
      </c>
      <c r="D543">
        <v>99.519571999999997</v>
      </c>
      <c r="E543">
        <v>1</v>
      </c>
      <c r="F543">
        <v>1</v>
      </c>
      <c r="G543">
        <v>0</v>
      </c>
      <c r="H543">
        <v>0</v>
      </c>
      <c r="J543" t="s">
        <v>0</v>
      </c>
      <c r="K543" t="s">
        <v>61</v>
      </c>
      <c r="L543">
        <v>0</v>
      </c>
      <c r="M543" t="s">
        <v>52</v>
      </c>
      <c r="N543">
        <v>1</v>
      </c>
      <c r="O543" t="s">
        <v>63</v>
      </c>
      <c r="P543" s="2">
        <v>0.46249999999999997</v>
      </c>
      <c r="Q543">
        <f>-0.0005376701*3600</f>
        <v>-1.9356123599999999</v>
      </c>
      <c r="R543">
        <f>-0.0000398163*3600</f>
        <v>-0.14333868</v>
      </c>
    </row>
    <row r="544" spans="1:18" x14ac:dyDescent="0.3">
      <c r="A544" t="s">
        <v>48</v>
      </c>
      <c r="B544">
        <v>7050</v>
      </c>
      <c r="C544">
        <v>7.5217340000000004</v>
      </c>
      <c r="D544">
        <v>99.519627999999997</v>
      </c>
      <c r="E544">
        <v>1</v>
      </c>
      <c r="F544">
        <v>1</v>
      </c>
      <c r="G544">
        <v>0</v>
      </c>
      <c r="H544">
        <v>0</v>
      </c>
      <c r="J544" t="s">
        <v>0</v>
      </c>
      <c r="K544" t="s">
        <v>61</v>
      </c>
      <c r="L544">
        <v>0</v>
      </c>
      <c r="M544" t="s">
        <v>52</v>
      </c>
      <c r="N544">
        <v>1</v>
      </c>
      <c r="O544" t="s">
        <v>63</v>
      </c>
      <c r="P544" s="2">
        <v>0.46319444444444446</v>
      </c>
      <c r="Q544">
        <f>-0.000525249*3600</f>
        <v>-1.8908963999999999</v>
      </c>
      <c r="R544">
        <f>0.000009294*3600</f>
        <v>3.3458399999999999E-2</v>
      </c>
    </row>
    <row r="545" spans="1:18" x14ac:dyDescent="0.3">
      <c r="A545" t="s">
        <v>48</v>
      </c>
      <c r="B545">
        <v>7051</v>
      </c>
      <c r="C545">
        <v>7.5219969999999998</v>
      </c>
      <c r="D545">
        <v>99.519559999999998</v>
      </c>
      <c r="E545">
        <v>1</v>
      </c>
      <c r="F545">
        <v>1</v>
      </c>
      <c r="G545">
        <v>0</v>
      </c>
      <c r="H545">
        <v>0</v>
      </c>
      <c r="J545" t="s">
        <v>0</v>
      </c>
      <c r="K545" t="s">
        <v>61</v>
      </c>
      <c r="L545">
        <v>0</v>
      </c>
      <c r="M545" t="s">
        <v>52</v>
      </c>
      <c r="N545">
        <v>1</v>
      </c>
      <c r="O545" t="s">
        <v>63</v>
      </c>
      <c r="P545" s="2">
        <v>0.46319444444444446</v>
      </c>
      <c r="Q545">
        <f>-0.0005267993*3600</f>
        <v>-1.8964774799999999</v>
      </c>
      <c r="R545">
        <f>-0.0000277121*3600</f>
        <v>-9.9763560000000001E-2</v>
      </c>
    </row>
    <row r="546" spans="1:18" x14ac:dyDescent="0.3">
      <c r="A546" t="s">
        <v>48</v>
      </c>
      <c r="B546">
        <v>7052</v>
      </c>
      <c r="C546">
        <v>7.52067</v>
      </c>
      <c r="D546">
        <v>99.519651999999994</v>
      </c>
      <c r="E546">
        <v>1</v>
      </c>
      <c r="F546">
        <v>1</v>
      </c>
      <c r="G546">
        <v>0</v>
      </c>
      <c r="H546">
        <v>0</v>
      </c>
      <c r="J546" t="s">
        <v>0</v>
      </c>
      <c r="K546" t="s">
        <v>61</v>
      </c>
      <c r="L546">
        <v>0</v>
      </c>
      <c r="M546" t="s">
        <v>52</v>
      </c>
      <c r="N546">
        <v>1</v>
      </c>
      <c r="O546" t="s">
        <v>63</v>
      </c>
      <c r="P546" s="2">
        <v>0.46319444444444446</v>
      </c>
      <c r="Q546">
        <f>-0.0004980345*3600</f>
        <v>-1.7929242000000001</v>
      </c>
      <c r="R546">
        <f>0.0000548054*3600</f>
        <v>0.19729944000000002</v>
      </c>
    </row>
    <row r="547" spans="1:18" x14ac:dyDescent="0.3">
      <c r="A547" t="s">
        <v>48</v>
      </c>
      <c r="B547">
        <v>7053</v>
      </c>
      <c r="C547">
        <v>7.5218259999999999</v>
      </c>
      <c r="D547">
        <v>99.519596000000007</v>
      </c>
      <c r="E547">
        <v>1</v>
      </c>
      <c r="F547">
        <v>1</v>
      </c>
      <c r="G547">
        <v>0</v>
      </c>
      <c r="H547">
        <v>0</v>
      </c>
      <c r="J547" t="s">
        <v>0</v>
      </c>
      <c r="K547" t="s">
        <v>61</v>
      </c>
      <c r="L547">
        <v>0</v>
      </c>
      <c r="M547" t="s">
        <v>52</v>
      </c>
      <c r="N547">
        <v>1</v>
      </c>
      <c r="O547" t="s">
        <v>63</v>
      </c>
      <c r="P547" s="2">
        <v>0.46319444444444446</v>
      </c>
      <c r="Q547">
        <f>-0.0005308589*3600</f>
        <v>-1.91109204</v>
      </c>
      <c r="R547">
        <f>0.0000047661*3600</f>
        <v>1.715796E-2</v>
      </c>
    </row>
    <row r="548" spans="1:18" x14ac:dyDescent="0.3">
      <c r="A548" t="s">
        <v>48</v>
      </c>
      <c r="B548">
        <v>8000</v>
      </c>
      <c r="C548">
        <v>7.5197279999999997</v>
      </c>
      <c r="D548">
        <v>99.806437000000003</v>
      </c>
      <c r="E548">
        <v>13.689</v>
      </c>
      <c r="F548">
        <v>13.710100000000001</v>
      </c>
      <c r="G548">
        <v>0</v>
      </c>
      <c r="H548">
        <v>0</v>
      </c>
      <c r="J548" t="s">
        <v>0</v>
      </c>
      <c r="K548" t="s">
        <v>61</v>
      </c>
      <c r="L548">
        <v>3.4000000000000002E-2</v>
      </c>
      <c r="M548" t="s">
        <v>52</v>
      </c>
      <c r="N548">
        <v>1</v>
      </c>
      <c r="O548" t="s">
        <v>53</v>
      </c>
      <c r="P548" s="2">
        <v>0.46458333333333335</v>
      </c>
      <c r="Q548">
        <f>-0.0004741123*3600</f>
        <v>-1.7068042800000001</v>
      </c>
      <c r="R548">
        <f>-0.0002474315*3600</f>
        <v>-0.89075340000000003</v>
      </c>
    </row>
    <row r="549" spans="1:18" x14ac:dyDescent="0.3">
      <c r="A549" t="s">
        <v>48</v>
      </c>
      <c r="B549">
        <v>8001</v>
      </c>
      <c r="C549">
        <v>7.5198039999999997</v>
      </c>
      <c r="D549">
        <v>99.508908000000005</v>
      </c>
      <c r="E549">
        <v>1</v>
      </c>
      <c r="F549">
        <v>1</v>
      </c>
      <c r="G549">
        <v>0</v>
      </c>
      <c r="H549">
        <v>0</v>
      </c>
      <c r="J549" t="s">
        <v>0</v>
      </c>
      <c r="K549" t="s">
        <v>61</v>
      </c>
      <c r="L549">
        <v>0</v>
      </c>
      <c r="M549" t="s">
        <v>52</v>
      </c>
      <c r="N549">
        <v>1</v>
      </c>
      <c r="O549" t="s">
        <v>63</v>
      </c>
      <c r="P549" s="2">
        <v>0.46458333333333335</v>
      </c>
      <c r="Q549">
        <f>-0.0004826571*3600</f>
        <v>-1.73756556</v>
      </c>
      <c r="R549">
        <f>-0.0002984333*3600</f>
        <v>-1.07435988</v>
      </c>
    </row>
    <row r="550" spans="1:18" x14ac:dyDescent="0.3">
      <c r="A550" t="s">
        <v>48</v>
      </c>
      <c r="B550">
        <v>8002</v>
      </c>
      <c r="C550">
        <v>7.5185849999999999</v>
      </c>
      <c r="D550">
        <v>99.508878999999993</v>
      </c>
      <c r="E550">
        <v>1</v>
      </c>
      <c r="F550">
        <v>1</v>
      </c>
      <c r="G550">
        <v>0</v>
      </c>
      <c r="H550">
        <v>0</v>
      </c>
      <c r="J550" t="s">
        <v>0</v>
      </c>
      <c r="K550" t="s">
        <v>61</v>
      </c>
      <c r="L550">
        <v>0</v>
      </c>
      <c r="M550" t="s">
        <v>52</v>
      </c>
      <c r="N550">
        <v>1</v>
      </c>
      <c r="O550" t="s">
        <v>63</v>
      </c>
      <c r="P550" s="2">
        <v>0.46527777777777773</v>
      </c>
      <c r="Q550">
        <f>-0.0004445713*3600</f>
        <v>-1.60045668</v>
      </c>
      <c r="R550">
        <f>-0.0002531627*3600</f>
        <v>-0.91138571999999995</v>
      </c>
    </row>
    <row r="551" spans="1:18" x14ac:dyDescent="0.3">
      <c r="A551" t="s">
        <v>48</v>
      </c>
      <c r="B551">
        <v>8003</v>
      </c>
      <c r="C551">
        <v>7.5191759999999999</v>
      </c>
      <c r="D551">
        <v>99.508853999999999</v>
      </c>
      <c r="E551">
        <v>1</v>
      </c>
      <c r="F551">
        <v>1</v>
      </c>
      <c r="G551">
        <v>0</v>
      </c>
      <c r="H551">
        <v>0</v>
      </c>
      <c r="J551" t="s">
        <v>0</v>
      </c>
      <c r="K551" t="s">
        <v>61</v>
      </c>
      <c r="L551">
        <v>0</v>
      </c>
      <c r="M551" t="s">
        <v>52</v>
      </c>
      <c r="N551">
        <v>1</v>
      </c>
      <c r="O551" t="s">
        <v>63</v>
      </c>
      <c r="P551" s="2">
        <v>0.46527777777777773</v>
      </c>
      <c r="Q551">
        <f>-0.0004667284*3600</f>
        <v>-1.68022224</v>
      </c>
      <c r="R551">
        <f>-0.0002820882*3600</f>
        <v>-1.01551752</v>
      </c>
    </row>
    <row r="552" spans="1:18" x14ac:dyDescent="0.3">
      <c r="A552" t="s">
        <v>48</v>
      </c>
      <c r="B552">
        <v>8004</v>
      </c>
      <c r="C552">
        <v>7.5171999999999999</v>
      </c>
      <c r="D552">
        <v>99.508818000000005</v>
      </c>
      <c r="E552">
        <v>1</v>
      </c>
      <c r="F552">
        <v>1</v>
      </c>
      <c r="G552">
        <v>0</v>
      </c>
      <c r="H552">
        <v>0</v>
      </c>
      <c r="J552" t="s">
        <v>0</v>
      </c>
      <c r="K552" t="s">
        <v>61</v>
      </c>
      <c r="L552">
        <v>0</v>
      </c>
      <c r="M552" t="s">
        <v>52</v>
      </c>
      <c r="N552">
        <v>1</v>
      </c>
      <c r="O552" t="s">
        <v>63</v>
      </c>
      <c r="P552" s="2">
        <v>0.46527777777777773</v>
      </c>
      <c r="Q552">
        <f>-0.0004789781*3600</f>
        <v>-1.7243211599999999</v>
      </c>
      <c r="R552">
        <f>-0.0002753148*3600</f>
        <v>-0.99113327999999989</v>
      </c>
    </row>
    <row r="553" spans="1:18" x14ac:dyDescent="0.3">
      <c r="A553" t="s">
        <v>48</v>
      </c>
      <c r="B553">
        <v>8005</v>
      </c>
      <c r="C553">
        <v>7.519126</v>
      </c>
      <c r="D553">
        <v>99.508831999999998</v>
      </c>
      <c r="E553">
        <v>1</v>
      </c>
      <c r="F553">
        <v>1</v>
      </c>
      <c r="G553">
        <v>0</v>
      </c>
      <c r="H553">
        <v>0</v>
      </c>
      <c r="J553" t="s">
        <v>0</v>
      </c>
      <c r="K553" t="s">
        <v>61</v>
      </c>
      <c r="L553">
        <v>0</v>
      </c>
      <c r="M553" t="s">
        <v>52</v>
      </c>
      <c r="N553">
        <v>1</v>
      </c>
      <c r="O553" t="s">
        <v>63</v>
      </c>
      <c r="P553" s="2">
        <v>0.46527777777777773</v>
      </c>
      <c r="Q553">
        <f>-0.0004919469*3600</f>
        <v>-1.7710088400000001</v>
      </c>
      <c r="R553">
        <f>-0.0002808243*3600</f>
        <v>-1.0109674799999999</v>
      </c>
    </row>
    <row r="554" spans="1:18" x14ac:dyDescent="0.3">
      <c r="A554" t="s">
        <v>48</v>
      </c>
      <c r="B554">
        <v>8006</v>
      </c>
      <c r="C554">
        <v>7.5190609999999998</v>
      </c>
      <c r="D554">
        <v>99.508872999999994</v>
      </c>
      <c r="E554">
        <v>1</v>
      </c>
      <c r="F554">
        <v>1</v>
      </c>
      <c r="G554">
        <v>0</v>
      </c>
      <c r="H554">
        <v>0</v>
      </c>
      <c r="J554" t="s">
        <v>0</v>
      </c>
      <c r="K554" t="s">
        <v>61</v>
      </c>
      <c r="L554">
        <v>0</v>
      </c>
      <c r="M554" t="s">
        <v>52</v>
      </c>
      <c r="N554">
        <v>1</v>
      </c>
      <c r="O554" t="s">
        <v>63</v>
      </c>
      <c r="P554" s="2">
        <v>0.46527777777777773</v>
      </c>
      <c r="Q554">
        <f>-0.0005019584*3600</f>
        <v>-1.8070502399999999</v>
      </c>
      <c r="R554">
        <f>-0.0002558684*3600</f>
        <v>-0.92112623999999999</v>
      </c>
    </row>
    <row r="555" spans="1:18" x14ac:dyDescent="0.3">
      <c r="A555" t="s">
        <v>48</v>
      </c>
      <c r="B555">
        <v>8007</v>
      </c>
      <c r="C555">
        <v>7.5185659999999999</v>
      </c>
      <c r="D555">
        <v>99.508799999999994</v>
      </c>
      <c r="E555">
        <v>1</v>
      </c>
      <c r="F555">
        <v>1</v>
      </c>
      <c r="G555">
        <v>0</v>
      </c>
      <c r="H555">
        <v>0</v>
      </c>
      <c r="J555" t="s">
        <v>0</v>
      </c>
      <c r="K555" t="s">
        <v>61</v>
      </c>
      <c r="L555">
        <v>0</v>
      </c>
      <c r="M555" t="s">
        <v>52</v>
      </c>
      <c r="N555">
        <v>1</v>
      </c>
      <c r="O555" t="s">
        <v>63</v>
      </c>
      <c r="P555" s="2">
        <v>0.46527777777777773</v>
      </c>
      <c r="Q555">
        <f>-0.0005245356*3600</f>
        <v>-1.8883281599999999</v>
      </c>
      <c r="R555">
        <f>-0.0002994695*3600</f>
        <v>-1.0780902000000001</v>
      </c>
    </row>
    <row r="556" spans="1:18" x14ac:dyDescent="0.3">
      <c r="A556" t="s">
        <v>48</v>
      </c>
      <c r="B556">
        <v>8008</v>
      </c>
      <c r="C556">
        <v>7.5166839999999997</v>
      </c>
      <c r="D556">
        <v>99.508801000000005</v>
      </c>
      <c r="E556">
        <v>1</v>
      </c>
      <c r="F556">
        <v>1</v>
      </c>
      <c r="G556">
        <v>0</v>
      </c>
      <c r="H556">
        <v>0</v>
      </c>
      <c r="J556" t="s">
        <v>0</v>
      </c>
      <c r="K556" t="s">
        <v>61</v>
      </c>
      <c r="L556">
        <v>0</v>
      </c>
      <c r="M556" t="s">
        <v>52</v>
      </c>
      <c r="N556">
        <v>1</v>
      </c>
      <c r="O556" t="s">
        <v>63</v>
      </c>
      <c r="P556" s="2">
        <v>0.46527777777777773</v>
      </c>
      <c r="Q556">
        <f>-0.0005060057*3600</f>
        <v>-1.8216205200000002</v>
      </c>
      <c r="R556">
        <f>-0.0002739696*3600</f>
        <v>-0.98629055999999993</v>
      </c>
    </row>
    <row r="557" spans="1:18" x14ac:dyDescent="0.3">
      <c r="A557" t="s">
        <v>48</v>
      </c>
      <c r="B557">
        <v>8009</v>
      </c>
      <c r="C557">
        <v>7.5172780000000001</v>
      </c>
      <c r="D557">
        <v>99.508774000000003</v>
      </c>
      <c r="E557">
        <v>1</v>
      </c>
      <c r="F557">
        <v>1</v>
      </c>
      <c r="G557">
        <v>0</v>
      </c>
      <c r="H557">
        <v>0</v>
      </c>
      <c r="J557" t="s">
        <v>0</v>
      </c>
      <c r="K557" t="s">
        <v>61</v>
      </c>
      <c r="L557">
        <v>0</v>
      </c>
      <c r="M557" t="s">
        <v>52</v>
      </c>
      <c r="N557">
        <v>1</v>
      </c>
      <c r="O557" t="s">
        <v>63</v>
      </c>
      <c r="P557" s="2">
        <v>0.46527777777777773</v>
      </c>
      <c r="Q557">
        <f>-0.000525119*3600</f>
        <v>-1.8904284</v>
      </c>
      <c r="R557">
        <f>-0.0002980166*3600</f>
        <v>-1.0728597600000001</v>
      </c>
    </row>
    <row r="558" spans="1:18" x14ac:dyDescent="0.3">
      <c r="A558" t="s">
        <v>48</v>
      </c>
      <c r="B558">
        <v>8010</v>
      </c>
      <c r="C558">
        <v>7.5192459999999999</v>
      </c>
      <c r="D558">
        <v>99.508814999999998</v>
      </c>
      <c r="E558">
        <v>1</v>
      </c>
      <c r="F558">
        <v>1</v>
      </c>
      <c r="G558">
        <v>0</v>
      </c>
      <c r="H558">
        <v>0</v>
      </c>
      <c r="J558" t="s">
        <v>0</v>
      </c>
      <c r="K558" t="s">
        <v>61</v>
      </c>
      <c r="L558">
        <v>0</v>
      </c>
      <c r="M558" t="s">
        <v>52</v>
      </c>
      <c r="N558">
        <v>1</v>
      </c>
      <c r="O558" t="s">
        <v>63</v>
      </c>
      <c r="P558" s="2">
        <v>0.46597222222222223</v>
      </c>
      <c r="Q558">
        <f>-0.0005844025*3600</f>
        <v>-2.1038489999999999</v>
      </c>
      <c r="R558">
        <f>-0.000260942*3600</f>
        <v>-0.93939119999999998</v>
      </c>
    </row>
    <row r="559" spans="1:18" x14ac:dyDescent="0.3">
      <c r="A559" t="s">
        <v>48</v>
      </c>
      <c r="B559">
        <v>8011</v>
      </c>
      <c r="C559">
        <v>7.5191569999999999</v>
      </c>
      <c r="D559">
        <v>99.508869000000004</v>
      </c>
      <c r="E559">
        <v>1</v>
      </c>
      <c r="F559">
        <v>1</v>
      </c>
      <c r="G559">
        <v>0</v>
      </c>
      <c r="H559">
        <v>0</v>
      </c>
      <c r="J559" t="s">
        <v>0</v>
      </c>
      <c r="K559" t="s">
        <v>61</v>
      </c>
      <c r="L559">
        <v>0</v>
      </c>
      <c r="M559" t="s">
        <v>52</v>
      </c>
      <c r="N559">
        <v>1</v>
      </c>
      <c r="O559" t="s">
        <v>63</v>
      </c>
      <c r="P559" s="2">
        <v>0.46597222222222223</v>
      </c>
      <c r="Q559">
        <f>-0.0005206042*3600</f>
        <v>-1.8741751199999999</v>
      </c>
      <c r="R559">
        <f>-0.0002276421*3600</f>
        <v>-0.81951156000000003</v>
      </c>
    </row>
    <row r="560" spans="1:18" x14ac:dyDescent="0.3">
      <c r="A560" t="s">
        <v>48</v>
      </c>
      <c r="B560">
        <v>8012</v>
      </c>
      <c r="C560">
        <v>7.5183439999999999</v>
      </c>
      <c r="D560">
        <v>99.508859000000001</v>
      </c>
      <c r="E560">
        <v>1</v>
      </c>
      <c r="F560">
        <v>1</v>
      </c>
      <c r="G560">
        <v>0</v>
      </c>
      <c r="H560">
        <v>0</v>
      </c>
      <c r="J560" t="s">
        <v>0</v>
      </c>
      <c r="K560" t="s">
        <v>61</v>
      </c>
      <c r="L560">
        <v>0</v>
      </c>
      <c r="M560" t="s">
        <v>52</v>
      </c>
      <c r="N560">
        <v>1</v>
      </c>
      <c r="O560" t="s">
        <v>63</v>
      </c>
      <c r="P560" s="2">
        <v>0.46597222222222223</v>
      </c>
      <c r="Q560">
        <f>-0.0005336615*3600</f>
        <v>-1.9211814</v>
      </c>
      <c r="R560">
        <f>-0.0002404575*3600</f>
        <v>-0.86564699999999994</v>
      </c>
    </row>
    <row r="561" spans="1:18" x14ac:dyDescent="0.3">
      <c r="A561" t="s">
        <v>48</v>
      </c>
      <c r="B561">
        <v>8013</v>
      </c>
      <c r="C561">
        <v>7.5174050000000001</v>
      </c>
      <c r="D561">
        <v>99.508838999999995</v>
      </c>
      <c r="E561">
        <v>1</v>
      </c>
      <c r="F561">
        <v>1</v>
      </c>
      <c r="G561">
        <v>0</v>
      </c>
      <c r="H561">
        <v>0</v>
      </c>
      <c r="J561" t="s">
        <v>0</v>
      </c>
      <c r="K561" t="s">
        <v>61</v>
      </c>
      <c r="L561">
        <v>0</v>
      </c>
      <c r="M561" t="s">
        <v>52</v>
      </c>
      <c r="N561">
        <v>1</v>
      </c>
      <c r="O561" t="s">
        <v>63</v>
      </c>
      <c r="P561" s="2">
        <v>0.46597222222222223</v>
      </c>
      <c r="Q561">
        <f>-0.0005528007*3600</f>
        <v>-1.9900825200000001</v>
      </c>
      <c r="R561">
        <f>-0.0002419655*3600</f>
        <v>-0.87107579999999996</v>
      </c>
    </row>
    <row r="562" spans="1:18" x14ac:dyDescent="0.3">
      <c r="A562" t="s">
        <v>48</v>
      </c>
      <c r="B562">
        <v>8014</v>
      </c>
      <c r="C562">
        <v>7.5186409999999997</v>
      </c>
      <c r="D562">
        <v>99.508848</v>
      </c>
      <c r="E562">
        <v>1</v>
      </c>
      <c r="F562">
        <v>1</v>
      </c>
      <c r="G562">
        <v>0</v>
      </c>
      <c r="H562">
        <v>0</v>
      </c>
      <c r="J562" t="s">
        <v>0</v>
      </c>
      <c r="K562" t="s">
        <v>61</v>
      </c>
      <c r="L562">
        <v>0</v>
      </c>
      <c r="M562" t="s">
        <v>52</v>
      </c>
      <c r="N562">
        <v>1</v>
      </c>
      <c r="O562" t="s">
        <v>63</v>
      </c>
      <c r="P562" s="2">
        <v>0.46597222222222223</v>
      </c>
      <c r="Q562">
        <f>-0.0005481876*3600</f>
        <v>-1.9734753599999999</v>
      </c>
      <c r="R562">
        <f>-0.0002221998*3600</f>
        <v>-0.79991928000000001</v>
      </c>
    </row>
    <row r="563" spans="1:18" x14ac:dyDescent="0.3">
      <c r="A563" t="s">
        <v>48</v>
      </c>
      <c r="B563">
        <v>8015</v>
      </c>
      <c r="C563">
        <v>7.5194489999999998</v>
      </c>
      <c r="D563">
        <v>99.508852000000005</v>
      </c>
      <c r="E563">
        <v>1</v>
      </c>
      <c r="F563">
        <v>1</v>
      </c>
      <c r="G563">
        <v>0</v>
      </c>
      <c r="H563">
        <v>0</v>
      </c>
      <c r="J563" t="s">
        <v>0</v>
      </c>
      <c r="K563" t="s">
        <v>61</v>
      </c>
      <c r="L563">
        <v>0</v>
      </c>
      <c r="M563" t="s">
        <v>52</v>
      </c>
      <c r="N563">
        <v>1</v>
      </c>
      <c r="O563" t="s">
        <v>63</v>
      </c>
      <c r="P563" s="2">
        <v>0.46597222222222223</v>
      </c>
      <c r="Q563">
        <f>-0.0005689777*3600</f>
        <v>-2.0483197200000003</v>
      </c>
      <c r="R563">
        <f>-0.0002693319*3600</f>
        <v>-0.96959484000000007</v>
      </c>
    </row>
    <row r="564" spans="1:18" x14ac:dyDescent="0.3">
      <c r="A564" t="s">
        <v>48</v>
      </c>
      <c r="B564">
        <v>8016</v>
      </c>
      <c r="C564">
        <v>7.5177620000000003</v>
      </c>
      <c r="D564">
        <v>99.508870999999999</v>
      </c>
      <c r="E564">
        <v>1</v>
      </c>
      <c r="F564">
        <v>1</v>
      </c>
      <c r="G564">
        <v>0</v>
      </c>
      <c r="H564">
        <v>0</v>
      </c>
      <c r="J564" t="s">
        <v>0</v>
      </c>
      <c r="K564" t="s">
        <v>61</v>
      </c>
      <c r="L564">
        <v>0</v>
      </c>
      <c r="M564" t="s">
        <v>52</v>
      </c>
      <c r="N564">
        <v>1</v>
      </c>
      <c r="O564" t="s">
        <v>63</v>
      </c>
      <c r="P564" s="2">
        <v>0.46597222222222223</v>
      </c>
      <c r="Q564">
        <f>-0.0005648727*3600</f>
        <v>-2.0335417200000001</v>
      </c>
      <c r="R564">
        <f>-0.0002201313*3600</f>
        <v>-0.79247268000000004</v>
      </c>
    </row>
    <row r="565" spans="1:18" x14ac:dyDescent="0.3">
      <c r="A565" t="s">
        <v>48</v>
      </c>
      <c r="B565">
        <v>8017</v>
      </c>
      <c r="C565">
        <v>7.5186080000000004</v>
      </c>
      <c r="D565">
        <v>99.508808999999999</v>
      </c>
      <c r="E565">
        <v>1</v>
      </c>
      <c r="F565">
        <v>1</v>
      </c>
      <c r="G565">
        <v>0</v>
      </c>
      <c r="H565">
        <v>0</v>
      </c>
      <c r="J565" t="s">
        <v>0</v>
      </c>
      <c r="K565" t="s">
        <v>61</v>
      </c>
      <c r="L565">
        <v>0</v>
      </c>
      <c r="M565" t="s">
        <v>52</v>
      </c>
      <c r="N565">
        <v>1</v>
      </c>
      <c r="O565" t="s">
        <v>63</v>
      </c>
      <c r="P565" s="2">
        <v>0.46597222222222223</v>
      </c>
      <c r="Q565">
        <f>-0.0005779741*3600</f>
        <v>-2.08070676</v>
      </c>
      <c r="R565">
        <f>-0.0002756374*3600</f>
        <v>-0.99229464000000001</v>
      </c>
    </row>
    <row r="566" spans="1:18" x14ac:dyDescent="0.3">
      <c r="A566" t="s">
        <v>48</v>
      </c>
      <c r="B566">
        <v>8018</v>
      </c>
      <c r="C566">
        <v>7.5192930000000002</v>
      </c>
      <c r="D566">
        <v>99.508851000000007</v>
      </c>
      <c r="E566">
        <v>1</v>
      </c>
      <c r="F566">
        <v>1</v>
      </c>
      <c r="G566">
        <v>0</v>
      </c>
      <c r="H566">
        <v>0</v>
      </c>
      <c r="J566" t="s">
        <v>0</v>
      </c>
      <c r="K566" t="s">
        <v>61</v>
      </c>
      <c r="L566">
        <v>0</v>
      </c>
      <c r="M566" t="s">
        <v>52</v>
      </c>
      <c r="N566">
        <v>1</v>
      </c>
      <c r="O566" t="s">
        <v>63</v>
      </c>
      <c r="P566" s="2">
        <v>0.46597222222222223</v>
      </c>
      <c r="Q566">
        <f>-0.000556004*3600</f>
        <v>-2.0016144000000002</v>
      </c>
      <c r="R566">
        <f>-0.000226921*3600</f>
        <v>-0.81691559999999996</v>
      </c>
    </row>
    <row r="567" spans="1:18" x14ac:dyDescent="0.3">
      <c r="A567" t="s">
        <v>48</v>
      </c>
      <c r="B567">
        <v>8019</v>
      </c>
      <c r="C567">
        <v>7.5181300000000002</v>
      </c>
      <c r="D567">
        <v>99.508819000000003</v>
      </c>
      <c r="E567">
        <v>1</v>
      </c>
      <c r="F567">
        <v>1</v>
      </c>
      <c r="G567">
        <v>0</v>
      </c>
      <c r="H567">
        <v>0</v>
      </c>
      <c r="J567" t="s">
        <v>0</v>
      </c>
      <c r="K567" t="s">
        <v>61</v>
      </c>
      <c r="L567">
        <v>0</v>
      </c>
      <c r="M567" t="s">
        <v>52</v>
      </c>
      <c r="N567">
        <v>1</v>
      </c>
      <c r="O567" t="s">
        <v>63</v>
      </c>
      <c r="P567" s="2">
        <v>0.46666666666666662</v>
      </c>
      <c r="Q567">
        <f>-0.0005873673*3600</f>
        <v>-2.1145222800000001</v>
      </c>
      <c r="R567">
        <f>-0.0002361042*3600</f>
        <v>-0.84997511999999997</v>
      </c>
    </row>
    <row r="568" spans="1:18" x14ac:dyDescent="0.3">
      <c r="A568" t="s">
        <v>48</v>
      </c>
      <c r="B568">
        <v>8020</v>
      </c>
      <c r="C568">
        <v>7.520022</v>
      </c>
      <c r="D568">
        <v>99.508857000000006</v>
      </c>
      <c r="E568">
        <v>1</v>
      </c>
      <c r="F568">
        <v>1</v>
      </c>
      <c r="G568">
        <v>0</v>
      </c>
      <c r="H568">
        <v>0</v>
      </c>
      <c r="J568" t="s">
        <v>0</v>
      </c>
      <c r="K568" t="s">
        <v>61</v>
      </c>
      <c r="L568">
        <v>0</v>
      </c>
      <c r="M568" t="s">
        <v>52</v>
      </c>
      <c r="N568">
        <v>1</v>
      </c>
      <c r="O568" t="s">
        <v>63</v>
      </c>
      <c r="P568" s="2">
        <v>0.46666666666666662</v>
      </c>
      <c r="Q568">
        <f>-0.0005969677*3600</f>
        <v>-2.1490837200000001</v>
      </c>
      <c r="R568">
        <f>-0.0002287459*3600</f>
        <v>-0.82348524000000001</v>
      </c>
    </row>
    <row r="569" spans="1:18" x14ac:dyDescent="0.3">
      <c r="A569" t="s">
        <v>48</v>
      </c>
      <c r="B569">
        <v>8021</v>
      </c>
      <c r="C569">
        <v>7.5183559999999998</v>
      </c>
      <c r="D569">
        <v>99.508803</v>
      </c>
      <c r="E569">
        <v>1</v>
      </c>
      <c r="F569">
        <v>1</v>
      </c>
      <c r="G569">
        <v>0</v>
      </c>
      <c r="H569">
        <v>0</v>
      </c>
      <c r="J569" t="s">
        <v>0</v>
      </c>
      <c r="K569" t="s">
        <v>61</v>
      </c>
      <c r="L569">
        <v>0</v>
      </c>
      <c r="M569" t="s">
        <v>52</v>
      </c>
      <c r="N569">
        <v>1</v>
      </c>
      <c r="O569" t="s">
        <v>63</v>
      </c>
      <c r="P569" s="2">
        <v>0.46666666666666662</v>
      </c>
      <c r="Q569">
        <f>-0.0006450734*3600</f>
        <v>-2.32226424</v>
      </c>
      <c r="R569">
        <f>-0.0002508932*3600</f>
        <v>-0.90321551999999994</v>
      </c>
    </row>
    <row r="570" spans="1:18" x14ac:dyDescent="0.3">
      <c r="A570" t="s">
        <v>48</v>
      </c>
      <c r="B570">
        <v>8022</v>
      </c>
      <c r="C570">
        <v>7.5200279999999999</v>
      </c>
      <c r="D570">
        <v>99.508793999999995</v>
      </c>
      <c r="E570">
        <v>1</v>
      </c>
      <c r="F570">
        <v>1</v>
      </c>
      <c r="G570">
        <v>0</v>
      </c>
      <c r="H570">
        <v>0</v>
      </c>
      <c r="J570" t="s">
        <v>0</v>
      </c>
      <c r="K570" t="s">
        <v>61</v>
      </c>
      <c r="L570">
        <v>0</v>
      </c>
      <c r="M570" t="s">
        <v>52</v>
      </c>
      <c r="N570">
        <v>1</v>
      </c>
      <c r="O570" t="s">
        <v>63</v>
      </c>
      <c r="P570" s="2">
        <v>0.46666666666666662</v>
      </c>
      <c r="Q570">
        <f>-0.0006461523*3600</f>
        <v>-2.32614828</v>
      </c>
      <c r="R570">
        <f>-0.0002870115*3600</f>
        <v>-1.0332414000000001</v>
      </c>
    </row>
    <row r="571" spans="1:18" x14ac:dyDescent="0.3">
      <c r="A571" t="s">
        <v>48</v>
      </c>
      <c r="B571">
        <v>8023</v>
      </c>
      <c r="C571">
        <v>7.5179390000000001</v>
      </c>
      <c r="D571">
        <v>99.50882</v>
      </c>
      <c r="E571">
        <v>1</v>
      </c>
      <c r="F571">
        <v>1</v>
      </c>
      <c r="G571">
        <v>0</v>
      </c>
      <c r="H571">
        <v>0</v>
      </c>
      <c r="J571" t="s">
        <v>0</v>
      </c>
      <c r="K571" t="s">
        <v>61</v>
      </c>
      <c r="L571">
        <v>0</v>
      </c>
      <c r="M571" t="s">
        <v>52</v>
      </c>
      <c r="N571">
        <v>1</v>
      </c>
      <c r="O571" t="s">
        <v>63</v>
      </c>
      <c r="P571" s="2">
        <v>0.46666666666666662</v>
      </c>
      <c r="Q571">
        <f>-0.0006137089*3600</f>
        <v>-2.2093520400000002</v>
      </c>
      <c r="R571">
        <f>-0.0002192718*3600</f>
        <v>-0.78937847999999999</v>
      </c>
    </row>
    <row r="572" spans="1:18" x14ac:dyDescent="0.3">
      <c r="A572" t="s">
        <v>48</v>
      </c>
      <c r="B572">
        <v>8024</v>
      </c>
      <c r="C572">
        <v>7.5182219999999997</v>
      </c>
      <c r="D572">
        <v>99.508754999999994</v>
      </c>
      <c r="E572">
        <v>1</v>
      </c>
      <c r="F572">
        <v>1</v>
      </c>
      <c r="G572">
        <v>0</v>
      </c>
      <c r="H572">
        <v>0</v>
      </c>
      <c r="J572" t="s">
        <v>0</v>
      </c>
      <c r="K572" t="s">
        <v>61</v>
      </c>
      <c r="L572">
        <v>0</v>
      </c>
      <c r="M572" t="s">
        <v>52</v>
      </c>
      <c r="N572">
        <v>1</v>
      </c>
      <c r="O572" t="s">
        <v>63</v>
      </c>
      <c r="P572" s="2">
        <v>0.46666666666666662</v>
      </c>
      <c r="Q572">
        <f>-0.0006933583*3600</f>
        <v>-2.49608988</v>
      </c>
      <c r="R572">
        <f>-0.0003045625*3600</f>
        <v>-1.096425</v>
      </c>
    </row>
    <row r="573" spans="1:18" x14ac:dyDescent="0.3">
      <c r="A573" t="s">
        <v>48</v>
      </c>
      <c r="B573">
        <v>8025</v>
      </c>
      <c r="C573">
        <v>7.5176290000000003</v>
      </c>
      <c r="D573">
        <v>99.508882</v>
      </c>
      <c r="E573">
        <v>1</v>
      </c>
      <c r="F573">
        <v>1</v>
      </c>
      <c r="G573">
        <v>0</v>
      </c>
      <c r="H573">
        <v>0</v>
      </c>
      <c r="J573" t="s">
        <v>0</v>
      </c>
      <c r="K573" t="s">
        <v>61</v>
      </c>
      <c r="L573">
        <v>0</v>
      </c>
      <c r="M573" t="s">
        <v>52</v>
      </c>
      <c r="N573">
        <v>1</v>
      </c>
      <c r="O573" t="s">
        <v>63</v>
      </c>
      <c r="P573" s="2">
        <v>0.46736111111111112</v>
      </c>
      <c r="Q573">
        <f>-0.0006367575*3600</f>
        <v>-2.2923270000000002</v>
      </c>
      <c r="R573">
        <f>-0.000200158*3600</f>
        <v>-0.72056880000000001</v>
      </c>
    </row>
    <row r="574" spans="1:18" x14ac:dyDescent="0.3">
      <c r="A574" t="s">
        <v>48</v>
      </c>
      <c r="B574">
        <v>8026</v>
      </c>
      <c r="C574">
        <v>7.5193300000000001</v>
      </c>
      <c r="D574">
        <v>99.508865999999998</v>
      </c>
      <c r="E574">
        <v>1</v>
      </c>
      <c r="F574">
        <v>1</v>
      </c>
      <c r="G574">
        <v>0</v>
      </c>
      <c r="H574">
        <v>0</v>
      </c>
      <c r="J574" t="s">
        <v>0</v>
      </c>
      <c r="K574" t="s">
        <v>61</v>
      </c>
      <c r="L574">
        <v>0</v>
      </c>
      <c r="M574" t="s">
        <v>52</v>
      </c>
      <c r="N574">
        <v>1</v>
      </c>
      <c r="O574" t="s">
        <v>63</v>
      </c>
      <c r="P574" s="2">
        <v>0.46736111111111112</v>
      </c>
      <c r="Q574">
        <f>-0.0006317123*3600</f>
        <v>-2.2741642799999999</v>
      </c>
      <c r="R574">
        <f>-0.0002077902*3600</f>
        <v>-0.74804472</v>
      </c>
    </row>
    <row r="575" spans="1:18" x14ac:dyDescent="0.3">
      <c r="A575" t="s">
        <v>48</v>
      </c>
      <c r="B575">
        <v>8027</v>
      </c>
      <c r="C575">
        <v>7.5182330000000004</v>
      </c>
      <c r="D575">
        <v>99.508792</v>
      </c>
      <c r="E575">
        <v>1</v>
      </c>
      <c r="F575">
        <v>1</v>
      </c>
      <c r="G575">
        <v>0</v>
      </c>
      <c r="H575">
        <v>0</v>
      </c>
      <c r="J575" t="s">
        <v>0</v>
      </c>
      <c r="K575" t="s">
        <v>61</v>
      </c>
      <c r="L575">
        <v>0</v>
      </c>
      <c r="M575" t="s">
        <v>52</v>
      </c>
      <c r="N575">
        <v>1</v>
      </c>
      <c r="O575" t="s">
        <v>63</v>
      </c>
      <c r="P575" s="2">
        <v>0.46736111111111112</v>
      </c>
      <c r="Q575">
        <f>-0.0006680639*3600</f>
        <v>-2.4050300399999998</v>
      </c>
      <c r="R575">
        <f>-0.0002881044*3600</f>
        <v>-1.03717584</v>
      </c>
    </row>
    <row r="576" spans="1:18" x14ac:dyDescent="0.3">
      <c r="A576" t="s">
        <v>48</v>
      </c>
      <c r="B576">
        <v>8028</v>
      </c>
      <c r="C576">
        <v>7.5178760000000002</v>
      </c>
      <c r="D576">
        <v>99.508883999999995</v>
      </c>
      <c r="E576">
        <v>1</v>
      </c>
      <c r="F576">
        <v>1</v>
      </c>
      <c r="G576">
        <v>0</v>
      </c>
      <c r="H576">
        <v>0</v>
      </c>
      <c r="J576" t="s">
        <v>0</v>
      </c>
      <c r="K576" t="s">
        <v>61</v>
      </c>
      <c r="L576">
        <v>0</v>
      </c>
      <c r="M576" t="s">
        <v>52</v>
      </c>
      <c r="N576">
        <v>1</v>
      </c>
      <c r="O576" t="s">
        <v>63</v>
      </c>
      <c r="P576" s="2">
        <v>0.46736111111111112</v>
      </c>
      <c r="Q576">
        <f>-0.0006358659*3600</f>
        <v>-2.2891172399999999</v>
      </c>
      <c r="R576">
        <f>-0.0001829018*3600</f>
        <v>-0.65844647999999995</v>
      </c>
    </row>
    <row r="577" spans="1:18" x14ac:dyDescent="0.3">
      <c r="A577" t="s">
        <v>48</v>
      </c>
      <c r="B577">
        <v>8029</v>
      </c>
      <c r="C577">
        <v>7.5185639999999996</v>
      </c>
      <c r="D577">
        <v>99.508853000000002</v>
      </c>
      <c r="E577">
        <v>1</v>
      </c>
      <c r="F577">
        <v>1</v>
      </c>
      <c r="G577">
        <v>0</v>
      </c>
      <c r="H577">
        <v>0</v>
      </c>
      <c r="J577" t="s">
        <v>0</v>
      </c>
      <c r="K577" t="s">
        <v>61</v>
      </c>
      <c r="L577">
        <v>0</v>
      </c>
      <c r="M577" t="s">
        <v>52</v>
      </c>
      <c r="N577">
        <v>1</v>
      </c>
      <c r="O577" t="s">
        <v>63</v>
      </c>
      <c r="P577" s="2">
        <v>0.46736111111111112</v>
      </c>
      <c r="Q577">
        <f>-0.0006775771*3600</f>
        <v>-2.4392775599999998</v>
      </c>
      <c r="R577">
        <f>-0.00020857*3600</f>
        <v>-0.75085199999999996</v>
      </c>
    </row>
    <row r="578" spans="1:18" x14ac:dyDescent="0.3">
      <c r="A578" t="s">
        <v>48</v>
      </c>
      <c r="B578">
        <v>8030</v>
      </c>
      <c r="C578">
        <v>7.5182840000000004</v>
      </c>
      <c r="D578">
        <v>99.508827999999994</v>
      </c>
      <c r="E578">
        <v>1</v>
      </c>
      <c r="F578">
        <v>1</v>
      </c>
      <c r="G578">
        <v>0</v>
      </c>
      <c r="H578">
        <v>0</v>
      </c>
      <c r="J578" t="s">
        <v>0</v>
      </c>
      <c r="K578" t="s">
        <v>61</v>
      </c>
      <c r="L578">
        <v>0</v>
      </c>
      <c r="M578" t="s">
        <v>52</v>
      </c>
      <c r="N578">
        <v>1</v>
      </c>
      <c r="O578" t="s">
        <v>63</v>
      </c>
      <c r="P578" s="2">
        <v>0.46736111111111112</v>
      </c>
      <c r="Q578">
        <f>-0.0006846408*3600</f>
        <v>-2.46470688</v>
      </c>
      <c r="R578">
        <f>-0.0002318696*3600</f>
        <v>-0.8347305599999999</v>
      </c>
    </row>
    <row r="579" spans="1:18" x14ac:dyDescent="0.3">
      <c r="A579" t="s">
        <v>48</v>
      </c>
      <c r="B579">
        <v>8031</v>
      </c>
      <c r="C579">
        <v>7.5182969999999996</v>
      </c>
      <c r="D579">
        <v>99.508827999999994</v>
      </c>
      <c r="E579">
        <v>1</v>
      </c>
      <c r="F579">
        <v>1</v>
      </c>
      <c r="G579">
        <v>0</v>
      </c>
      <c r="H579">
        <v>0</v>
      </c>
      <c r="J579" t="s">
        <v>0</v>
      </c>
      <c r="K579" t="s">
        <v>61</v>
      </c>
      <c r="L579">
        <v>0</v>
      </c>
      <c r="M579" t="s">
        <v>52</v>
      </c>
      <c r="N579">
        <v>1</v>
      </c>
      <c r="O579" t="s">
        <v>63</v>
      </c>
      <c r="P579" s="2">
        <v>0.4680555555555555</v>
      </c>
      <c r="Q579">
        <f>-0.0006459127*3600</f>
        <v>-2.3252857200000001</v>
      </c>
      <c r="R579">
        <f>-0.0002136308*3600</f>
        <v>-0.76907088000000001</v>
      </c>
    </row>
    <row r="580" spans="1:18" x14ac:dyDescent="0.3">
      <c r="A580" t="s">
        <v>48</v>
      </c>
      <c r="B580">
        <v>8032</v>
      </c>
      <c r="C580">
        <v>7.5192740000000002</v>
      </c>
      <c r="D580">
        <v>99.508786000000001</v>
      </c>
      <c r="E580">
        <v>1</v>
      </c>
      <c r="F580">
        <v>1</v>
      </c>
      <c r="G580">
        <v>0</v>
      </c>
      <c r="H580">
        <v>0</v>
      </c>
      <c r="J580" t="s">
        <v>0</v>
      </c>
      <c r="K580" t="s">
        <v>61</v>
      </c>
      <c r="L580">
        <v>0</v>
      </c>
      <c r="M580" t="s">
        <v>52</v>
      </c>
      <c r="N580">
        <v>1</v>
      </c>
      <c r="O580" t="s">
        <v>63</v>
      </c>
      <c r="P580" s="2">
        <v>0.4680555555555555</v>
      </c>
      <c r="Q580">
        <f>-0.0006626237*3600</f>
        <v>-2.3854453200000001</v>
      </c>
      <c r="R580">
        <f>-0.0002336884*3600</f>
        <v>-0.84127823999999995</v>
      </c>
    </row>
    <row r="581" spans="1:18" x14ac:dyDescent="0.3">
      <c r="A581" t="s">
        <v>48</v>
      </c>
      <c r="B581">
        <v>8033</v>
      </c>
      <c r="C581">
        <v>7.5187059999999999</v>
      </c>
      <c r="D581">
        <v>99.508813000000004</v>
      </c>
      <c r="E581">
        <v>1</v>
      </c>
      <c r="F581">
        <v>1</v>
      </c>
      <c r="G581">
        <v>0</v>
      </c>
      <c r="H581">
        <v>0</v>
      </c>
      <c r="J581" t="s">
        <v>0</v>
      </c>
      <c r="K581" t="s">
        <v>61</v>
      </c>
      <c r="L581">
        <v>0</v>
      </c>
      <c r="M581" t="s">
        <v>52</v>
      </c>
      <c r="N581">
        <v>1</v>
      </c>
      <c r="O581" t="s">
        <v>63</v>
      </c>
      <c r="P581" s="2">
        <v>0.4680555555555555</v>
      </c>
      <c r="Q581">
        <f>-0.00069621*3600</f>
        <v>-2.5063559999999998</v>
      </c>
      <c r="R581">
        <f>-0.000234524*3600</f>
        <v>-0.84428639999999999</v>
      </c>
    </row>
    <row r="582" spans="1:18" x14ac:dyDescent="0.3">
      <c r="A582" t="s">
        <v>48</v>
      </c>
      <c r="B582">
        <v>8034</v>
      </c>
      <c r="C582">
        <v>7.5200180000000003</v>
      </c>
      <c r="D582">
        <v>99.508849999999995</v>
      </c>
      <c r="E582">
        <v>1</v>
      </c>
      <c r="F582">
        <v>1</v>
      </c>
      <c r="G582">
        <v>0</v>
      </c>
      <c r="H582">
        <v>0</v>
      </c>
      <c r="J582" t="s">
        <v>0</v>
      </c>
      <c r="K582" t="s">
        <v>61</v>
      </c>
      <c r="L582">
        <v>0</v>
      </c>
      <c r="M582" t="s">
        <v>52</v>
      </c>
      <c r="N582">
        <v>1</v>
      </c>
      <c r="O582" t="s">
        <v>63</v>
      </c>
      <c r="P582" s="2">
        <v>0.4680555555555555</v>
      </c>
      <c r="Q582">
        <f>-0.0006903192*3600</f>
        <v>-2.48514912</v>
      </c>
      <c r="R582">
        <f>-0.0002337366*3600</f>
        <v>-0.84145175999999999</v>
      </c>
    </row>
    <row r="583" spans="1:18" x14ac:dyDescent="0.3">
      <c r="A583" t="s">
        <v>48</v>
      </c>
      <c r="B583">
        <v>8035</v>
      </c>
      <c r="C583">
        <v>7.51701</v>
      </c>
      <c r="D583">
        <v>99.508846000000005</v>
      </c>
      <c r="E583">
        <v>1</v>
      </c>
      <c r="F583">
        <v>1</v>
      </c>
      <c r="G583">
        <v>0</v>
      </c>
      <c r="H583">
        <v>0</v>
      </c>
      <c r="J583" t="s">
        <v>0</v>
      </c>
      <c r="K583" t="s">
        <v>61</v>
      </c>
      <c r="L583">
        <v>0</v>
      </c>
      <c r="M583" t="s">
        <v>52</v>
      </c>
      <c r="N583">
        <v>1</v>
      </c>
      <c r="O583" t="s">
        <v>63</v>
      </c>
      <c r="P583" s="2">
        <v>0.4680555555555555</v>
      </c>
      <c r="Q583">
        <f>-0.0006807982*3600</f>
        <v>-2.45087352</v>
      </c>
      <c r="R583">
        <f>-0.000194933*3600</f>
        <v>-0.70175880000000002</v>
      </c>
    </row>
    <row r="584" spans="1:18" x14ac:dyDescent="0.3">
      <c r="A584" t="s">
        <v>48</v>
      </c>
      <c r="B584">
        <v>8036</v>
      </c>
      <c r="C584">
        <v>7.5191819999999998</v>
      </c>
      <c r="D584">
        <v>99.508814999999998</v>
      </c>
      <c r="E584">
        <v>1</v>
      </c>
      <c r="F584">
        <v>1</v>
      </c>
      <c r="G584">
        <v>0</v>
      </c>
      <c r="H584">
        <v>0</v>
      </c>
      <c r="J584" t="s">
        <v>0</v>
      </c>
      <c r="K584" t="s">
        <v>61</v>
      </c>
      <c r="L584">
        <v>0</v>
      </c>
      <c r="M584" t="s">
        <v>52</v>
      </c>
      <c r="N584">
        <v>1</v>
      </c>
      <c r="O584" t="s">
        <v>63</v>
      </c>
      <c r="P584" s="2">
        <v>0.4680555555555555</v>
      </c>
      <c r="Q584">
        <f>-0.0007204141*3600</f>
        <v>-2.5934907599999999</v>
      </c>
      <c r="R584">
        <f>-0.0002226804*3600</f>
        <v>-0.80164944000000005</v>
      </c>
    </row>
    <row r="585" spans="1:18" x14ac:dyDescent="0.3">
      <c r="A585" t="s">
        <v>48</v>
      </c>
      <c r="B585">
        <v>8037</v>
      </c>
      <c r="C585">
        <v>7.5185019999999998</v>
      </c>
      <c r="D585">
        <v>99.508816999999993</v>
      </c>
      <c r="E585">
        <v>1</v>
      </c>
      <c r="F585">
        <v>1</v>
      </c>
      <c r="G585">
        <v>0</v>
      </c>
      <c r="H585">
        <v>0</v>
      </c>
      <c r="J585" t="s">
        <v>0</v>
      </c>
      <c r="K585" t="s">
        <v>61</v>
      </c>
      <c r="L585">
        <v>0</v>
      </c>
      <c r="M585" t="s">
        <v>52</v>
      </c>
      <c r="N585">
        <v>1</v>
      </c>
      <c r="O585" t="s">
        <v>63</v>
      </c>
      <c r="P585" s="2">
        <v>0.4680555555555555</v>
      </c>
      <c r="Q585">
        <f>-0.0006653899*3600</f>
        <v>-2.3954036400000001</v>
      </c>
      <c r="R585">
        <f>-0.0002272692*3600</f>
        <v>-0.81816912000000008</v>
      </c>
    </row>
    <row r="586" spans="1:18" x14ac:dyDescent="0.3">
      <c r="A586" t="s">
        <v>48</v>
      </c>
      <c r="B586">
        <v>8038</v>
      </c>
      <c r="C586">
        <v>7.5191059999999998</v>
      </c>
      <c r="D586">
        <v>99.508807000000004</v>
      </c>
      <c r="E586">
        <v>1</v>
      </c>
      <c r="F586">
        <v>1</v>
      </c>
      <c r="G586">
        <v>0</v>
      </c>
      <c r="H586">
        <v>0</v>
      </c>
      <c r="J586" t="s">
        <v>0</v>
      </c>
      <c r="K586" t="s">
        <v>61</v>
      </c>
      <c r="L586">
        <v>0</v>
      </c>
      <c r="M586" t="s">
        <v>52</v>
      </c>
      <c r="N586">
        <v>1</v>
      </c>
      <c r="O586" t="s">
        <v>63</v>
      </c>
      <c r="P586" s="2">
        <v>0.4680555555555555</v>
      </c>
      <c r="Q586">
        <f>-0.0007061047*3600</f>
        <v>-2.5419769199999998</v>
      </c>
      <c r="R586">
        <f>-0.0002368631*3600</f>
        <v>-0.85270716000000002</v>
      </c>
    </row>
    <row r="587" spans="1:18" x14ac:dyDescent="0.3">
      <c r="A587" t="s">
        <v>48</v>
      </c>
      <c r="B587">
        <v>8039</v>
      </c>
      <c r="C587">
        <v>7.5201229999999999</v>
      </c>
      <c r="D587">
        <v>99.508796000000004</v>
      </c>
      <c r="E587">
        <v>1</v>
      </c>
      <c r="F587">
        <v>1</v>
      </c>
      <c r="G587">
        <v>0</v>
      </c>
      <c r="H587">
        <v>0</v>
      </c>
      <c r="J587" t="s">
        <v>0</v>
      </c>
      <c r="K587" t="s">
        <v>61</v>
      </c>
      <c r="L587">
        <v>0</v>
      </c>
      <c r="M587" t="s">
        <v>52</v>
      </c>
      <c r="N587">
        <v>1</v>
      </c>
      <c r="O587" t="s">
        <v>63</v>
      </c>
      <c r="P587" s="2">
        <v>0.46875</v>
      </c>
      <c r="Q587">
        <f>-0.0006287418*3600</f>
        <v>-2.2634704800000001</v>
      </c>
      <c r="R587">
        <f>-0.000246197*3600</f>
        <v>-0.88630919999999991</v>
      </c>
    </row>
    <row r="588" spans="1:18" x14ac:dyDescent="0.3">
      <c r="A588" t="s">
        <v>48</v>
      </c>
      <c r="B588">
        <v>8040</v>
      </c>
      <c r="C588">
        <v>7.516896</v>
      </c>
      <c r="D588">
        <v>99.508818000000005</v>
      </c>
      <c r="E588">
        <v>1</v>
      </c>
      <c r="F588">
        <v>1</v>
      </c>
      <c r="G588">
        <v>0</v>
      </c>
      <c r="H588">
        <v>0</v>
      </c>
      <c r="J588" t="s">
        <v>0</v>
      </c>
      <c r="K588" t="s">
        <v>61</v>
      </c>
      <c r="L588">
        <v>0</v>
      </c>
      <c r="M588" t="s">
        <v>52</v>
      </c>
      <c r="N588">
        <v>1</v>
      </c>
      <c r="O588" t="s">
        <v>63</v>
      </c>
      <c r="P588" s="2">
        <v>0.46875</v>
      </c>
      <c r="Q588">
        <f>-0.0006002897*3600</f>
        <v>-2.1610429199999999</v>
      </c>
      <c r="R588">
        <f>-0.0002128255*3600</f>
        <v>-0.76617179999999996</v>
      </c>
    </row>
    <row r="589" spans="1:18" x14ac:dyDescent="0.3">
      <c r="A589" t="s">
        <v>48</v>
      </c>
      <c r="B589">
        <v>8041</v>
      </c>
      <c r="C589">
        <v>7.5194239999999999</v>
      </c>
      <c r="D589">
        <v>99.508708999999996</v>
      </c>
      <c r="E589">
        <v>1</v>
      </c>
      <c r="F589">
        <v>1</v>
      </c>
      <c r="G589">
        <v>0</v>
      </c>
      <c r="H589">
        <v>0</v>
      </c>
      <c r="J589" t="s">
        <v>0</v>
      </c>
      <c r="K589" t="s">
        <v>61</v>
      </c>
      <c r="L589">
        <v>0</v>
      </c>
      <c r="M589" t="s">
        <v>52</v>
      </c>
      <c r="N589">
        <v>1</v>
      </c>
      <c r="O589" t="s">
        <v>63</v>
      </c>
      <c r="P589" s="2">
        <v>0.46875</v>
      </c>
      <c r="Q589">
        <f>-0.0007028533*3600</f>
        <v>-2.5302718799999999</v>
      </c>
      <c r="R589">
        <f>-0.0003188394*3600</f>
        <v>-1.14782184</v>
      </c>
    </row>
    <row r="590" spans="1:18" x14ac:dyDescent="0.3">
      <c r="A590" t="s">
        <v>48</v>
      </c>
      <c r="B590">
        <v>8042</v>
      </c>
      <c r="C590">
        <v>7.5173329999999998</v>
      </c>
      <c r="D590">
        <v>99.508763000000002</v>
      </c>
      <c r="E590">
        <v>1</v>
      </c>
      <c r="F590">
        <v>1</v>
      </c>
      <c r="G590">
        <v>0</v>
      </c>
      <c r="H590">
        <v>0</v>
      </c>
      <c r="J590" t="s">
        <v>0</v>
      </c>
      <c r="K590" t="s">
        <v>61</v>
      </c>
      <c r="L590">
        <v>0</v>
      </c>
      <c r="M590" t="s">
        <v>52</v>
      </c>
      <c r="N590">
        <v>1</v>
      </c>
      <c r="O590" t="s">
        <v>63</v>
      </c>
      <c r="P590" s="2">
        <v>0.46875</v>
      </c>
      <c r="Q590">
        <f>-0.0006225109*3600</f>
        <v>-2.2410392400000001</v>
      </c>
      <c r="R590">
        <f>-0.0002846978*3600</f>
        <v>-1.02491208</v>
      </c>
    </row>
    <row r="591" spans="1:18" x14ac:dyDescent="0.3">
      <c r="A591" t="s">
        <v>48</v>
      </c>
      <c r="B591">
        <v>8043</v>
      </c>
      <c r="C591">
        <v>7.5183759999999999</v>
      </c>
      <c r="D591">
        <v>99.508748999999995</v>
      </c>
      <c r="E591">
        <v>1</v>
      </c>
      <c r="F591">
        <v>1</v>
      </c>
      <c r="G591">
        <v>0</v>
      </c>
      <c r="H591">
        <v>0</v>
      </c>
      <c r="J591" t="s">
        <v>0</v>
      </c>
      <c r="K591" t="s">
        <v>61</v>
      </c>
      <c r="L591">
        <v>0</v>
      </c>
      <c r="M591" t="s">
        <v>52</v>
      </c>
      <c r="N591">
        <v>1</v>
      </c>
      <c r="O591" t="s">
        <v>63</v>
      </c>
      <c r="P591" s="2">
        <v>0.46875</v>
      </c>
      <c r="Q591">
        <f>-0.0006130432*3600</f>
        <v>-2.2069555200000002</v>
      </c>
      <c r="R591">
        <f>-0.0002845612*3600</f>
        <v>-1.0244203199999999</v>
      </c>
    </row>
    <row r="592" spans="1:18" x14ac:dyDescent="0.3">
      <c r="A592" t="s">
        <v>48</v>
      </c>
      <c r="B592">
        <v>8044</v>
      </c>
      <c r="C592">
        <v>7.5162849999999999</v>
      </c>
      <c r="D592">
        <v>99.508711000000005</v>
      </c>
      <c r="E592">
        <v>1</v>
      </c>
      <c r="F592">
        <v>1</v>
      </c>
      <c r="G592">
        <v>0</v>
      </c>
      <c r="H592">
        <v>0</v>
      </c>
      <c r="J592" t="s">
        <v>0</v>
      </c>
      <c r="K592" t="s">
        <v>61</v>
      </c>
      <c r="L592">
        <v>0</v>
      </c>
      <c r="M592" t="s">
        <v>52</v>
      </c>
      <c r="N592">
        <v>1</v>
      </c>
      <c r="O592" t="s">
        <v>63</v>
      </c>
      <c r="P592" s="2">
        <v>0.4694444444444445</v>
      </c>
      <c r="Q592">
        <f>-0.0006244843*3600</f>
        <v>-2.24814348</v>
      </c>
      <c r="R592">
        <f>-0.0003144414*3600</f>
        <v>-1.1319890400000001</v>
      </c>
    </row>
    <row r="593" spans="1:19" x14ac:dyDescent="0.3">
      <c r="A593" t="s">
        <v>48</v>
      </c>
      <c r="B593">
        <v>8045</v>
      </c>
      <c r="C593">
        <v>7.5182070000000003</v>
      </c>
      <c r="D593">
        <v>99.508756000000005</v>
      </c>
      <c r="E593">
        <v>1</v>
      </c>
      <c r="F593">
        <v>1</v>
      </c>
      <c r="G593">
        <v>0</v>
      </c>
      <c r="H593">
        <v>0</v>
      </c>
      <c r="J593" t="s">
        <v>0</v>
      </c>
      <c r="K593" t="s">
        <v>61</v>
      </c>
      <c r="L593">
        <v>0</v>
      </c>
      <c r="M593" t="s">
        <v>52</v>
      </c>
      <c r="N593">
        <v>1</v>
      </c>
      <c r="O593" t="s">
        <v>63</v>
      </c>
      <c r="P593" s="2">
        <v>0.4694444444444445</v>
      </c>
      <c r="Q593">
        <f>-0.0006258916*3600</f>
        <v>-2.2532097600000003</v>
      </c>
      <c r="R593">
        <f>-0.0002804879*3600</f>
        <v>-1.0097564399999999</v>
      </c>
    </row>
    <row r="594" spans="1:19" x14ac:dyDescent="0.3">
      <c r="A594" t="s">
        <v>48</v>
      </c>
      <c r="B594">
        <v>8046</v>
      </c>
      <c r="C594">
        <v>7.5194739999999998</v>
      </c>
      <c r="D594">
        <v>99.508735000000001</v>
      </c>
      <c r="E594">
        <v>1</v>
      </c>
      <c r="F594">
        <v>1</v>
      </c>
      <c r="G594">
        <v>0</v>
      </c>
      <c r="H594">
        <v>0</v>
      </c>
      <c r="J594" t="s">
        <v>0</v>
      </c>
      <c r="K594" t="s">
        <v>61</v>
      </c>
      <c r="L594">
        <v>0</v>
      </c>
      <c r="M594" t="s">
        <v>52</v>
      </c>
      <c r="N594">
        <v>1</v>
      </c>
      <c r="O594" t="s">
        <v>63</v>
      </c>
      <c r="P594" s="2">
        <v>0.4694444444444445</v>
      </c>
      <c r="Q594">
        <f>-0.0006105518*3600</f>
        <v>-2.19798648</v>
      </c>
      <c r="R594">
        <f>-0.0002843863*3600</f>
        <v>-1.0237906800000001</v>
      </c>
    </row>
    <row r="595" spans="1:19" x14ac:dyDescent="0.3">
      <c r="A595" t="s">
        <v>48</v>
      </c>
      <c r="B595">
        <v>8047</v>
      </c>
      <c r="C595">
        <v>7.5178649999999996</v>
      </c>
      <c r="D595">
        <v>99.508720999999994</v>
      </c>
      <c r="E595">
        <v>1</v>
      </c>
      <c r="F595">
        <v>1</v>
      </c>
      <c r="G595">
        <v>0</v>
      </c>
      <c r="H595">
        <v>0</v>
      </c>
      <c r="J595" t="s">
        <v>0</v>
      </c>
      <c r="K595" t="s">
        <v>61</v>
      </c>
      <c r="L595">
        <v>0</v>
      </c>
      <c r="M595" t="s">
        <v>52</v>
      </c>
      <c r="N595">
        <v>1</v>
      </c>
      <c r="O595" t="s">
        <v>63</v>
      </c>
      <c r="P595" s="2">
        <v>0.4694444444444445</v>
      </c>
      <c r="Q595">
        <f>-0.0006364911*3600</f>
        <v>-2.2913679600000001</v>
      </c>
      <c r="R595">
        <f>-0.0003248605*3600</f>
        <v>-1.1694978</v>
      </c>
    </row>
    <row r="596" spans="1:19" x14ac:dyDescent="0.3">
      <c r="A596" t="s">
        <v>48</v>
      </c>
      <c r="B596">
        <v>8048</v>
      </c>
      <c r="C596">
        <v>7.5189360000000001</v>
      </c>
      <c r="D596">
        <v>99.508739000000006</v>
      </c>
      <c r="E596">
        <v>1</v>
      </c>
      <c r="F596">
        <v>1</v>
      </c>
      <c r="G596">
        <v>0</v>
      </c>
      <c r="H596">
        <v>0</v>
      </c>
      <c r="J596" t="s">
        <v>0</v>
      </c>
      <c r="K596" t="s">
        <v>61</v>
      </c>
      <c r="L596">
        <v>0</v>
      </c>
      <c r="M596" t="s">
        <v>52</v>
      </c>
      <c r="N596">
        <v>1</v>
      </c>
      <c r="O596" t="s">
        <v>63</v>
      </c>
      <c r="P596" s="2">
        <v>0.4694444444444445</v>
      </c>
      <c r="Q596">
        <f>-0.0006319713*3600</f>
        <v>-2.2750966800000003</v>
      </c>
      <c r="R596">
        <f>-0.0002832827*3600</f>
        <v>-1.01981772</v>
      </c>
    </row>
    <row r="597" spans="1:19" x14ac:dyDescent="0.3">
      <c r="A597" t="s">
        <v>48</v>
      </c>
      <c r="B597">
        <v>8049</v>
      </c>
      <c r="C597">
        <v>7.51762</v>
      </c>
      <c r="D597">
        <v>99.508712000000003</v>
      </c>
      <c r="E597">
        <v>1</v>
      </c>
      <c r="F597">
        <v>1</v>
      </c>
      <c r="G597">
        <v>0</v>
      </c>
      <c r="H597">
        <v>0</v>
      </c>
      <c r="J597" t="s">
        <v>0</v>
      </c>
      <c r="K597" t="s">
        <v>61</v>
      </c>
      <c r="L597">
        <v>0</v>
      </c>
      <c r="M597" t="s">
        <v>52</v>
      </c>
      <c r="N597">
        <v>1</v>
      </c>
      <c r="O597" t="s">
        <v>63</v>
      </c>
      <c r="P597" s="2">
        <v>0.4694444444444445</v>
      </c>
      <c r="Q597">
        <f>-0.0006242921*3600</f>
        <v>-2.24745156</v>
      </c>
      <c r="R597">
        <f>-0.0003269687*3600</f>
        <v>-1.17708732</v>
      </c>
    </row>
    <row r="598" spans="1:19" x14ac:dyDescent="0.3">
      <c r="A598" t="s">
        <v>48</v>
      </c>
      <c r="B598">
        <v>8050</v>
      </c>
      <c r="C598">
        <v>7.5178789999999998</v>
      </c>
      <c r="D598">
        <v>99.508779000000004</v>
      </c>
      <c r="E598">
        <v>1</v>
      </c>
      <c r="F598">
        <v>1</v>
      </c>
      <c r="G598">
        <v>0</v>
      </c>
      <c r="H598">
        <v>0</v>
      </c>
      <c r="J598" t="s">
        <v>0</v>
      </c>
      <c r="K598" t="s">
        <v>61</v>
      </c>
      <c r="L598">
        <v>0</v>
      </c>
      <c r="M598" t="s">
        <v>52</v>
      </c>
      <c r="N598">
        <v>1</v>
      </c>
      <c r="O598" t="s">
        <v>63</v>
      </c>
      <c r="P598" s="2">
        <v>0.47013888888888888</v>
      </c>
      <c r="Q598">
        <f>-0.0005953547*3600</f>
        <v>-2.1432769199999999</v>
      </c>
      <c r="R598">
        <f>-0.00026313*3600</f>
        <v>-0.94726799999999989</v>
      </c>
    </row>
    <row r="599" spans="1:19" x14ac:dyDescent="0.3">
      <c r="A599" t="s">
        <v>48</v>
      </c>
      <c r="B599">
        <v>8051</v>
      </c>
      <c r="C599">
        <v>7.5173839999999998</v>
      </c>
      <c r="D599">
        <v>99.508757000000003</v>
      </c>
      <c r="E599">
        <v>1</v>
      </c>
      <c r="F599">
        <v>1</v>
      </c>
      <c r="G599">
        <v>0</v>
      </c>
      <c r="H599">
        <v>0</v>
      </c>
      <c r="J599" t="s">
        <v>0</v>
      </c>
      <c r="K599" t="s">
        <v>61</v>
      </c>
      <c r="L599">
        <v>0</v>
      </c>
      <c r="M599" t="s">
        <v>52</v>
      </c>
      <c r="N599">
        <v>1</v>
      </c>
      <c r="O599" t="s">
        <v>63</v>
      </c>
      <c r="P599" s="2">
        <v>0.47013888888888888</v>
      </c>
      <c r="Q599">
        <f>-0.0006168386*3600</f>
        <v>-2.2206189599999999</v>
      </c>
      <c r="R599">
        <f>-0.0002808514*3600</f>
        <v>-1.0110650400000001</v>
      </c>
    </row>
    <row r="600" spans="1:19" x14ac:dyDescent="0.3">
      <c r="A600" t="s">
        <v>48</v>
      </c>
      <c r="B600" t="s">
        <v>334</v>
      </c>
      <c r="C600">
        <v>2.7799999999999998E-4</v>
      </c>
      <c r="D600">
        <v>98.550886000000006</v>
      </c>
      <c r="E600">
        <v>55.994599999999998</v>
      </c>
      <c r="F600">
        <v>56.066600000000001</v>
      </c>
      <c r="G600">
        <v>0</v>
      </c>
      <c r="H600">
        <v>0</v>
      </c>
      <c r="J600" t="s">
        <v>0</v>
      </c>
      <c r="K600" t="s">
        <v>50</v>
      </c>
      <c r="L600" t="s">
        <v>51</v>
      </c>
      <c r="M600">
        <v>0</v>
      </c>
      <c r="N600" t="s">
        <v>57</v>
      </c>
      <c r="O600">
        <v>1</v>
      </c>
      <c r="P600" t="s">
        <v>53</v>
      </c>
      <c r="Q600" s="2">
        <v>0.47083333333333338</v>
      </c>
      <c r="R600">
        <f>-0.0001746044*3600</f>
        <v>-0.62857584</v>
      </c>
      <c r="S600">
        <f>-0.0000765151*3600</f>
        <v>-0.27545436000000001</v>
      </c>
    </row>
    <row r="601" spans="1:19" x14ac:dyDescent="0.3">
      <c r="A601" t="s">
        <v>48</v>
      </c>
      <c r="B601" t="s">
        <v>335</v>
      </c>
      <c r="C601">
        <v>4.8700000000000002E-4</v>
      </c>
      <c r="D601">
        <v>98.551052999999996</v>
      </c>
      <c r="E601">
        <v>55.994399999999999</v>
      </c>
      <c r="F601">
        <v>56.066499999999998</v>
      </c>
      <c r="G601">
        <v>0</v>
      </c>
      <c r="H601">
        <v>0</v>
      </c>
      <c r="J601" t="s">
        <v>0</v>
      </c>
      <c r="K601" t="s">
        <v>50</v>
      </c>
      <c r="L601" t="s">
        <v>51</v>
      </c>
      <c r="M601">
        <v>0</v>
      </c>
      <c r="N601" t="s">
        <v>57</v>
      </c>
      <c r="O601">
        <v>1</v>
      </c>
      <c r="P601" t="s">
        <v>53</v>
      </c>
      <c r="Q601" s="2">
        <v>0.47083333333333338</v>
      </c>
      <c r="R601">
        <f>-0.0003216857*3600</f>
        <v>-1.15806852</v>
      </c>
      <c r="S601">
        <f>-0.0003113676*3600</f>
        <v>-1.1209233599999999</v>
      </c>
    </row>
    <row r="602" spans="1:19" x14ac:dyDescent="0.3">
      <c r="A602" t="s">
        <v>48</v>
      </c>
      <c r="B602" t="s">
        <v>336</v>
      </c>
      <c r="C602">
        <v>3.86E-4</v>
      </c>
      <c r="D602">
        <v>98.550848999999999</v>
      </c>
      <c r="E602">
        <v>55.994599999999998</v>
      </c>
      <c r="F602">
        <v>56.066699999999997</v>
      </c>
      <c r="G602">
        <v>0</v>
      </c>
      <c r="H602">
        <v>0</v>
      </c>
      <c r="J602" t="s">
        <v>0</v>
      </c>
      <c r="K602" t="s">
        <v>50</v>
      </c>
      <c r="L602" t="s">
        <v>51</v>
      </c>
      <c r="M602">
        <v>0</v>
      </c>
      <c r="N602" t="s">
        <v>57</v>
      </c>
      <c r="O602">
        <v>1</v>
      </c>
      <c r="P602" t="s">
        <v>53</v>
      </c>
      <c r="Q602" s="2">
        <v>0.47152777777777777</v>
      </c>
      <c r="R602">
        <f>-0.000106973*3600</f>
        <v>-0.38510279999999997</v>
      </c>
      <c r="S602">
        <f>0.0000004352*3600</f>
        <v>1.56672E-3</v>
      </c>
    </row>
    <row r="603" spans="1:19" x14ac:dyDescent="0.3">
      <c r="A603" t="s">
        <v>48</v>
      </c>
      <c r="B603">
        <v>8100</v>
      </c>
      <c r="C603">
        <v>207.51852500000001</v>
      </c>
      <c r="D603">
        <v>300.19407899999999</v>
      </c>
      <c r="E603">
        <v>13.6884</v>
      </c>
      <c r="F603">
        <v>13.7095</v>
      </c>
      <c r="G603">
        <v>0</v>
      </c>
      <c r="H603">
        <v>0</v>
      </c>
      <c r="J603" t="s">
        <v>0</v>
      </c>
      <c r="K603" t="s">
        <v>61</v>
      </c>
      <c r="L603">
        <v>3.4000000000000002E-2</v>
      </c>
      <c r="M603" t="s">
        <v>52</v>
      </c>
      <c r="N603">
        <v>1</v>
      </c>
      <c r="O603" t="s">
        <v>53</v>
      </c>
      <c r="P603" s="2">
        <v>0.47222222222222227</v>
      </c>
      <c r="Q603">
        <f>0.000149959*3600</f>
        <v>0.53985240000000001</v>
      </c>
      <c r="R603">
        <f>0.000256048*3600</f>
        <v>0.92177279999999995</v>
      </c>
    </row>
    <row r="604" spans="1:19" x14ac:dyDescent="0.3">
      <c r="A604" t="s">
        <v>48</v>
      </c>
      <c r="B604">
        <v>8101</v>
      </c>
      <c r="C604">
        <v>207.52087900000001</v>
      </c>
      <c r="D604">
        <v>300.51175499999999</v>
      </c>
      <c r="E604">
        <v>1</v>
      </c>
      <c r="F604">
        <v>1</v>
      </c>
      <c r="G604">
        <v>0</v>
      </c>
      <c r="H604">
        <v>0</v>
      </c>
      <c r="J604" t="s">
        <v>0</v>
      </c>
      <c r="K604" t="s">
        <v>61</v>
      </c>
      <c r="L604">
        <v>0</v>
      </c>
      <c r="M604" t="s">
        <v>52</v>
      </c>
      <c r="N604">
        <v>1</v>
      </c>
      <c r="O604" t="s">
        <v>63</v>
      </c>
      <c r="P604" s="2">
        <v>0.47291666666666665</v>
      </c>
      <c r="Q604">
        <f>-0.0000579046*3600</f>
        <v>-0.20845656000000001</v>
      </c>
      <c r="R604">
        <f>0.0001240309*3600</f>
        <v>0.44651123999999998</v>
      </c>
    </row>
    <row r="605" spans="1:19" x14ac:dyDescent="0.3">
      <c r="A605" t="s">
        <v>48</v>
      </c>
      <c r="B605">
        <v>8102</v>
      </c>
      <c r="C605">
        <v>207.519103</v>
      </c>
      <c r="D605">
        <v>300.51181400000002</v>
      </c>
      <c r="E605">
        <v>1</v>
      </c>
      <c r="F605">
        <v>1</v>
      </c>
      <c r="G605">
        <v>0</v>
      </c>
      <c r="H605">
        <v>0</v>
      </c>
      <c r="J605" t="s">
        <v>0</v>
      </c>
      <c r="K605" t="s">
        <v>61</v>
      </c>
      <c r="L605">
        <v>0</v>
      </c>
      <c r="M605" t="s">
        <v>52</v>
      </c>
      <c r="N605">
        <v>1</v>
      </c>
      <c r="O605" t="s">
        <v>63</v>
      </c>
      <c r="P605" s="2">
        <v>0.47361111111111115</v>
      </c>
      <c r="Q605">
        <f>0.0000627458*3600</f>
        <v>0.22588487999999998</v>
      </c>
      <c r="R605">
        <f>0.0001837964*3600</f>
        <v>0.66166703999999998</v>
      </c>
    </row>
    <row r="606" spans="1:19" x14ac:dyDescent="0.3">
      <c r="A606" t="s">
        <v>48</v>
      </c>
      <c r="B606">
        <v>8103</v>
      </c>
      <c r="C606">
        <v>207.519631</v>
      </c>
      <c r="D606">
        <v>300.511886</v>
      </c>
      <c r="E606">
        <v>1</v>
      </c>
      <c r="F606">
        <v>1</v>
      </c>
      <c r="G606">
        <v>0</v>
      </c>
      <c r="H606">
        <v>0</v>
      </c>
      <c r="J606" t="s">
        <v>0</v>
      </c>
      <c r="K606" t="s">
        <v>61</v>
      </c>
      <c r="L606">
        <v>0</v>
      </c>
      <c r="M606" t="s">
        <v>52</v>
      </c>
      <c r="N606">
        <v>1</v>
      </c>
      <c r="O606" t="s">
        <v>63</v>
      </c>
      <c r="P606" s="2">
        <v>0.47361111111111115</v>
      </c>
      <c r="Q606">
        <f>0.0002496745*3600</f>
        <v>0.89882819999999997</v>
      </c>
      <c r="R606">
        <f>0.0002578696*3600</f>
        <v>0.92833056000000003</v>
      </c>
    </row>
    <row r="607" spans="1:19" x14ac:dyDescent="0.3">
      <c r="A607" t="s">
        <v>48</v>
      </c>
      <c r="B607">
        <v>8104</v>
      </c>
      <c r="C607">
        <v>207.51951500000001</v>
      </c>
      <c r="D607">
        <v>300.51176700000002</v>
      </c>
      <c r="E607">
        <v>1</v>
      </c>
      <c r="F607">
        <v>1</v>
      </c>
      <c r="G607">
        <v>0</v>
      </c>
      <c r="H607">
        <v>0</v>
      </c>
      <c r="J607" t="s">
        <v>0</v>
      </c>
      <c r="K607" t="s">
        <v>61</v>
      </c>
      <c r="L607">
        <v>0</v>
      </c>
      <c r="M607" t="s">
        <v>52</v>
      </c>
      <c r="N607">
        <v>1</v>
      </c>
      <c r="O607" t="s">
        <v>63</v>
      </c>
      <c r="P607" s="2">
        <v>0.47361111111111115</v>
      </c>
      <c r="Q607">
        <f>-0.0000148825*3600</f>
        <v>-5.3577E-2</v>
      </c>
      <c r="R607">
        <f>0.0001449816*3600</f>
        <v>0.52193375999999991</v>
      </c>
    </row>
    <row r="608" spans="1:19" x14ac:dyDescent="0.3">
      <c r="A608" t="s">
        <v>48</v>
      </c>
      <c r="B608">
        <v>8105</v>
      </c>
      <c r="C608">
        <v>207.520343</v>
      </c>
      <c r="D608">
        <v>300.51176800000002</v>
      </c>
      <c r="E608">
        <v>1</v>
      </c>
      <c r="F608">
        <v>1</v>
      </c>
      <c r="G608">
        <v>0</v>
      </c>
      <c r="H608">
        <v>0</v>
      </c>
      <c r="J608" t="s">
        <v>0</v>
      </c>
      <c r="K608" t="s">
        <v>61</v>
      </c>
      <c r="L608">
        <v>0</v>
      </c>
      <c r="M608" t="s">
        <v>52</v>
      </c>
      <c r="N608">
        <v>1</v>
      </c>
      <c r="O608" t="s">
        <v>63</v>
      </c>
      <c r="P608" s="2">
        <v>0.47361111111111115</v>
      </c>
      <c r="Q608">
        <f>0.0000583766*3600</f>
        <v>0.21015576</v>
      </c>
      <c r="R608">
        <f>0.000126288*3600</f>
        <v>0.45463680000000001</v>
      </c>
    </row>
    <row r="609" spans="1:18" x14ac:dyDescent="0.3">
      <c r="A609" t="s">
        <v>48</v>
      </c>
      <c r="B609">
        <v>8106</v>
      </c>
      <c r="C609">
        <v>207.519079</v>
      </c>
      <c r="D609">
        <v>300.51180299999999</v>
      </c>
      <c r="E609">
        <v>1</v>
      </c>
      <c r="F609">
        <v>1</v>
      </c>
      <c r="G609">
        <v>0</v>
      </c>
      <c r="H609">
        <v>0</v>
      </c>
      <c r="J609" t="s">
        <v>0</v>
      </c>
      <c r="K609" t="s">
        <v>61</v>
      </c>
      <c r="L609">
        <v>0</v>
      </c>
      <c r="M609" t="s">
        <v>52</v>
      </c>
      <c r="N609">
        <v>1</v>
      </c>
      <c r="O609" t="s">
        <v>63</v>
      </c>
      <c r="P609" s="2">
        <v>0.47361111111111115</v>
      </c>
      <c r="Q609">
        <f>0.0000699229*3600</f>
        <v>0.25172243999999999</v>
      </c>
      <c r="R609">
        <f>0.0001922555*3600</f>
        <v>0.69211979999999995</v>
      </c>
    </row>
    <row r="610" spans="1:18" x14ac:dyDescent="0.3">
      <c r="A610" t="s">
        <v>48</v>
      </c>
      <c r="B610">
        <v>8107</v>
      </c>
      <c r="C610">
        <v>207.52074300000001</v>
      </c>
      <c r="D610">
        <v>300.51183099999997</v>
      </c>
      <c r="E610">
        <v>1</v>
      </c>
      <c r="F610">
        <v>1</v>
      </c>
      <c r="G610">
        <v>0</v>
      </c>
      <c r="H610">
        <v>0</v>
      </c>
      <c r="J610" t="s">
        <v>0</v>
      </c>
      <c r="K610" t="s">
        <v>61</v>
      </c>
      <c r="L610">
        <v>0</v>
      </c>
      <c r="M610" t="s">
        <v>52</v>
      </c>
      <c r="N610">
        <v>1</v>
      </c>
      <c r="O610" t="s">
        <v>63</v>
      </c>
      <c r="P610" s="2">
        <v>0.47361111111111115</v>
      </c>
      <c r="Q610">
        <f>0.0000878636*3600</f>
        <v>0.31630895999999997</v>
      </c>
      <c r="R610">
        <f>0.0001890851*3600</f>
        <v>0.68070636000000007</v>
      </c>
    </row>
    <row r="611" spans="1:18" x14ac:dyDescent="0.3">
      <c r="A611" t="s">
        <v>48</v>
      </c>
      <c r="B611">
        <v>8108</v>
      </c>
      <c r="C611">
        <v>207.52056300000001</v>
      </c>
      <c r="D611">
        <v>300.51175999999998</v>
      </c>
      <c r="E611">
        <v>1</v>
      </c>
      <c r="F611">
        <v>1</v>
      </c>
      <c r="G611">
        <v>0</v>
      </c>
      <c r="H611">
        <v>0</v>
      </c>
      <c r="J611" t="s">
        <v>0</v>
      </c>
      <c r="K611" t="s">
        <v>61</v>
      </c>
      <c r="L611">
        <v>0</v>
      </c>
      <c r="M611" t="s">
        <v>52</v>
      </c>
      <c r="N611">
        <v>1</v>
      </c>
      <c r="O611" t="s">
        <v>63</v>
      </c>
      <c r="P611" s="2">
        <v>0.47361111111111115</v>
      </c>
      <c r="Q611">
        <f>0.0000930716*3600</f>
        <v>0.33505776000000004</v>
      </c>
      <c r="R611">
        <f>0.0001020149*3600</f>
        <v>0.36725363999999999</v>
      </c>
    </row>
    <row r="612" spans="1:18" x14ac:dyDescent="0.3">
      <c r="A612" t="s">
        <v>48</v>
      </c>
      <c r="B612">
        <v>8109</v>
      </c>
      <c r="C612">
        <v>207.52085500000001</v>
      </c>
      <c r="D612">
        <v>300.51180499999998</v>
      </c>
      <c r="E612">
        <v>1</v>
      </c>
      <c r="F612">
        <v>1</v>
      </c>
      <c r="G612">
        <v>0</v>
      </c>
      <c r="H612">
        <v>0</v>
      </c>
      <c r="J612" t="s">
        <v>0</v>
      </c>
      <c r="K612" t="s">
        <v>61</v>
      </c>
      <c r="L612">
        <v>0</v>
      </c>
      <c r="M612" t="s">
        <v>52</v>
      </c>
      <c r="N612">
        <v>1</v>
      </c>
      <c r="O612" t="s">
        <v>63</v>
      </c>
      <c r="P612" s="2">
        <v>0.47361111111111115</v>
      </c>
      <c r="Q612">
        <f>0.0001298584*3600</f>
        <v>0.46749024</v>
      </c>
      <c r="R612">
        <f>0.0001824254*3600</f>
        <v>0.65673144000000006</v>
      </c>
    </row>
    <row r="613" spans="1:18" x14ac:dyDescent="0.3">
      <c r="A613" t="s">
        <v>48</v>
      </c>
      <c r="B613">
        <v>8110</v>
      </c>
      <c r="C613">
        <v>207.52009899999999</v>
      </c>
      <c r="D613">
        <v>300.51182</v>
      </c>
      <c r="E613">
        <v>1</v>
      </c>
      <c r="F613">
        <v>1</v>
      </c>
      <c r="G613">
        <v>0</v>
      </c>
      <c r="H613">
        <v>0</v>
      </c>
      <c r="J613" t="s">
        <v>0</v>
      </c>
      <c r="K613" t="s">
        <v>61</v>
      </c>
      <c r="L613">
        <v>0</v>
      </c>
      <c r="M613" t="s">
        <v>52</v>
      </c>
      <c r="N613">
        <v>1</v>
      </c>
      <c r="O613" t="s">
        <v>63</v>
      </c>
      <c r="P613" s="2">
        <v>0.47361111111111115</v>
      </c>
      <c r="Q613">
        <f>0.0001072193*3600</f>
        <v>0.38598948</v>
      </c>
      <c r="R613">
        <f>0.0001806602*3600</f>
        <v>0.65037672000000002</v>
      </c>
    </row>
    <row r="614" spans="1:18" x14ac:dyDescent="0.3">
      <c r="A614" t="s">
        <v>48</v>
      </c>
      <c r="B614">
        <v>8111</v>
      </c>
      <c r="C614">
        <v>207.51994099999999</v>
      </c>
      <c r="D614">
        <v>300.511752</v>
      </c>
      <c r="E614">
        <v>1</v>
      </c>
      <c r="F614">
        <v>1</v>
      </c>
      <c r="G614">
        <v>0</v>
      </c>
      <c r="H614">
        <v>0</v>
      </c>
      <c r="J614" t="s">
        <v>0</v>
      </c>
      <c r="K614" t="s">
        <v>61</v>
      </c>
      <c r="L614">
        <v>0</v>
      </c>
      <c r="M614" t="s">
        <v>52</v>
      </c>
      <c r="N614">
        <v>1</v>
      </c>
      <c r="O614" t="s">
        <v>63</v>
      </c>
      <c r="P614" s="2">
        <v>0.47430555555555554</v>
      </c>
      <c r="Q614">
        <f>0.0000851203*3600</f>
        <v>0.30643308000000002</v>
      </c>
      <c r="R614">
        <f>0.0001032343*3600</f>
        <v>0.37164348000000003</v>
      </c>
    </row>
    <row r="615" spans="1:18" x14ac:dyDescent="0.3">
      <c r="A615" t="s">
        <v>48</v>
      </c>
      <c r="B615">
        <v>8112</v>
      </c>
      <c r="C615">
        <v>207.52008000000001</v>
      </c>
      <c r="D615">
        <v>300.51187099999999</v>
      </c>
      <c r="E615">
        <v>1</v>
      </c>
      <c r="F615">
        <v>1</v>
      </c>
      <c r="G615">
        <v>0</v>
      </c>
      <c r="H615">
        <v>0</v>
      </c>
      <c r="J615" t="s">
        <v>0</v>
      </c>
      <c r="K615" t="s">
        <v>61</v>
      </c>
      <c r="L615">
        <v>0</v>
      </c>
      <c r="M615" t="s">
        <v>52</v>
      </c>
      <c r="N615">
        <v>1</v>
      </c>
      <c r="O615" t="s">
        <v>63</v>
      </c>
      <c r="P615" s="2">
        <v>0.47430555555555554</v>
      </c>
      <c r="Q615">
        <f>0.0001961935*3600</f>
        <v>0.70629660000000005</v>
      </c>
      <c r="R615">
        <f>0.0002209651*3600</f>
        <v>0.79547436000000005</v>
      </c>
    </row>
    <row r="616" spans="1:18" x14ac:dyDescent="0.3">
      <c r="A616" t="s">
        <v>48</v>
      </c>
      <c r="B616">
        <v>8113</v>
      </c>
      <c r="C616">
        <v>207.51916499999999</v>
      </c>
      <c r="D616">
        <v>300.51176299999997</v>
      </c>
      <c r="E616">
        <v>1</v>
      </c>
      <c r="F616">
        <v>1</v>
      </c>
      <c r="G616">
        <v>0</v>
      </c>
      <c r="H616">
        <v>0</v>
      </c>
      <c r="J616" t="s">
        <v>0</v>
      </c>
      <c r="K616" t="s">
        <v>61</v>
      </c>
      <c r="L616">
        <v>0</v>
      </c>
      <c r="M616" t="s">
        <v>52</v>
      </c>
      <c r="N616">
        <v>1</v>
      </c>
      <c r="O616" t="s">
        <v>63</v>
      </c>
      <c r="P616" s="2">
        <v>0.47430555555555554</v>
      </c>
      <c r="Q616">
        <f>0.0000610707*3600</f>
        <v>0.21985452000000003</v>
      </c>
      <c r="R616">
        <f>0.000112755*3600</f>
        <v>0.405918</v>
      </c>
    </row>
    <row r="617" spans="1:18" x14ac:dyDescent="0.3">
      <c r="A617" t="s">
        <v>48</v>
      </c>
      <c r="B617">
        <v>8114</v>
      </c>
      <c r="C617">
        <v>207.5205</v>
      </c>
      <c r="D617">
        <v>300.51176500000003</v>
      </c>
      <c r="E617">
        <v>1</v>
      </c>
      <c r="F617">
        <v>1</v>
      </c>
      <c r="G617">
        <v>0</v>
      </c>
      <c r="H617">
        <v>0</v>
      </c>
      <c r="J617" t="s">
        <v>0</v>
      </c>
      <c r="K617" t="s">
        <v>61</v>
      </c>
      <c r="L617">
        <v>0</v>
      </c>
      <c r="M617" t="s">
        <v>52</v>
      </c>
      <c r="N617">
        <v>1</v>
      </c>
      <c r="O617" t="s">
        <v>63</v>
      </c>
      <c r="P617" s="2">
        <v>0.47430555555555554</v>
      </c>
      <c r="Q617">
        <f>0.0001332898*3600</f>
        <v>0.47984328000000004</v>
      </c>
      <c r="R617">
        <f>0.0000976277*3600</f>
        <v>0.35145971999999998</v>
      </c>
    </row>
    <row r="618" spans="1:18" x14ac:dyDescent="0.3">
      <c r="A618" t="s">
        <v>48</v>
      </c>
      <c r="B618">
        <v>8115</v>
      </c>
      <c r="C618">
        <v>207.52058500000001</v>
      </c>
      <c r="D618">
        <v>300.51173999999997</v>
      </c>
      <c r="E618">
        <v>1</v>
      </c>
      <c r="F618">
        <v>1</v>
      </c>
      <c r="G618">
        <v>0</v>
      </c>
      <c r="H618">
        <v>0</v>
      </c>
      <c r="J618" t="s">
        <v>0</v>
      </c>
      <c r="K618" t="s">
        <v>61</v>
      </c>
      <c r="L618">
        <v>0</v>
      </c>
      <c r="M618" t="s">
        <v>52</v>
      </c>
      <c r="N618">
        <v>1</v>
      </c>
      <c r="O618" t="s">
        <v>63</v>
      </c>
      <c r="P618" s="2">
        <v>0.47430555555555554</v>
      </c>
      <c r="Q618">
        <f>0.0001228167*3600</f>
        <v>0.44214012000000003</v>
      </c>
      <c r="R618">
        <f>0.0000972413*3600</f>
        <v>0.35006867999999997</v>
      </c>
    </row>
    <row r="619" spans="1:18" x14ac:dyDescent="0.3">
      <c r="A619" t="s">
        <v>48</v>
      </c>
      <c r="B619">
        <v>8116</v>
      </c>
      <c r="C619">
        <v>207.519296</v>
      </c>
      <c r="D619">
        <v>300.51174700000001</v>
      </c>
      <c r="E619">
        <v>1</v>
      </c>
      <c r="F619">
        <v>1</v>
      </c>
      <c r="G619">
        <v>0</v>
      </c>
      <c r="H619">
        <v>0</v>
      </c>
      <c r="J619" t="s">
        <v>0</v>
      </c>
      <c r="K619" t="s">
        <v>61</v>
      </c>
      <c r="L619">
        <v>0</v>
      </c>
      <c r="M619" t="s">
        <v>52</v>
      </c>
      <c r="N619">
        <v>1</v>
      </c>
      <c r="O619" t="s">
        <v>63</v>
      </c>
      <c r="P619" s="2">
        <v>0.47430555555555554</v>
      </c>
      <c r="Q619">
        <f>0.0001111168*3600</f>
        <v>0.40002048000000001</v>
      </c>
      <c r="R619">
        <f>0.0001096838*3600</f>
        <v>0.39486167999999999</v>
      </c>
    </row>
    <row r="620" spans="1:18" x14ac:dyDescent="0.3">
      <c r="A620" t="s">
        <v>48</v>
      </c>
      <c r="B620">
        <v>8117</v>
      </c>
      <c r="C620">
        <v>207.51933600000001</v>
      </c>
      <c r="D620">
        <v>300.51170400000001</v>
      </c>
      <c r="E620">
        <v>1</v>
      </c>
      <c r="F620">
        <v>1</v>
      </c>
      <c r="G620">
        <v>0</v>
      </c>
      <c r="H620">
        <v>0</v>
      </c>
      <c r="J620" t="s">
        <v>0</v>
      </c>
      <c r="K620" t="s">
        <v>61</v>
      </c>
      <c r="L620">
        <v>0</v>
      </c>
      <c r="M620" t="s">
        <v>52</v>
      </c>
      <c r="N620">
        <v>1</v>
      </c>
      <c r="O620" t="s">
        <v>63</v>
      </c>
      <c r="P620" s="2">
        <v>0.47430555555555554</v>
      </c>
      <c r="Q620">
        <f>0.000213029*3600</f>
        <v>0.76690440000000004</v>
      </c>
      <c r="R620">
        <f>0.0000429706*3600</f>
        <v>0.15469416</v>
      </c>
    </row>
    <row r="621" spans="1:18" x14ac:dyDescent="0.3">
      <c r="A621" t="s">
        <v>48</v>
      </c>
      <c r="B621">
        <v>8118</v>
      </c>
      <c r="C621">
        <v>207.51893000000001</v>
      </c>
      <c r="D621">
        <v>300.51173499999999</v>
      </c>
      <c r="E621">
        <v>1</v>
      </c>
      <c r="F621">
        <v>1</v>
      </c>
      <c r="G621">
        <v>0</v>
      </c>
      <c r="H621">
        <v>0</v>
      </c>
      <c r="J621" t="s">
        <v>0</v>
      </c>
      <c r="K621" t="s">
        <v>61</v>
      </c>
      <c r="L621">
        <v>0</v>
      </c>
      <c r="M621" t="s">
        <v>52</v>
      </c>
      <c r="N621">
        <v>1</v>
      </c>
      <c r="O621" t="s">
        <v>63</v>
      </c>
      <c r="P621" s="2">
        <v>0.47430555555555554</v>
      </c>
      <c r="Q621">
        <f>0.0000254381*3600</f>
        <v>9.1577160000000005E-2</v>
      </c>
      <c r="R621">
        <f>0.0000699195*3600</f>
        <v>0.2517102</v>
      </c>
    </row>
    <row r="622" spans="1:18" x14ac:dyDescent="0.3">
      <c r="A622" t="s">
        <v>48</v>
      </c>
      <c r="B622">
        <v>8119</v>
      </c>
      <c r="C622">
        <v>207.51948200000001</v>
      </c>
      <c r="D622">
        <v>300.51178900000002</v>
      </c>
      <c r="E622">
        <v>1</v>
      </c>
      <c r="F622">
        <v>1</v>
      </c>
      <c r="G622">
        <v>0</v>
      </c>
      <c r="H622">
        <v>0</v>
      </c>
      <c r="J622" t="s">
        <v>0</v>
      </c>
      <c r="K622" t="s">
        <v>61</v>
      </c>
      <c r="L622">
        <v>0</v>
      </c>
      <c r="M622" t="s">
        <v>52</v>
      </c>
      <c r="N622">
        <v>1</v>
      </c>
      <c r="O622" t="s">
        <v>63</v>
      </c>
      <c r="P622" s="2">
        <v>0.47430555555555554</v>
      </c>
      <c r="Q622">
        <f>0.0001237639*3600</f>
        <v>0.44555003999999998</v>
      </c>
      <c r="R622">
        <f>0.0001330334*3600</f>
        <v>0.47892024000000005</v>
      </c>
    </row>
    <row r="623" spans="1:18" x14ac:dyDescent="0.3">
      <c r="A623" t="s">
        <v>48</v>
      </c>
      <c r="B623">
        <v>8120</v>
      </c>
      <c r="C623">
        <v>207.51883000000001</v>
      </c>
      <c r="D623">
        <v>300.51178700000003</v>
      </c>
      <c r="E623">
        <v>1</v>
      </c>
      <c r="F623">
        <v>1</v>
      </c>
      <c r="G623">
        <v>0</v>
      </c>
      <c r="H623">
        <v>0</v>
      </c>
      <c r="J623" t="s">
        <v>0</v>
      </c>
      <c r="K623" t="s">
        <v>61</v>
      </c>
      <c r="L623">
        <v>0</v>
      </c>
      <c r="M623" t="s">
        <v>52</v>
      </c>
      <c r="N623">
        <v>1</v>
      </c>
      <c r="O623" t="s">
        <v>63</v>
      </c>
      <c r="P623" s="2">
        <v>0.47500000000000003</v>
      </c>
      <c r="Q623">
        <f>0.000159327*3600</f>
        <v>0.57357720000000001</v>
      </c>
      <c r="R623">
        <f>0.0001209105*3600</f>
        <v>0.43527779999999999</v>
      </c>
    </row>
    <row r="624" spans="1:18" x14ac:dyDescent="0.3">
      <c r="A624" t="s">
        <v>48</v>
      </c>
      <c r="B624">
        <v>8121</v>
      </c>
      <c r="C624">
        <v>207.52010000000001</v>
      </c>
      <c r="D624">
        <v>300.51180199999999</v>
      </c>
      <c r="E624">
        <v>1</v>
      </c>
      <c r="F624">
        <v>1</v>
      </c>
      <c r="G624">
        <v>0</v>
      </c>
      <c r="H624">
        <v>0</v>
      </c>
      <c r="J624" t="s">
        <v>0</v>
      </c>
      <c r="K624" t="s">
        <v>61</v>
      </c>
      <c r="L624">
        <v>0</v>
      </c>
      <c r="M624" t="s">
        <v>52</v>
      </c>
      <c r="N624">
        <v>1</v>
      </c>
      <c r="O624" t="s">
        <v>63</v>
      </c>
      <c r="P624" s="2">
        <v>0.47500000000000003</v>
      </c>
      <c r="Q624">
        <f>0.0000503735*3600</f>
        <v>0.18134459999999999</v>
      </c>
      <c r="R624">
        <f>0.0001341019*3600</f>
        <v>0.48276684000000003</v>
      </c>
    </row>
    <row r="625" spans="1:18" x14ac:dyDescent="0.3">
      <c r="A625" t="s">
        <v>48</v>
      </c>
      <c r="B625">
        <v>8122</v>
      </c>
      <c r="C625">
        <v>207.52007499999999</v>
      </c>
      <c r="D625">
        <v>300.511819</v>
      </c>
      <c r="E625">
        <v>1</v>
      </c>
      <c r="F625">
        <v>1</v>
      </c>
      <c r="G625">
        <v>0</v>
      </c>
      <c r="H625">
        <v>0</v>
      </c>
      <c r="J625" t="s">
        <v>0</v>
      </c>
      <c r="K625" t="s">
        <v>61</v>
      </c>
      <c r="L625">
        <v>0</v>
      </c>
      <c r="M625" t="s">
        <v>52</v>
      </c>
      <c r="N625">
        <v>1</v>
      </c>
      <c r="O625" t="s">
        <v>63</v>
      </c>
      <c r="P625" s="2">
        <v>0.47500000000000003</v>
      </c>
      <c r="Q625">
        <f>0.0001694327*3600</f>
        <v>0.60995772000000004</v>
      </c>
      <c r="R625">
        <f>0.0001581529*3600</f>
        <v>0.56935044000000001</v>
      </c>
    </row>
    <row r="626" spans="1:18" x14ac:dyDescent="0.3">
      <c r="A626" t="s">
        <v>48</v>
      </c>
      <c r="B626">
        <v>8123</v>
      </c>
      <c r="C626">
        <v>207.519991</v>
      </c>
      <c r="D626">
        <v>300.51171799999997</v>
      </c>
      <c r="E626">
        <v>1</v>
      </c>
      <c r="F626">
        <v>1</v>
      </c>
      <c r="G626">
        <v>0</v>
      </c>
      <c r="H626">
        <v>0</v>
      </c>
      <c r="J626" t="s">
        <v>0</v>
      </c>
      <c r="K626" t="s">
        <v>61</v>
      </c>
      <c r="L626">
        <v>0</v>
      </c>
      <c r="M626" t="s">
        <v>52</v>
      </c>
      <c r="N626">
        <v>1</v>
      </c>
      <c r="O626" t="s">
        <v>63</v>
      </c>
      <c r="P626" s="2">
        <v>0.47500000000000003</v>
      </c>
      <c r="Q626">
        <f>-0.0000390491*3600</f>
        <v>-0.14057676</v>
      </c>
      <c r="R626">
        <f>0.0000721035*3600</f>
        <v>0.25957260000000004</v>
      </c>
    </row>
    <row r="627" spans="1:18" x14ac:dyDescent="0.3">
      <c r="A627" t="s">
        <v>48</v>
      </c>
      <c r="B627">
        <v>8124</v>
      </c>
      <c r="C627">
        <v>207.520737</v>
      </c>
      <c r="D627">
        <v>300.511751</v>
      </c>
      <c r="E627">
        <v>1</v>
      </c>
      <c r="F627">
        <v>1</v>
      </c>
      <c r="G627">
        <v>0</v>
      </c>
      <c r="H627">
        <v>0</v>
      </c>
      <c r="J627" t="s">
        <v>0</v>
      </c>
      <c r="K627" t="s">
        <v>61</v>
      </c>
      <c r="L627">
        <v>0</v>
      </c>
      <c r="M627" t="s">
        <v>52</v>
      </c>
      <c r="N627">
        <v>1</v>
      </c>
      <c r="O627" t="s">
        <v>63</v>
      </c>
      <c r="P627" s="2">
        <v>0.47500000000000003</v>
      </c>
      <c r="Q627">
        <f>0.0000730089*3600</f>
        <v>0.26283203999999999</v>
      </c>
      <c r="R627">
        <f>0.0000504845*3600</f>
        <v>0.18174419999999999</v>
      </c>
    </row>
    <row r="628" spans="1:18" x14ac:dyDescent="0.3">
      <c r="A628" t="s">
        <v>48</v>
      </c>
      <c r="B628">
        <v>8125</v>
      </c>
      <c r="C628">
        <v>207.51983999999999</v>
      </c>
      <c r="D628">
        <v>300.51175699999999</v>
      </c>
      <c r="E628">
        <v>1</v>
      </c>
      <c r="F628">
        <v>1</v>
      </c>
      <c r="G628">
        <v>0</v>
      </c>
      <c r="H628">
        <v>0</v>
      </c>
      <c r="J628" t="s">
        <v>0</v>
      </c>
      <c r="K628" t="s">
        <v>61</v>
      </c>
      <c r="L628">
        <v>0</v>
      </c>
      <c r="M628" t="s">
        <v>52</v>
      </c>
      <c r="N628">
        <v>1</v>
      </c>
      <c r="O628" t="s">
        <v>63</v>
      </c>
      <c r="P628" s="2">
        <v>0.47500000000000003</v>
      </c>
      <c r="Q628">
        <f>0.0001372769*3600</f>
        <v>0.49419683999999997</v>
      </c>
      <c r="R628">
        <f>0.0000752106*3600</f>
        <v>0.27075815999999997</v>
      </c>
    </row>
    <row r="629" spans="1:18" x14ac:dyDescent="0.3">
      <c r="A629" t="s">
        <v>48</v>
      </c>
      <c r="B629">
        <v>8126</v>
      </c>
      <c r="C629">
        <v>207.519882</v>
      </c>
      <c r="D629">
        <v>300.51183700000001</v>
      </c>
      <c r="E629">
        <v>1</v>
      </c>
      <c r="F629">
        <v>1</v>
      </c>
      <c r="G629">
        <v>0</v>
      </c>
      <c r="H629">
        <v>0</v>
      </c>
      <c r="J629" t="s">
        <v>0</v>
      </c>
      <c r="K629" t="s">
        <v>61</v>
      </c>
      <c r="L629">
        <v>0</v>
      </c>
      <c r="M629" t="s">
        <v>52</v>
      </c>
      <c r="N629">
        <v>1</v>
      </c>
      <c r="O629" t="s">
        <v>63</v>
      </c>
      <c r="P629" s="2">
        <v>0.47500000000000003</v>
      </c>
      <c r="Q629">
        <f>0.0002045255*3600</f>
        <v>0.73629180000000005</v>
      </c>
      <c r="R629">
        <f>0.0001556806*3600</f>
        <v>0.56045015999999992</v>
      </c>
    </row>
    <row r="630" spans="1:18" x14ac:dyDescent="0.3">
      <c r="A630" t="s">
        <v>48</v>
      </c>
      <c r="B630">
        <v>8127</v>
      </c>
      <c r="C630">
        <v>207.520274</v>
      </c>
      <c r="D630">
        <v>300.51176500000003</v>
      </c>
      <c r="E630">
        <v>1</v>
      </c>
      <c r="F630">
        <v>1</v>
      </c>
      <c r="G630">
        <v>0</v>
      </c>
      <c r="H630">
        <v>0</v>
      </c>
      <c r="J630" t="s">
        <v>0</v>
      </c>
      <c r="K630" t="s">
        <v>61</v>
      </c>
      <c r="L630">
        <v>0</v>
      </c>
      <c r="M630" t="s">
        <v>52</v>
      </c>
      <c r="N630">
        <v>1</v>
      </c>
      <c r="O630" t="s">
        <v>63</v>
      </c>
      <c r="P630" s="2">
        <v>0.47500000000000003</v>
      </c>
      <c r="Q630">
        <f>0.0002259287*3600</f>
        <v>0.81334331999999998</v>
      </c>
      <c r="R630">
        <f>0.0001087993*3600</f>
        <v>0.39167747999999997</v>
      </c>
    </row>
    <row r="631" spans="1:18" x14ac:dyDescent="0.3">
      <c r="A631" t="s">
        <v>48</v>
      </c>
      <c r="B631">
        <v>8128</v>
      </c>
      <c r="C631">
        <v>207.52043499999999</v>
      </c>
      <c r="D631">
        <v>300.511819</v>
      </c>
      <c r="E631">
        <v>1</v>
      </c>
      <c r="F631">
        <v>1</v>
      </c>
      <c r="G631">
        <v>0</v>
      </c>
      <c r="H631">
        <v>0</v>
      </c>
      <c r="J631" t="s">
        <v>0</v>
      </c>
      <c r="K631" t="s">
        <v>61</v>
      </c>
      <c r="L631">
        <v>0</v>
      </c>
      <c r="M631" t="s">
        <v>52</v>
      </c>
      <c r="N631">
        <v>1</v>
      </c>
      <c r="O631" t="s">
        <v>63</v>
      </c>
      <c r="P631" s="2">
        <v>0.47569444444444442</v>
      </c>
      <c r="Q631">
        <f>0.0000748061*3600</f>
        <v>0.26930196000000001</v>
      </c>
      <c r="R631">
        <f>0.0001578641*3600</f>
        <v>0.56831076000000003</v>
      </c>
    </row>
    <row r="632" spans="1:18" x14ac:dyDescent="0.3">
      <c r="A632" t="s">
        <v>48</v>
      </c>
      <c r="B632">
        <v>8129</v>
      </c>
      <c r="C632">
        <v>207.52026000000001</v>
      </c>
      <c r="D632">
        <v>300.51181100000002</v>
      </c>
      <c r="E632">
        <v>1</v>
      </c>
      <c r="F632">
        <v>1</v>
      </c>
      <c r="G632">
        <v>0</v>
      </c>
      <c r="H632">
        <v>0</v>
      </c>
      <c r="J632" t="s">
        <v>0</v>
      </c>
      <c r="K632" t="s">
        <v>61</v>
      </c>
      <c r="L632">
        <v>0</v>
      </c>
      <c r="M632" t="s">
        <v>52</v>
      </c>
      <c r="N632">
        <v>1</v>
      </c>
      <c r="O632" t="s">
        <v>63</v>
      </c>
      <c r="P632" s="2">
        <v>0.47569444444444442</v>
      </c>
      <c r="Q632">
        <f>-0.0000623118*3600</f>
        <v>-0.22432247999999999</v>
      </c>
      <c r="R632">
        <f>0.0001377013*3600</f>
        <v>0.49572467999999997</v>
      </c>
    </row>
    <row r="633" spans="1:18" x14ac:dyDescent="0.3">
      <c r="A633" t="s">
        <v>48</v>
      </c>
      <c r="B633">
        <v>8130</v>
      </c>
      <c r="C633">
        <v>207.52036100000001</v>
      </c>
      <c r="D633">
        <v>300.51195300000001</v>
      </c>
      <c r="E633">
        <v>1</v>
      </c>
      <c r="F633">
        <v>1</v>
      </c>
      <c r="G633">
        <v>0</v>
      </c>
      <c r="H633">
        <v>0</v>
      </c>
      <c r="J633" t="s">
        <v>0</v>
      </c>
      <c r="K633" t="s">
        <v>61</v>
      </c>
      <c r="L633">
        <v>0</v>
      </c>
      <c r="M633" t="s">
        <v>52</v>
      </c>
      <c r="N633">
        <v>1</v>
      </c>
      <c r="O633" t="s">
        <v>63</v>
      </c>
      <c r="P633" s="2">
        <v>0.47569444444444442</v>
      </c>
      <c r="Q633">
        <f>0.0001711332*3600</f>
        <v>0.61607951999999999</v>
      </c>
      <c r="R633">
        <f>0.0002712749*3600</f>
        <v>0.97658963999999993</v>
      </c>
    </row>
    <row r="634" spans="1:18" x14ac:dyDescent="0.3">
      <c r="A634" t="s">
        <v>48</v>
      </c>
      <c r="B634">
        <v>8131</v>
      </c>
      <c r="C634">
        <v>207.52051399999999</v>
      </c>
      <c r="D634">
        <v>300.51189099999999</v>
      </c>
      <c r="E634">
        <v>1</v>
      </c>
      <c r="F634">
        <v>1</v>
      </c>
      <c r="G634">
        <v>0</v>
      </c>
      <c r="H634">
        <v>0</v>
      </c>
      <c r="J634" t="s">
        <v>0</v>
      </c>
      <c r="K634" t="s">
        <v>61</v>
      </c>
      <c r="L634">
        <v>0</v>
      </c>
      <c r="M634" t="s">
        <v>52</v>
      </c>
      <c r="N634">
        <v>1</v>
      </c>
      <c r="O634" t="s">
        <v>63</v>
      </c>
      <c r="P634" s="2">
        <v>0.47569444444444442</v>
      </c>
      <c r="Q634">
        <f>0.0000961451*3600</f>
        <v>0.34612236000000002</v>
      </c>
      <c r="R634">
        <f>0.0002277601*3600</f>
        <v>0.81993636000000003</v>
      </c>
    </row>
    <row r="635" spans="1:18" x14ac:dyDescent="0.3">
      <c r="A635" t="s">
        <v>48</v>
      </c>
      <c r="B635">
        <v>8132</v>
      </c>
      <c r="C635">
        <v>207.52018799999999</v>
      </c>
      <c r="D635">
        <v>300.51176500000003</v>
      </c>
      <c r="E635">
        <v>1</v>
      </c>
      <c r="F635">
        <v>1</v>
      </c>
      <c r="G635">
        <v>0</v>
      </c>
      <c r="H635">
        <v>0</v>
      </c>
      <c r="J635" t="s">
        <v>0</v>
      </c>
      <c r="K635" t="s">
        <v>61</v>
      </c>
      <c r="L635">
        <v>0</v>
      </c>
      <c r="M635" t="s">
        <v>52</v>
      </c>
      <c r="N635">
        <v>1</v>
      </c>
      <c r="O635" t="s">
        <v>63</v>
      </c>
      <c r="P635" s="2">
        <v>0.47569444444444442</v>
      </c>
      <c r="Q635">
        <f>-0.0000038785*3600</f>
        <v>-1.39626E-2</v>
      </c>
      <c r="R635">
        <f>0.00010643*3600</f>
        <v>0.38314799999999999</v>
      </c>
    </row>
    <row r="636" spans="1:18" x14ac:dyDescent="0.3">
      <c r="A636" t="s">
        <v>48</v>
      </c>
      <c r="B636">
        <v>8133</v>
      </c>
      <c r="C636">
        <v>207.52092999999999</v>
      </c>
      <c r="D636">
        <v>300.51174800000001</v>
      </c>
      <c r="E636">
        <v>1</v>
      </c>
      <c r="F636">
        <v>1</v>
      </c>
      <c r="G636">
        <v>0</v>
      </c>
      <c r="H636">
        <v>0</v>
      </c>
      <c r="J636" t="s">
        <v>0</v>
      </c>
      <c r="K636" t="s">
        <v>61</v>
      </c>
      <c r="L636">
        <v>0</v>
      </c>
      <c r="M636" t="s">
        <v>52</v>
      </c>
      <c r="N636">
        <v>1</v>
      </c>
      <c r="O636" t="s">
        <v>63</v>
      </c>
      <c r="P636" s="2">
        <v>0.47569444444444442</v>
      </c>
      <c r="Q636">
        <f>0.0000223319*3600</f>
        <v>8.0394839999999995E-2</v>
      </c>
      <c r="R636">
        <f>0.0000720798*3600</f>
        <v>0.25948727999999999</v>
      </c>
    </row>
    <row r="637" spans="1:18" x14ac:dyDescent="0.3">
      <c r="A637" t="s">
        <v>48</v>
      </c>
      <c r="B637">
        <v>8134</v>
      </c>
      <c r="C637">
        <v>207.52104299999999</v>
      </c>
      <c r="D637">
        <v>300.51183200000003</v>
      </c>
      <c r="E637">
        <v>1</v>
      </c>
      <c r="F637">
        <v>1</v>
      </c>
      <c r="G637">
        <v>0</v>
      </c>
      <c r="H637">
        <v>0</v>
      </c>
      <c r="J637" t="s">
        <v>0</v>
      </c>
      <c r="K637" t="s">
        <v>61</v>
      </c>
      <c r="L637">
        <v>0</v>
      </c>
      <c r="M637" t="s">
        <v>52</v>
      </c>
      <c r="N637">
        <v>1</v>
      </c>
      <c r="O637" t="s">
        <v>63</v>
      </c>
      <c r="P637" s="2">
        <v>0.47569444444444442</v>
      </c>
      <c r="Q637">
        <f>0.0001712279*3600</f>
        <v>0.61642043999999996</v>
      </c>
      <c r="R637">
        <f>0.0001576934*3600</f>
        <v>0.56769624000000007</v>
      </c>
    </row>
    <row r="638" spans="1:18" x14ac:dyDescent="0.3">
      <c r="A638" t="s">
        <v>48</v>
      </c>
      <c r="B638">
        <v>8135</v>
      </c>
      <c r="C638">
        <v>207.520535</v>
      </c>
      <c r="D638">
        <v>300.51176199999998</v>
      </c>
      <c r="E638">
        <v>1</v>
      </c>
      <c r="F638">
        <v>1</v>
      </c>
      <c r="G638">
        <v>0</v>
      </c>
      <c r="H638">
        <v>0</v>
      </c>
      <c r="J638" t="s">
        <v>0</v>
      </c>
      <c r="K638" t="s">
        <v>61</v>
      </c>
      <c r="L638">
        <v>0</v>
      </c>
      <c r="M638" t="s">
        <v>52</v>
      </c>
      <c r="N638">
        <v>1</v>
      </c>
      <c r="O638" t="s">
        <v>63</v>
      </c>
      <c r="P638" s="2">
        <v>0.47569444444444442</v>
      </c>
      <c r="Q638">
        <f>0.0001320428*3600</f>
        <v>0.47535407999999996</v>
      </c>
      <c r="R638">
        <f>0.0000896792*3600</f>
        <v>0.32284511999999999</v>
      </c>
    </row>
    <row r="639" spans="1:18" x14ac:dyDescent="0.3">
      <c r="A639" t="s">
        <v>48</v>
      </c>
      <c r="B639">
        <v>8136</v>
      </c>
      <c r="C639">
        <v>207.52015599999999</v>
      </c>
      <c r="D639">
        <v>300.51179300000001</v>
      </c>
      <c r="E639">
        <v>1</v>
      </c>
      <c r="F639">
        <v>1</v>
      </c>
      <c r="G639">
        <v>0</v>
      </c>
      <c r="H639">
        <v>0</v>
      </c>
      <c r="J639" t="s">
        <v>0</v>
      </c>
      <c r="K639" t="s">
        <v>61</v>
      </c>
      <c r="L639">
        <v>0</v>
      </c>
      <c r="M639" t="s">
        <v>52</v>
      </c>
      <c r="N639">
        <v>1</v>
      </c>
      <c r="O639" t="s">
        <v>63</v>
      </c>
      <c r="P639" s="2">
        <v>0.47569444444444442</v>
      </c>
      <c r="Q639">
        <f>0.0001167415*3600</f>
        <v>0.42026939999999996</v>
      </c>
      <c r="R639">
        <f>0.0001286741*3600</f>
        <v>0.46322675999999996</v>
      </c>
    </row>
    <row r="640" spans="1:18" x14ac:dyDescent="0.3">
      <c r="A640" t="s">
        <v>48</v>
      </c>
      <c r="B640">
        <v>8137</v>
      </c>
      <c r="C640">
        <v>207.52076</v>
      </c>
      <c r="D640">
        <v>300.51186100000001</v>
      </c>
      <c r="E640">
        <v>1</v>
      </c>
      <c r="F640">
        <v>1</v>
      </c>
      <c r="G640">
        <v>0</v>
      </c>
      <c r="H640">
        <v>0</v>
      </c>
      <c r="J640" t="s">
        <v>0</v>
      </c>
      <c r="K640" t="s">
        <v>61</v>
      </c>
      <c r="L640">
        <v>0</v>
      </c>
      <c r="M640" t="s">
        <v>52</v>
      </c>
      <c r="N640">
        <v>1</v>
      </c>
      <c r="O640" t="s">
        <v>63</v>
      </c>
      <c r="P640" s="2">
        <v>0.47569444444444442</v>
      </c>
      <c r="Q640">
        <f>0.0001705883*3600</f>
        <v>0.61411788</v>
      </c>
      <c r="R640">
        <f>0.0001976767*3600</f>
        <v>0.71163611999999998</v>
      </c>
    </row>
    <row r="641" spans="1:18" x14ac:dyDescent="0.3">
      <c r="A641" t="s">
        <v>48</v>
      </c>
      <c r="B641">
        <v>8138</v>
      </c>
      <c r="C641">
        <v>207.52098899999999</v>
      </c>
      <c r="D641">
        <v>300.51190000000003</v>
      </c>
      <c r="E641">
        <v>1</v>
      </c>
      <c r="F641">
        <v>1</v>
      </c>
      <c r="G641">
        <v>0</v>
      </c>
      <c r="H641">
        <v>0</v>
      </c>
      <c r="J641" t="s">
        <v>0</v>
      </c>
      <c r="K641" t="s">
        <v>61</v>
      </c>
      <c r="L641">
        <v>0</v>
      </c>
      <c r="M641" t="s">
        <v>52</v>
      </c>
      <c r="N641">
        <v>1</v>
      </c>
      <c r="O641" t="s">
        <v>63</v>
      </c>
      <c r="P641" s="2">
        <v>0.47638888888888892</v>
      </c>
      <c r="Q641">
        <f>0.000099693*3600</f>
        <v>0.35889479999999996</v>
      </c>
      <c r="R641">
        <f>0.0002232952*3600</f>
        <v>0.80386272000000003</v>
      </c>
    </row>
    <row r="642" spans="1:18" x14ac:dyDescent="0.3">
      <c r="A642" t="s">
        <v>48</v>
      </c>
      <c r="B642">
        <v>8139</v>
      </c>
      <c r="C642">
        <v>207.521074</v>
      </c>
      <c r="D642">
        <v>300.511909</v>
      </c>
      <c r="E642">
        <v>1</v>
      </c>
      <c r="F642">
        <v>1</v>
      </c>
      <c r="G642">
        <v>0</v>
      </c>
      <c r="H642">
        <v>0</v>
      </c>
      <c r="J642" t="s">
        <v>0</v>
      </c>
      <c r="K642" t="s">
        <v>61</v>
      </c>
      <c r="L642">
        <v>0</v>
      </c>
      <c r="M642" t="s">
        <v>52</v>
      </c>
      <c r="N642">
        <v>1</v>
      </c>
      <c r="O642" t="s">
        <v>63</v>
      </c>
      <c r="P642" s="2">
        <v>0.47638888888888892</v>
      </c>
      <c r="Q642">
        <f>0.0002319913*3600</f>
        <v>0.83516868</v>
      </c>
      <c r="R642">
        <f>0.000231826*3600</f>
        <v>0.83457360000000003</v>
      </c>
    </row>
    <row r="643" spans="1:18" x14ac:dyDescent="0.3">
      <c r="A643" t="s">
        <v>48</v>
      </c>
      <c r="B643">
        <v>8140</v>
      </c>
      <c r="C643">
        <v>207.520713</v>
      </c>
      <c r="D643">
        <v>300.511796</v>
      </c>
      <c r="E643">
        <v>1</v>
      </c>
      <c r="F643">
        <v>1</v>
      </c>
      <c r="G643">
        <v>0</v>
      </c>
      <c r="H643">
        <v>0</v>
      </c>
      <c r="J643" t="s">
        <v>0</v>
      </c>
      <c r="K643" t="s">
        <v>61</v>
      </c>
      <c r="L643">
        <v>0</v>
      </c>
      <c r="M643" t="s">
        <v>52</v>
      </c>
      <c r="N643">
        <v>1</v>
      </c>
      <c r="O643" t="s">
        <v>63</v>
      </c>
      <c r="P643" s="2">
        <v>0.47638888888888892</v>
      </c>
      <c r="Q643">
        <f>0.0001478548*3600</f>
        <v>0.53227727999999996</v>
      </c>
      <c r="R643">
        <f>0.0001446223*3600</f>
        <v>0.52064028000000007</v>
      </c>
    </row>
    <row r="644" spans="1:18" x14ac:dyDescent="0.3">
      <c r="A644" t="s">
        <v>48</v>
      </c>
      <c r="B644">
        <v>8141</v>
      </c>
      <c r="C644">
        <v>207.520003</v>
      </c>
      <c r="D644">
        <v>300.51186300000001</v>
      </c>
      <c r="E644">
        <v>1</v>
      </c>
      <c r="F644">
        <v>1</v>
      </c>
      <c r="G644">
        <v>0</v>
      </c>
      <c r="H644">
        <v>0</v>
      </c>
      <c r="J644" t="s">
        <v>0</v>
      </c>
      <c r="K644" t="s">
        <v>61</v>
      </c>
      <c r="L644">
        <v>0</v>
      </c>
      <c r="M644" t="s">
        <v>52</v>
      </c>
      <c r="N644">
        <v>1</v>
      </c>
      <c r="O644" t="s">
        <v>63</v>
      </c>
      <c r="P644" s="2">
        <v>0.47638888888888892</v>
      </c>
      <c r="Q644">
        <f>0.0001979345*3600</f>
        <v>0.71256419999999998</v>
      </c>
      <c r="R644">
        <f>0.000185645*3600</f>
        <v>0.66832199999999997</v>
      </c>
    </row>
    <row r="645" spans="1:18" x14ac:dyDescent="0.3">
      <c r="A645" t="s">
        <v>48</v>
      </c>
      <c r="B645">
        <v>8142</v>
      </c>
      <c r="C645">
        <v>207.51931200000001</v>
      </c>
      <c r="D645">
        <v>300.51183600000002</v>
      </c>
      <c r="E645">
        <v>1</v>
      </c>
      <c r="F645">
        <v>1</v>
      </c>
      <c r="G645">
        <v>0</v>
      </c>
      <c r="H645">
        <v>0</v>
      </c>
      <c r="J645" t="s">
        <v>0</v>
      </c>
      <c r="K645" t="s">
        <v>61</v>
      </c>
      <c r="L645">
        <v>0</v>
      </c>
      <c r="M645" t="s">
        <v>52</v>
      </c>
      <c r="N645">
        <v>1</v>
      </c>
      <c r="O645" t="s">
        <v>63</v>
      </c>
      <c r="P645" s="2">
        <v>0.47638888888888892</v>
      </c>
      <c r="Q645">
        <f>0.0001579593*3600</f>
        <v>0.56865347999999993</v>
      </c>
      <c r="R645">
        <f>0.0001776248*3600</f>
        <v>0.63944928000000001</v>
      </c>
    </row>
    <row r="646" spans="1:18" x14ac:dyDescent="0.3">
      <c r="A646" t="s">
        <v>48</v>
      </c>
      <c r="B646">
        <v>8143</v>
      </c>
      <c r="C646">
        <v>207.520343</v>
      </c>
      <c r="D646">
        <v>300.51185099999998</v>
      </c>
      <c r="E646">
        <v>1</v>
      </c>
      <c r="F646">
        <v>1</v>
      </c>
      <c r="G646">
        <v>0</v>
      </c>
      <c r="H646">
        <v>0</v>
      </c>
      <c r="J646" t="s">
        <v>0</v>
      </c>
      <c r="K646" t="s">
        <v>61</v>
      </c>
      <c r="L646">
        <v>0</v>
      </c>
      <c r="M646" t="s">
        <v>52</v>
      </c>
      <c r="N646">
        <v>1</v>
      </c>
      <c r="O646" t="s">
        <v>63</v>
      </c>
      <c r="P646" s="2">
        <v>0.47638888888888892</v>
      </c>
      <c r="Q646">
        <f>0.0000818961*3600</f>
        <v>0.29482596</v>
      </c>
      <c r="R646">
        <f>0.0001623467*3600</f>
        <v>0.58444812000000002</v>
      </c>
    </row>
    <row r="647" spans="1:18" x14ac:dyDescent="0.3">
      <c r="A647" t="s">
        <v>48</v>
      </c>
      <c r="B647">
        <v>8144</v>
      </c>
      <c r="C647">
        <v>207.51960399999999</v>
      </c>
      <c r="D647">
        <v>300.51183800000001</v>
      </c>
      <c r="E647">
        <v>1</v>
      </c>
      <c r="F647">
        <v>1</v>
      </c>
      <c r="G647">
        <v>0</v>
      </c>
      <c r="H647">
        <v>0</v>
      </c>
      <c r="J647" t="s">
        <v>0</v>
      </c>
      <c r="K647" t="s">
        <v>61</v>
      </c>
      <c r="L647">
        <v>0</v>
      </c>
      <c r="M647" t="s">
        <v>52</v>
      </c>
      <c r="N647">
        <v>1</v>
      </c>
      <c r="O647" t="s">
        <v>63</v>
      </c>
      <c r="P647" s="2">
        <v>0.47638888888888892</v>
      </c>
      <c r="Q647">
        <f>0.0003220538*3600</f>
        <v>1.15939368</v>
      </c>
      <c r="R647">
        <f>0.0001900226*3600</f>
        <v>0.68408135999999997</v>
      </c>
    </row>
    <row r="648" spans="1:18" x14ac:dyDescent="0.3">
      <c r="A648" t="s">
        <v>48</v>
      </c>
      <c r="B648">
        <v>8145</v>
      </c>
      <c r="C648">
        <v>207.519475</v>
      </c>
      <c r="D648">
        <v>300.51186100000001</v>
      </c>
      <c r="E648">
        <v>1</v>
      </c>
      <c r="F648">
        <v>1</v>
      </c>
      <c r="G648">
        <v>0</v>
      </c>
      <c r="H648">
        <v>0</v>
      </c>
      <c r="J648" t="s">
        <v>0</v>
      </c>
      <c r="K648" t="s">
        <v>61</v>
      </c>
      <c r="L648">
        <v>0</v>
      </c>
      <c r="M648" t="s">
        <v>52</v>
      </c>
      <c r="N648">
        <v>1</v>
      </c>
      <c r="O648" t="s">
        <v>63</v>
      </c>
      <c r="P648" s="2">
        <v>0.47638888888888892</v>
      </c>
      <c r="Q648">
        <f>0.0001531969*3600</f>
        <v>0.55150884</v>
      </c>
      <c r="R648">
        <f>0.0002029192*3600</f>
        <v>0.7305091199999999</v>
      </c>
    </row>
    <row r="649" spans="1:18" x14ac:dyDescent="0.3">
      <c r="A649" t="s">
        <v>48</v>
      </c>
      <c r="B649">
        <v>8146</v>
      </c>
      <c r="C649">
        <v>207.52088699999999</v>
      </c>
      <c r="D649">
        <v>300.51188300000001</v>
      </c>
      <c r="E649">
        <v>1</v>
      </c>
      <c r="F649">
        <v>1</v>
      </c>
      <c r="G649">
        <v>0</v>
      </c>
      <c r="H649">
        <v>0</v>
      </c>
      <c r="J649" t="s">
        <v>0</v>
      </c>
      <c r="K649" t="s">
        <v>61</v>
      </c>
      <c r="L649">
        <v>0</v>
      </c>
      <c r="M649" t="s">
        <v>52</v>
      </c>
      <c r="N649">
        <v>1</v>
      </c>
      <c r="O649" t="s">
        <v>63</v>
      </c>
      <c r="P649" s="2">
        <v>0.47638888888888892</v>
      </c>
      <c r="Q649">
        <f>0.0000731873*3600</f>
        <v>0.26347428000000001</v>
      </c>
      <c r="R649">
        <f>0.0002002596*3600</f>
        <v>0.72093456</v>
      </c>
    </row>
    <row r="650" spans="1:18" x14ac:dyDescent="0.3">
      <c r="A650" t="s">
        <v>48</v>
      </c>
      <c r="B650">
        <v>8147</v>
      </c>
      <c r="C650">
        <v>207.520172</v>
      </c>
      <c r="D650">
        <v>300.51192900000001</v>
      </c>
      <c r="E650">
        <v>1</v>
      </c>
      <c r="F650">
        <v>1</v>
      </c>
      <c r="G650">
        <v>0</v>
      </c>
      <c r="H650">
        <v>0</v>
      </c>
      <c r="J650" t="s">
        <v>0</v>
      </c>
      <c r="K650" t="s">
        <v>61</v>
      </c>
      <c r="L650">
        <v>0</v>
      </c>
      <c r="M650" t="s">
        <v>52</v>
      </c>
      <c r="N650">
        <v>1</v>
      </c>
      <c r="O650" t="s">
        <v>63</v>
      </c>
      <c r="P650" s="2">
        <v>0.47638888888888892</v>
      </c>
      <c r="Q650">
        <f>0.0002630575*3600</f>
        <v>0.94700699999999993</v>
      </c>
      <c r="R650">
        <f>0.0002429256*3600</f>
        <v>0.87453216</v>
      </c>
    </row>
    <row r="651" spans="1:18" x14ac:dyDescent="0.3">
      <c r="A651" t="s">
        <v>48</v>
      </c>
      <c r="B651">
        <v>8148</v>
      </c>
      <c r="C651">
        <v>207.51948899999999</v>
      </c>
      <c r="D651">
        <v>300.51183800000001</v>
      </c>
      <c r="E651">
        <v>1</v>
      </c>
      <c r="F651">
        <v>1</v>
      </c>
      <c r="G651">
        <v>0</v>
      </c>
      <c r="H651">
        <v>0</v>
      </c>
      <c r="J651" t="s">
        <v>0</v>
      </c>
      <c r="K651" t="s">
        <v>61</v>
      </c>
      <c r="L651">
        <v>0</v>
      </c>
      <c r="M651" t="s">
        <v>52</v>
      </c>
      <c r="N651">
        <v>1</v>
      </c>
      <c r="O651" t="s">
        <v>63</v>
      </c>
      <c r="P651" s="2">
        <v>0.47638888888888892</v>
      </c>
      <c r="Q651">
        <f>0.0001556684*3600</f>
        <v>0.56040624000000006</v>
      </c>
      <c r="R651">
        <f>0.0001660499*3600</f>
        <v>0.59777963999999995</v>
      </c>
    </row>
    <row r="652" spans="1:18" x14ac:dyDescent="0.3">
      <c r="A652" t="s">
        <v>48</v>
      </c>
      <c r="B652">
        <v>8149</v>
      </c>
      <c r="C652">
        <v>207.51998</v>
      </c>
      <c r="D652">
        <v>300.51188300000001</v>
      </c>
      <c r="E652">
        <v>1</v>
      </c>
      <c r="F652">
        <v>1</v>
      </c>
      <c r="G652">
        <v>0</v>
      </c>
      <c r="H652">
        <v>0</v>
      </c>
      <c r="J652" t="s">
        <v>0</v>
      </c>
      <c r="K652" t="s">
        <v>61</v>
      </c>
      <c r="L652">
        <v>0</v>
      </c>
      <c r="M652" t="s">
        <v>52</v>
      </c>
      <c r="N652">
        <v>1</v>
      </c>
      <c r="O652" t="s">
        <v>63</v>
      </c>
      <c r="P652" s="2">
        <v>0.47638888888888892</v>
      </c>
      <c r="Q652">
        <f>0.0003226723*3600</f>
        <v>1.1616202800000002</v>
      </c>
      <c r="R652">
        <f>0.0001984111*3600</f>
        <v>0.71427995999999994</v>
      </c>
    </row>
    <row r="653" spans="1:18" x14ac:dyDescent="0.3">
      <c r="A653" t="s">
        <v>48</v>
      </c>
      <c r="B653">
        <v>8150</v>
      </c>
      <c r="C653">
        <v>207.52048099999999</v>
      </c>
      <c r="D653">
        <v>300.511932</v>
      </c>
      <c r="E653">
        <v>1</v>
      </c>
      <c r="F653">
        <v>1</v>
      </c>
      <c r="G653">
        <v>0</v>
      </c>
      <c r="H653">
        <v>0</v>
      </c>
      <c r="J653" t="s">
        <v>0</v>
      </c>
      <c r="K653" t="s">
        <v>61</v>
      </c>
      <c r="L653">
        <v>0</v>
      </c>
      <c r="M653" t="s">
        <v>52</v>
      </c>
      <c r="N653">
        <v>1</v>
      </c>
      <c r="O653" t="s">
        <v>63</v>
      </c>
      <c r="P653" s="2">
        <v>0.4770833333333333</v>
      </c>
      <c r="Q653">
        <f>0.000145893*3600</f>
        <v>0.52521479999999998</v>
      </c>
      <c r="R653">
        <f>0.0002414341*3600</f>
        <v>0.86916276000000003</v>
      </c>
    </row>
    <row r="654" spans="1:18" x14ac:dyDescent="0.3">
      <c r="A654" t="s">
        <v>48</v>
      </c>
      <c r="B654">
        <v>8151</v>
      </c>
      <c r="C654">
        <v>207.52028000000001</v>
      </c>
      <c r="D654">
        <v>300.511909</v>
      </c>
      <c r="E654">
        <v>1</v>
      </c>
      <c r="F654">
        <v>1</v>
      </c>
      <c r="G654">
        <v>0</v>
      </c>
      <c r="H654">
        <v>0</v>
      </c>
      <c r="J654" t="s">
        <v>0</v>
      </c>
      <c r="K654" t="s">
        <v>61</v>
      </c>
      <c r="L654">
        <v>0</v>
      </c>
      <c r="M654" t="s">
        <v>52</v>
      </c>
      <c r="N654">
        <v>1</v>
      </c>
      <c r="O654" t="s">
        <v>63</v>
      </c>
      <c r="P654" s="2">
        <v>0.4770833333333333</v>
      </c>
      <c r="Q654">
        <f>0.0002063903*3600</f>
        <v>0.74300507999999998</v>
      </c>
      <c r="R654">
        <f>0.0002136127*3600</f>
        <v>0.76900572</v>
      </c>
    </row>
    <row r="655" spans="1:18" x14ac:dyDescent="0.3">
      <c r="A655" t="s">
        <v>48</v>
      </c>
      <c r="B655">
        <v>8152</v>
      </c>
      <c r="C655">
        <v>207.51988700000001</v>
      </c>
      <c r="D655">
        <v>300.511957</v>
      </c>
      <c r="E655">
        <v>1</v>
      </c>
      <c r="F655">
        <v>1</v>
      </c>
      <c r="G655">
        <v>0</v>
      </c>
      <c r="H655">
        <v>0</v>
      </c>
      <c r="J655" t="s">
        <v>0</v>
      </c>
      <c r="K655" t="s">
        <v>61</v>
      </c>
      <c r="L655">
        <v>0</v>
      </c>
      <c r="M655" t="s">
        <v>52</v>
      </c>
      <c r="N655">
        <v>1</v>
      </c>
      <c r="O655" t="s">
        <v>63</v>
      </c>
      <c r="P655" s="2">
        <v>0.4770833333333333</v>
      </c>
      <c r="Q655">
        <f>0.0002753667*3600</f>
        <v>0.99132012000000003</v>
      </c>
      <c r="R655">
        <f>0.0002683075*3600</f>
        <v>0.96590700000000007</v>
      </c>
    </row>
    <row r="656" spans="1:18" x14ac:dyDescent="0.3">
      <c r="A656" t="s">
        <v>48</v>
      </c>
      <c r="B656">
        <v>8153</v>
      </c>
      <c r="C656">
        <v>207.520219</v>
      </c>
      <c r="D656">
        <v>300.51190600000001</v>
      </c>
      <c r="E656">
        <v>1</v>
      </c>
      <c r="F656">
        <v>1</v>
      </c>
      <c r="G656">
        <v>0</v>
      </c>
      <c r="H656">
        <v>0</v>
      </c>
      <c r="J656" t="s">
        <v>0</v>
      </c>
      <c r="K656" t="s">
        <v>61</v>
      </c>
      <c r="L656">
        <v>0</v>
      </c>
      <c r="M656" t="s">
        <v>52</v>
      </c>
      <c r="N656">
        <v>1</v>
      </c>
      <c r="O656" t="s">
        <v>63</v>
      </c>
      <c r="P656" s="2">
        <v>0.4770833333333333</v>
      </c>
      <c r="Q656">
        <f>0.0001781568*3600</f>
        <v>0.64136448000000001</v>
      </c>
      <c r="R656">
        <f>0.0002403586*3600</f>
        <v>0.86529095999999994</v>
      </c>
    </row>
    <row r="657" spans="1:18" x14ac:dyDescent="0.3">
      <c r="A657" t="s">
        <v>48</v>
      </c>
      <c r="B657">
        <v>8154</v>
      </c>
      <c r="C657">
        <v>207.520286</v>
      </c>
      <c r="D657">
        <v>300.51190200000002</v>
      </c>
      <c r="E657">
        <v>1</v>
      </c>
      <c r="F657">
        <v>1</v>
      </c>
      <c r="G657">
        <v>0</v>
      </c>
      <c r="H657">
        <v>0</v>
      </c>
      <c r="J657" t="s">
        <v>0</v>
      </c>
      <c r="K657" t="s">
        <v>61</v>
      </c>
      <c r="L657">
        <v>0</v>
      </c>
      <c r="M657" t="s">
        <v>52</v>
      </c>
      <c r="N657">
        <v>1</v>
      </c>
      <c r="O657" t="s">
        <v>63</v>
      </c>
      <c r="P657" s="2">
        <v>0.4770833333333333</v>
      </c>
      <c r="Q657">
        <f>0.0001757656*3600</f>
        <v>0.63275616000000001</v>
      </c>
      <c r="R657">
        <f>0.0002100549*3600</f>
        <v>0.75619764</v>
      </c>
    </row>
    <row r="658" spans="1:18" x14ac:dyDescent="0.3">
      <c r="A658" t="s">
        <v>48</v>
      </c>
      <c r="B658">
        <v>8155</v>
      </c>
      <c r="C658">
        <v>207.52109899999999</v>
      </c>
      <c r="D658">
        <v>300.51197300000001</v>
      </c>
      <c r="E658">
        <v>1</v>
      </c>
      <c r="F658">
        <v>1</v>
      </c>
      <c r="G658">
        <v>0</v>
      </c>
      <c r="H658">
        <v>0</v>
      </c>
      <c r="J658" t="s">
        <v>0</v>
      </c>
      <c r="K658" t="s">
        <v>61</v>
      </c>
      <c r="L658">
        <v>0</v>
      </c>
      <c r="M658" t="s">
        <v>52</v>
      </c>
      <c r="N658">
        <v>1</v>
      </c>
      <c r="O658" t="s">
        <v>63</v>
      </c>
      <c r="P658" s="2">
        <v>0.4770833333333333</v>
      </c>
      <c r="Q658">
        <f>0.0003814721*3600</f>
        <v>1.37329956</v>
      </c>
      <c r="R658">
        <f>0.00028129*3600</f>
        <v>1.0126440000000001</v>
      </c>
    </row>
    <row r="659" spans="1:18" x14ac:dyDescent="0.3">
      <c r="A659" t="s">
        <v>48</v>
      </c>
      <c r="B659">
        <v>8156</v>
      </c>
      <c r="C659">
        <v>207.520881</v>
      </c>
      <c r="D659">
        <v>300.51192800000001</v>
      </c>
      <c r="E659">
        <v>1</v>
      </c>
      <c r="F659">
        <v>1</v>
      </c>
      <c r="G659">
        <v>0</v>
      </c>
      <c r="H659">
        <v>0</v>
      </c>
      <c r="J659" t="s">
        <v>0</v>
      </c>
      <c r="K659" t="s">
        <v>61</v>
      </c>
      <c r="L659">
        <v>0</v>
      </c>
      <c r="M659" t="s">
        <v>52</v>
      </c>
      <c r="N659">
        <v>1</v>
      </c>
      <c r="O659" t="s">
        <v>63</v>
      </c>
      <c r="P659" s="2">
        <v>0.4770833333333333</v>
      </c>
      <c r="Q659">
        <f>0.0002344329*3600</f>
        <v>0.84395843999999998</v>
      </c>
      <c r="R659">
        <f>0.0002246392*3600</f>
        <v>0.80870111999999994</v>
      </c>
    </row>
    <row r="660" spans="1:18" x14ac:dyDescent="0.3">
      <c r="A660" t="s">
        <v>48</v>
      </c>
      <c r="B660">
        <v>8157</v>
      </c>
      <c r="C660">
        <v>207.51980499999999</v>
      </c>
      <c r="D660">
        <v>300.511954</v>
      </c>
      <c r="E660">
        <v>1</v>
      </c>
      <c r="F660">
        <v>1</v>
      </c>
      <c r="G660">
        <v>0</v>
      </c>
      <c r="H660">
        <v>0</v>
      </c>
      <c r="J660" t="s">
        <v>0</v>
      </c>
      <c r="K660" t="s">
        <v>61</v>
      </c>
      <c r="L660">
        <v>0</v>
      </c>
      <c r="M660" t="s">
        <v>52</v>
      </c>
      <c r="N660">
        <v>1</v>
      </c>
      <c r="O660" t="s">
        <v>63</v>
      </c>
      <c r="P660" s="2">
        <v>0.4770833333333333</v>
      </c>
      <c r="Q660">
        <f>0.00018794*3600</f>
        <v>0.67658399999999996</v>
      </c>
      <c r="R660">
        <f>0.000261764*3600</f>
        <v>0.94235040000000003</v>
      </c>
    </row>
    <row r="661" spans="1:18" x14ac:dyDescent="0.3">
      <c r="A661" t="s">
        <v>48</v>
      </c>
      <c r="B661">
        <v>7100</v>
      </c>
      <c r="C661">
        <v>207.52659499999999</v>
      </c>
      <c r="D661">
        <v>299.00359800000001</v>
      </c>
      <c r="E661">
        <v>2.044</v>
      </c>
      <c r="F661">
        <v>2.0468999999999999</v>
      </c>
      <c r="G661">
        <v>0</v>
      </c>
      <c r="H661">
        <v>0</v>
      </c>
      <c r="J661" t="s">
        <v>0</v>
      </c>
      <c r="K661" t="s">
        <v>61</v>
      </c>
      <c r="L661">
        <v>3.4000000000000002E-2</v>
      </c>
      <c r="M661" t="s">
        <v>52</v>
      </c>
      <c r="N661">
        <v>1</v>
      </c>
      <c r="O661" t="s">
        <v>53</v>
      </c>
      <c r="P661" s="2">
        <v>0.4777777777777778</v>
      </c>
      <c r="Q661">
        <f>0.0001974488*3600</f>
        <v>0.71081567999999995</v>
      </c>
      <c r="R661">
        <f>0.0000996212*3600</f>
        <v>0.35863632000000001</v>
      </c>
    </row>
    <row r="662" spans="1:18" x14ac:dyDescent="0.3">
      <c r="A662" t="s">
        <v>48</v>
      </c>
      <c r="B662">
        <v>7101</v>
      </c>
      <c r="C662">
        <v>207.52575899999999</v>
      </c>
      <c r="D662">
        <v>300.23181799999998</v>
      </c>
      <c r="E662">
        <v>1</v>
      </c>
      <c r="F662">
        <v>1</v>
      </c>
      <c r="G662">
        <v>0</v>
      </c>
      <c r="H662">
        <v>0</v>
      </c>
      <c r="J662" t="s">
        <v>0</v>
      </c>
      <c r="K662" t="s">
        <v>61</v>
      </c>
      <c r="L662">
        <v>0</v>
      </c>
      <c r="M662" t="s">
        <v>52</v>
      </c>
      <c r="N662">
        <v>1</v>
      </c>
      <c r="O662" t="s">
        <v>63</v>
      </c>
      <c r="P662" s="2">
        <v>0.47847222222222219</v>
      </c>
      <c r="Q662">
        <f>0.0002625235*3600</f>
        <v>0.94508459999999994</v>
      </c>
      <c r="R662">
        <f>0.0002543759*3600</f>
        <v>0.91575324000000013</v>
      </c>
    </row>
    <row r="663" spans="1:18" x14ac:dyDescent="0.3">
      <c r="A663" t="s">
        <v>48</v>
      </c>
      <c r="B663">
        <v>7102</v>
      </c>
      <c r="C663">
        <v>207.525293</v>
      </c>
      <c r="D663">
        <v>300.23183899999998</v>
      </c>
      <c r="E663">
        <v>1</v>
      </c>
      <c r="F663">
        <v>1</v>
      </c>
      <c r="G663">
        <v>0</v>
      </c>
      <c r="H663">
        <v>0</v>
      </c>
      <c r="J663" t="s">
        <v>0</v>
      </c>
      <c r="K663" t="s">
        <v>61</v>
      </c>
      <c r="L663">
        <v>0</v>
      </c>
      <c r="M663" t="s">
        <v>52</v>
      </c>
      <c r="N663">
        <v>1</v>
      </c>
      <c r="O663" t="s">
        <v>63</v>
      </c>
      <c r="P663" s="2">
        <v>0.47847222222222219</v>
      </c>
      <c r="Q663">
        <f>0.0001726728*3600</f>
        <v>0.62162207999999997</v>
      </c>
      <c r="R663">
        <f>0.0002308669*3600</f>
        <v>0.83112083999999997</v>
      </c>
    </row>
    <row r="664" spans="1:18" x14ac:dyDescent="0.3">
      <c r="A664" t="s">
        <v>48</v>
      </c>
      <c r="B664">
        <v>7103</v>
      </c>
      <c r="C664">
        <v>207.52623600000001</v>
      </c>
      <c r="D664">
        <v>300.231989</v>
      </c>
      <c r="E664">
        <v>1</v>
      </c>
      <c r="F664">
        <v>1</v>
      </c>
      <c r="G664">
        <v>0</v>
      </c>
      <c r="H664">
        <v>0</v>
      </c>
      <c r="J664" t="s">
        <v>0</v>
      </c>
      <c r="K664" t="s">
        <v>61</v>
      </c>
      <c r="L664">
        <v>0</v>
      </c>
      <c r="M664" t="s">
        <v>52</v>
      </c>
      <c r="N664">
        <v>1</v>
      </c>
      <c r="O664" t="s">
        <v>63</v>
      </c>
      <c r="P664" s="2">
        <v>0.47847222222222219</v>
      </c>
      <c r="Q664">
        <f>0.0004256196*3600</f>
        <v>1.5322305600000001</v>
      </c>
      <c r="R664">
        <f>0.0003599046*3600</f>
        <v>1.2956565600000001</v>
      </c>
    </row>
    <row r="665" spans="1:18" x14ac:dyDescent="0.3">
      <c r="A665" t="s">
        <v>48</v>
      </c>
      <c r="B665">
        <v>7104</v>
      </c>
      <c r="C665">
        <v>207.525138</v>
      </c>
      <c r="D665">
        <v>300.23205999999999</v>
      </c>
      <c r="E665">
        <v>1</v>
      </c>
      <c r="F665">
        <v>1</v>
      </c>
      <c r="G665">
        <v>0</v>
      </c>
      <c r="H665">
        <v>0</v>
      </c>
      <c r="J665" t="s">
        <v>0</v>
      </c>
      <c r="K665" t="s">
        <v>61</v>
      </c>
      <c r="L665">
        <v>0</v>
      </c>
      <c r="M665" t="s">
        <v>52</v>
      </c>
      <c r="N665">
        <v>1</v>
      </c>
      <c r="O665" t="s">
        <v>63</v>
      </c>
      <c r="P665" s="2">
        <v>0.47847222222222219</v>
      </c>
      <c r="Q665">
        <f>0.0004992659*3600</f>
        <v>1.79735724</v>
      </c>
      <c r="R665">
        <f>0.0004222481*3600</f>
        <v>1.5200931600000001</v>
      </c>
    </row>
    <row r="666" spans="1:18" x14ac:dyDescent="0.3">
      <c r="A666" t="s">
        <v>48</v>
      </c>
      <c r="B666">
        <v>7105</v>
      </c>
      <c r="C666">
        <v>207.52527499999999</v>
      </c>
      <c r="D666">
        <v>300.23193199999997</v>
      </c>
      <c r="E666">
        <v>1</v>
      </c>
      <c r="F666">
        <v>1</v>
      </c>
      <c r="G666">
        <v>0</v>
      </c>
      <c r="H666">
        <v>0</v>
      </c>
      <c r="J666" t="s">
        <v>0</v>
      </c>
      <c r="K666" t="s">
        <v>61</v>
      </c>
      <c r="L666">
        <v>0</v>
      </c>
      <c r="M666" t="s">
        <v>52</v>
      </c>
      <c r="N666">
        <v>1</v>
      </c>
      <c r="O666" t="s">
        <v>63</v>
      </c>
      <c r="P666" s="2">
        <v>0.47847222222222219</v>
      </c>
      <c r="Q666">
        <f>0.0003371749*3600</f>
        <v>1.2138296400000002</v>
      </c>
      <c r="R666">
        <f>0.0002760694*3600</f>
        <v>0.9938498400000001</v>
      </c>
    </row>
    <row r="667" spans="1:18" x14ac:dyDescent="0.3">
      <c r="A667" t="s">
        <v>48</v>
      </c>
      <c r="B667">
        <v>7106</v>
      </c>
      <c r="C667">
        <v>207.525507</v>
      </c>
      <c r="D667">
        <v>300.23202099999997</v>
      </c>
      <c r="E667">
        <v>1</v>
      </c>
      <c r="F667">
        <v>1</v>
      </c>
      <c r="G667">
        <v>0</v>
      </c>
      <c r="H667">
        <v>0</v>
      </c>
      <c r="J667" t="s">
        <v>0</v>
      </c>
      <c r="K667" t="s">
        <v>61</v>
      </c>
      <c r="L667">
        <v>0</v>
      </c>
      <c r="M667" t="s">
        <v>52</v>
      </c>
      <c r="N667">
        <v>1</v>
      </c>
      <c r="O667" t="s">
        <v>63</v>
      </c>
      <c r="P667" s="2">
        <v>0.47847222222222219</v>
      </c>
      <c r="Q667">
        <f>0.0004425077*3600</f>
        <v>1.59302772</v>
      </c>
      <c r="R667">
        <f>0.0003586547*3600</f>
        <v>1.2911569199999999</v>
      </c>
    </row>
    <row r="668" spans="1:18" x14ac:dyDescent="0.3">
      <c r="A668" t="s">
        <v>48</v>
      </c>
      <c r="B668">
        <v>7107</v>
      </c>
      <c r="C668">
        <v>207.52442500000001</v>
      </c>
      <c r="D668">
        <v>300.23202099999997</v>
      </c>
      <c r="E668">
        <v>1</v>
      </c>
      <c r="F668">
        <v>1</v>
      </c>
      <c r="G668">
        <v>0</v>
      </c>
      <c r="H668">
        <v>0</v>
      </c>
      <c r="J668" t="s">
        <v>0</v>
      </c>
      <c r="K668" t="s">
        <v>61</v>
      </c>
      <c r="L668">
        <v>0</v>
      </c>
      <c r="M668" t="s">
        <v>52</v>
      </c>
      <c r="N668">
        <v>1</v>
      </c>
      <c r="O668" t="s">
        <v>63</v>
      </c>
      <c r="P668" s="2">
        <v>0.47847222222222219</v>
      </c>
      <c r="Q668">
        <f>0.0003744274*3600</f>
        <v>1.34793864</v>
      </c>
      <c r="R668">
        <f>0.0003555101*3600</f>
        <v>1.27983636</v>
      </c>
    </row>
    <row r="669" spans="1:18" x14ac:dyDescent="0.3">
      <c r="A669" t="s">
        <v>48</v>
      </c>
      <c r="B669">
        <v>7108</v>
      </c>
      <c r="C669">
        <v>207.52654699999999</v>
      </c>
      <c r="D669">
        <v>300.23218800000001</v>
      </c>
      <c r="E669">
        <v>1</v>
      </c>
      <c r="F669">
        <v>1</v>
      </c>
      <c r="G669">
        <v>0</v>
      </c>
      <c r="H669">
        <v>0</v>
      </c>
      <c r="J669" t="s">
        <v>0</v>
      </c>
      <c r="K669" t="s">
        <v>61</v>
      </c>
      <c r="L669">
        <v>0</v>
      </c>
      <c r="M669" t="s">
        <v>52</v>
      </c>
      <c r="N669">
        <v>1</v>
      </c>
      <c r="O669" t="s">
        <v>63</v>
      </c>
      <c r="P669" s="2">
        <v>0.47847222222222219</v>
      </c>
      <c r="Q669">
        <f>0.0005647423*3600</f>
        <v>2.0330722799999998</v>
      </c>
      <c r="R669">
        <f>0.0004893732*3600</f>
        <v>1.7617435200000002</v>
      </c>
    </row>
    <row r="670" spans="1:18" x14ac:dyDescent="0.3">
      <c r="A670" t="s">
        <v>48</v>
      </c>
      <c r="B670">
        <v>7109</v>
      </c>
      <c r="C670">
        <v>207.52633599999999</v>
      </c>
      <c r="D670">
        <v>300.23210699999998</v>
      </c>
      <c r="E670">
        <v>1</v>
      </c>
      <c r="F670">
        <v>1</v>
      </c>
      <c r="G670">
        <v>0</v>
      </c>
      <c r="H670">
        <v>0</v>
      </c>
      <c r="J670" t="s">
        <v>0</v>
      </c>
      <c r="K670" t="s">
        <v>61</v>
      </c>
      <c r="L670">
        <v>0</v>
      </c>
      <c r="M670" t="s">
        <v>52</v>
      </c>
      <c r="N670">
        <v>1</v>
      </c>
      <c r="O670" t="s">
        <v>63</v>
      </c>
      <c r="P670" s="2">
        <v>0.47847222222222219</v>
      </c>
      <c r="Q670">
        <f>0.0006545368*3600</f>
        <v>2.3563324799999998</v>
      </c>
      <c r="R670">
        <f>0.0004040849*3600</f>
        <v>1.45470564</v>
      </c>
    </row>
    <row r="671" spans="1:18" x14ac:dyDescent="0.3">
      <c r="A671" t="s">
        <v>48</v>
      </c>
      <c r="B671">
        <v>7110</v>
      </c>
      <c r="C671">
        <v>207.52563599999999</v>
      </c>
      <c r="D671">
        <v>300.23200700000001</v>
      </c>
      <c r="E671">
        <v>1</v>
      </c>
      <c r="F671">
        <v>1</v>
      </c>
      <c r="G671">
        <v>0</v>
      </c>
      <c r="H671">
        <v>0</v>
      </c>
      <c r="J671" t="s">
        <v>0</v>
      </c>
      <c r="K671" t="s">
        <v>61</v>
      </c>
      <c r="L671">
        <v>0</v>
      </c>
      <c r="M671" t="s">
        <v>52</v>
      </c>
      <c r="N671">
        <v>1</v>
      </c>
      <c r="O671" t="s">
        <v>63</v>
      </c>
      <c r="P671" s="2">
        <v>0.47847222222222219</v>
      </c>
      <c r="Q671">
        <f>0.0002309809*3600</f>
        <v>0.83153124</v>
      </c>
      <c r="R671">
        <f>0.000297206*3600</f>
        <v>1.0699415999999999</v>
      </c>
    </row>
    <row r="672" spans="1:18" x14ac:dyDescent="0.3">
      <c r="A672" t="s">
        <v>48</v>
      </c>
      <c r="B672">
        <v>7111</v>
      </c>
      <c r="C672">
        <v>207.52455699999999</v>
      </c>
      <c r="D672">
        <v>300.23208099999999</v>
      </c>
      <c r="E672">
        <v>1</v>
      </c>
      <c r="F672">
        <v>1</v>
      </c>
      <c r="G672">
        <v>0</v>
      </c>
      <c r="H672">
        <v>0</v>
      </c>
      <c r="J672" t="s">
        <v>0</v>
      </c>
      <c r="K672" t="s">
        <v>61</v>
      </c>
      <c r="L672">
        <v>0</v>
      </c>
      <c r="M672" t="s">
        <v>52</v>
      </c>
      <c r="N672">
        <v>1</v>
      </c>
      <c r="O672" t="s">
        <v>63</v>
      </c>
      <c r="P672" s="2">
        <v>0.47847222222222219</v>
      </c>
      <c r="Q672">
        <f>0.0005529874*3600</f>
        <v>1.9907546400000002</v>
      </c>
      <c r="R672">
        <f>0.0003466143*3600</f>
        <v>1.24781148</v>
      </c>
    </row>
    <row r="673" spans="1:18" x14ac:dyDescent="0.3">
      <c r="A673" t="s">
        <v>48</v>
      </c>
      <c r="B673">
        <v>7112</v>
      </c>
      <c r="C673">
        <v>207.52597800000001</v>
      </c>
      <c r="D673">
        <v>300.232167</v>
      </c>
      <c r="E673">
        <v>1</v>
      </c>
      <c r="F673">
        <v>1</v>
      </c>
      <c r="G673">
        <v>0</v>
      </c>
      <c r="H673">
        <v>0</v>
      </c>
      <c r="J673" t="s">
        <v>0</v>
      </c>
      <c r="K673" t="s">
        <v>61</v>
      </c>
      <c r="L673">
        <v>0</v>
      </c>
      <c r="M673" t="s">
        <v>52</v>
      </c>
      <c r="N673">
        <v>1</v>
      </c>
      <c r="O673" t="s">
        <v>63</v>
      </c>
      <c r="P673" s="2">
        <v>0.47847222222222219</v>
      </c>
      <c r="Q673">
        <f>0.0005294885*3600</f>
        <v>1.9061585999999999</v>
      </c>
      <c r="R673">
        <f>0.0004402808*3600</f>
        <v>1.58501088</v>
      </c>
    </row>
    <row r="674" spans="1:18" x14ac:dyDescent="0.3">
      <c r="A674" t="s">
        <v>48</v>
      </c>
      <c r="B674">
        <v>7113</v>
      </c>
      <c r="C674">
        <v>207.52589499999999</v>
      </c>
      <c r="D674">
        <v>300.23218800000001</v>
      </c>
      <c r="E674">
        <v>1</v>
      </c>
      <c r="F674">
        <v>1</v>
      </c>
      <c r="G674">
        <v>0</v>
      </c>
      <c r="H674">
        <v>0</v>
      </c>
      <c r="J674" t="s">
        <v>0</v>
      </c>
      <c r="K674" t="s">
        <v>61</v>
      </c>
      <c r="L674">
        <v>0</v>
      </c>
      <c r="M674" t="s">
        <v>52</v>
      </c>
      <c r="N674">
        <v>1</v>
      </c>
      <c r="O674" t="s">
        <v>63</v>
      </c>
      <c r="P674" s="2">
        <v>0.47847222222222219</v>
      </c>
      <c r="Q674">
        <f>0.0003990693*3600</f>
        <v>1.43664948</v>
      </c>
      <c r="R674">
        <f>0.0004516416*3600</f>
        <v>1.6259097600000001</v>
      </c>
    </row>
    <row r="675" spans="1:18" x14ac:dyDescent="0.3">
      <c r="A675" t="s">
        <v>48</v>
      </c>
      <c r="B675">
        <v>7114</v>
      </c>
      <c r="C675">
        <v>207.52613299999999</v>
      </c>
      <c r="D675">
        <v>300.23199499999998</v>
      </c>
      <c r="E675">
        <v>1</v>
      </c>
      <c r="F675">
        <v>1</v>
      </c>
      <c r="G675">
        <v>0</v>
      </c>
      <c r="H675">
        <v>0</v>
      </c>
      <c r="J675" t="s">
        <v>0</v>
      </c>
      <c r="K675" t="s">
        <v>61</v>
      </c>
      <c r="L675">
        <v>0</v>
      </c>
      <c r="M675" t="s">
        <v>52</v>
      </c>
      <c r="N675">
        <v>1</v>
      </c>
      <c r="O675" t="s">
        <v>63</v>
      </c>
      <c r="P675" s="2">
        <v>0.47847222222222219</v>
      </c>
      <c r="Q675">
        <f>0.0001991779*3600</f>
        <v>0.71704044</v>
      </c>
      <c r="R675">
        <f>0.0002537587*3600</f>
        <v>0.91353132000000004</v>
      </c>
    </row>
    <row r="676" spans="1:18" x14ac:dyDescent="0.3">
      <c r="A676" t="s">
        <v>48</v>
      </c>
      <c r="B676">
        <v>7115</v>
      </c>
      <c r="C676">
        <v>207.52559099999999</v>
      </c>
      <c r="D676">
        <v>300.23217799999998</v>
      </c>
      <c r="E676">
        <v>1</v>
      </c>
      <c r="F676">
        <v>1</v>
      </c>
      <c r="G676">
        <v>0</v>
      </c>
      <c r="H676">
        <v>0</v>
      </c>
      <c r="J676" t="s">
        <v>0</v>
      </c>
      <c r="K676" t="s">
        <v>61</v>
      </c>
      <c r="L676">
        <v>0</v>
      </c>
      <c r="M676" t="s">
        <v>52</v>
      </c>
      <c r="N676">
        <v>1</v>
      </c>
      <c r="O676" t="s">
        <v>63</v>
      </c>
      <c r="P676" s="2">
        <v>0.47916666666666669</v>
      </c>
      <c r="Q676">
        <f>0.0004861616*3600</f>
        <v>1.75018176</v>
      </c>
      <c r="R676">
        <f>0.0004211175*3600</f>
        <v>1.5160229999999999</v>
      </c>
    </row>
    <row r="677" spans="1:18" x14ac:dyDescent="0.3">
      <c r="A677" t="s">
        <v>48</v>
      </c>
      <c r="B677">
        <v>7116</v>
      </c>
      <c r="C677">
        <v>207.52558200000001</v>
      </c>
      <c r="D677">
        <v>300.23206299999998</v>
      </c>
      <c r="E677">
        <v>1</v>
      </c>
      <c r="F677">
        <v>1</v>
      </c>
      <c r="G677">
        <v>0</v>
      </c>
      <c r="H677">
        <v>0</v>
      </c>
      <c r="J677" t="s">
        <v>0</v>
      </c>
      <c r="K677" t="s">
        <v>61</v>
      </c>
      <c r="L677">
        <v>0</v>
      </c>
      <c r="M677" t="s">
        <v>52</v>
      </c>
      <c r="N677">
        <v>1</v>
      </c>
      <c r="O677" t="s">
        <v>63</v>
      </c>
      <c r="P677" s="2">
        <v>0.47916666666666669</v>
      </c>
      <c r="Q677">
        <f>0.0003705758*3600</f>
        <v>1.3340728799999999</v>
      </c>
      <c r="R677">
        <f>0.0003292382*3600</f>
        <v>1.18525752</v>
      </c>
    </row>
    <row r="678" spans="1:18" x14ac:dyDescent="0.3">
      <c r="A678" t="s">
        <v>48</v>
      </c>
      <c r="B678">
        <v>7117</v>
      </c>
      <c r="C678">
        <v>207.52583899999999</v>
      </c>
      <c r="D678">
        <v>300.23210799999998</v>
      </c>
      <c r="E678">
        <v>1</v>
      </c>
      <c r="F678">
        <v>1</v>
      </c>
      <c r="G678">
        <v>0</v>
      </c>
      <c r="H678">
        <v>0</v>
      </c>
      <c r="J678" t="s">
        <v>0</v>
      </c>
      <c r="K678" t="s">
        <v>61</v>
      </c>
      <c r="L678">
        <v>0</v>
      </c>
      <c r="M678" t="s">
        <v>52</v>
      </c>
      <c r="N678">
        <v>1</v>
      </c>
      <c r="O678" t="s">
        <v>63</v>
      </c>
      <c r="P678" s="2">
        <v>0.47916666666666669</v>
      </c>
      <c r="Q678">
        <f>0.0004311792*3600</f>
        <v>1.5522451199999998</v>
      </c>
      <c r="R678">
        <f>0.0003897946*3600</f>
        <v>1.4032605599999999</v>
      </c>
    </row>
    <row r="679" spans="1:18" x14ac:dyDescent="0.3">
      <c r="A679" t="s">
        <v>48</v>
      </c>
      <c r="B679">
        <v>7118</v>
      </c>
      <c r="C679">
        <v>207.52484200000001</v>
      </c>
      <c r="D679">
        <v>300.23216100000002</v>
      </c>
      <c r="E679">
        <v>1</v>
      </c>
      <c r="F679">
        <v>1</v>
      </c>
      <c r="G679">
        <v>0</v>
      </c>
      <c r="H679">
        <v>0</v>
      </c>
      <c r="J679" t="s">
        <v>0</v>
      </c>
      <c r="K679" t="s">
        <v>61</v>
      </c>
      <c r="L679">
        <v>0</v>
      </c>
      <c r="M679" t="s">
        <v>52</v>
      </c>
      <c r="N679">
        <v>1</v>
      </c>
      <c r="O679" t="s">
        <v>63</v>
      </c>
      <c r="P679" s="2">
        <v>0.47916666666666669</v>
      </c>
      <c r="Q679">
        <f>0.0005132701*3600</f>
        <v>1.8477723599999998</v>
      </c>
      <c r="R679">
        <f>0.0004300271*3600</f>
        <v>1.54809756</v>
      </c>
    </row>
    <row r="680" spans="1:18" x14ac:dyDescent="0.3">
      <c r="A680" t="s">
        <v>48</v>
      </c>
      <c r="B680">
        <v>7119</v>
      </c>
      <c r="C680">
        <v>207.52548300000001</v>
      </c>
      <c r="D680">
        <v>300.23207100000002</v>
      </c>
      <c r="E680">
        <v>1</v>
      </c>
      <c r="F680">
        <v>1</v>
      </c>
      <c r="G680">
        <v>0</v>
      </c>
      <c r="H680">
        <v>0</v>
      </c>
      <c r="J680" t="s">
        <v>0</v>
      </c>
      <c r="K680" t="s">
        <v>61</v>
      </c>
      <c r="L680">
        <v>0</v>
      </c>
      <c r="M680" t="s">
        <v>52</v>
      </c>
      <c r="N680">
        <v>1</v>
      </c>
      <c r="O680" t="s">
        <v>63</v>
      </c>
      <c r="P680" s="2">
        <v>0.47916666666666669</v>
      </c>
      <c r="Q680">
        <f>0.0003409789*3600</f>
        <v>1.22752404</v>
      </c>
      <c r="R680">
        <f>0.0003377401*3600</f>
        <v>1.2158643599999999</v>
      </c>
    </row>
    <row r="681" spans="1:18" x14ac:dyDescent="0.3">
      <c r="A681" t="s">
        <v>48</v>
      </c>
      <c r="B681">
        <v>7120</v>
      </c>
      <c r="C681">
        <v>207.52415999999999</v>
      </c>
      <c r="D681">
        <v>300.23214899999999</v>
      </c>
      <c r="E681">
        <v>1</v>
      </c>
      <c r="F681">
        <v>1</v>
      </c>
      <c r="G681">
        <v>0</v>
      </c>
      <c r="H681">
        <v>0</v>
      </c>
      <c r="J681" t="s">
        <v>0</v>
      </c>
      <c r="K681" t="s">
        <v>61</v>
      </c>
      <c r="L681">
        <v>0</v>
      </c>
      <c r="M681" t="s">
        <v>52</v>
      </c>
      <c r="N681">
        <v>1</v>
      </c>
      <c r="O681" t="s">
        <v>63</v>
      </c>
      <c r="P681" s="2">
        <v>0.47916666666666669</v>
      </c>
      <c r="Q681">
        <f>0.0004519981*3600</f>
        <v>1.62719316</v>
      </c>
      <c r="R681">
        <f>0.0003921895*3600</f>
        <v>1.4118822</v>
      </c>
    </row>
    <row r="682" spans="1:18" x14ac:dyDescent="0.3">
      <c r="A682" t="s">
        <v>48</v>
      </c>
      <c r="B682">
        <v>7121</v>
      </c>
      <c r="C682">
        <v>207.525092</v>
      </c>
      <c r="D682">
        <v>300.23205300000001</v>
      </c>
      <c r="E682">
        <v>1</v>
      </c>
      <c r="F682">
        <v>1</v>
      </c>
      <c r="G682">
        <v>0</v>
      </c>
      <c r="H682">
        <v>0</v>
      </c>
      <c r="J682" t="s">
        <v>0</v>
      </c>
      <c r="K682" t="s">
        <v>61</v>
      </c>
      <c r="L682">
        <v>0</v>
      </c>
      <c r="M682" t="s">
        <v>52</v>
      </c>
      <c r="N682">
        <v>1</v>
      </c>
      <c r="O682" t="s">
        <v>63</v>
      </c>
      <c r="P682" s="2">
        <v>0.47916666666666669</v>
      </c>
      <c r="Q682">
        <f>0.0003092979*3600</f>
        <v>1.11347244</v>
      </c>
      <c r="R682">
        <f>0.0003264997*3600</f>
        <v>1.1753989199999999</v>
      </c>
    </row>
    <row r="683" spans="1:18" x14ac:dyDescent="0.3">
      <c r="A683" t="s">
        <v>48</v>
      </c>
      <c r="B683">
        <v>7122</v>
      </c>
      <c r="C683">
        <v>207.52425199999999</v>
      </c>
      <c r="D683">
        <v>300.23209700000001</v>
      </c>
      <c r="E683">
        <v>1</v>
      </c>
      <c r="F683">
        <v>1</v>
      </c>
      <c r="G683">
        <v>0</v>
      </c>
      <c r="H683">
        <v>0</v>
      </c>
      <c r="J683" t="s">
        <v>0</v>
      </c>
      <c r="K683" t="s">
        <v>61</v>
      </c>
      <c r="L683">
        <v>0</v>
      </c>
      <c r="M683" t="s">
        <v>52</v>
      </c>
      <c r="N683">
        <v>1</v>
      </c>
      <c r="O683" t="s">
        <v>63</v>
      </c>
      <c r="P683" s="2">
        <v>0.47916666666666669</v>
      </c>
      <c r="Q683">
        <f>0.0004475113*3600</f>
        <v>1.6110406799999999</v>
      </c>
      <c r="R683">
        <f>0.0003440742*3600</f>
        <v>1.2386671199999999</v>
      </c>
    </row>
    <row r="684" spans="1:18" x14ac:dyDescent="0.3">
      <c r="A684" t="s">
        <v>48</v>
      </c>
      <c r="B684">
        <v>7123</v>
      </c>
      <c r="C684">
        <v>207.524766</v>
      </c>
      <c r="D684">
        <v>300.23207600000001</v>
      </c>
      <c r="E684">
        <v>1</v>
      </c>
      <c r="F684">
        <v>1</v>
      </c>
      <c r="G684">
        <v>0</v>
      </c>
      <c r="H684">
        <v>0</v>
      </c>
      <c r="J684" t="s">
        <v>0</v>
      </c>
      <c r="K684" t="s">
        <v>61</v>
      </c>
      <c r="L684">
        <v>0</v>
      </c>
      <c r="M684" t="s">
        <v>52</v>
      </c>
      <c r="N684">
        <v>1</v>
      </c>
      <c r="O684" t="s">
        <v>63</v>
      </c>
      <c r="P684" s="2">
        <v>0.47916666666666669</v>
      </c>
      <c r="Q684">
        <f>0.0002884344*3600</f>
        <v>1.0383638399999999</v>
      </c>
      <c r="R684">
        <f>0.0003384587*3600</f>
        <v>1.21845132</v>
      </c>
    </row>
    <row r="685" spans="1:18" x14ac:dyDescent="0.3">
      <c r="A685" t="s">
        <v>48</v>
      </c>
      <c r="B685">
        <v>7124</v>
      </c>
      <c r="C685">
        <v>207.52604600000001</v>
      </c>
      <c r="D685">
        <v>300.23209500000002</v>
      </c>
      <c r="E685">
        <v>1</v>
      </c>
      <c r="F685">
        <v>1</v>
      </c>
      <c r="G685">
        <v>0</v>
      </c>
      <c r="H685">
        <v>0</v>
      </c>
      <c r="J685" t="s">
        <v>0</v>
      </c>
      <c r="K685" t="s">
        <v>61</v>
      </c>
      <c r="L685">
        <v>0</v>
      </c>
      <c r="M685" t="s">
        <v>52</v>
      </c>
      <c r="N685">
        <v>1</v>
      </c>
      <c r="O685" t="s">
        <v>63</v>
      </c>
      <c r="P685" s="2">
        <v>0.47916666666666669</v>
      </c>
      <c r="Q685">
        <f>0.0003348488*3600</f>
        <v>1.20545568</v>
      </c>
      <c r="R685">
        <f>0.0003374905*3600</f>
        <v>1.2149657999999999</v>
      </c>
    </row>
    <row r="686" spans="1:18" x14ac:dyDescent="0.3">
      <c r="A686" t="s">
        <v>48</v>
      </c>
      <c r="B686">
        <v>7125</v>
      </c>
      <c r="C686">
        <v>207.52554599999999</v>
      </c>
      <c r="D686">
        <v>300.23201699999998</v>
      </c>
      <c r="E686">
        <v>1</v>
      </c>
      <c r="F686">
        <v>1</v>
      </c>
      <c r="G686">
        <v>0</v>
      </c>
      <c r="H686">
        <v>0</v>
      </c>
      <c r="J686" t="s">
        <v>0</v>
      </c>
      <c r="K686" t="s">
        <v>61</v>
      </c>
      <c r="L686">
        <v>0</v>
      </c>
      <c r="M686" t="s">
        <v>52</v>
      </c>
      <c r="N686">
        <v>1</v>
      </c>
      <c r="O686" t="s">
        <v>63</v>
      </c>
      <c r="P686" s="2">
        <v>0.47916666666666669</v>
      </c>
      <c r="Q686">
        <f>0.0003727641*3600</f>
        <v>1.34195076</v>
      </c>
      <c r="R686">
        <f>0.0002630451*3600</f>
        <v>0.94696235999999989</v>
      </c>
    </row>
    <row r="687" spans="1:18" x14ac:dyDescent="0.3">
      <c r="A687" t="s">
        <v>48</v>
      </c>
      <c r="B687">
        <v>7126</v>
      </c>
      <c r="C687">
        <v>207.52648400000001</v>
      </c>
      <c r="D687">
        <v>300.232102</v>
      </c>
      <c r="E687">
        <v>1</v>
      </c>
      <c r="F687">
        <v>1</v>
      </c>
      <c r="G687">
        <v>0</v>
      </c>
      <c r="H687">
        <v>0</v>
      </c>
      <c r="J687" t="s">
        <v>0</v>
      </c>
      <c r="K687" t="s">
        <v>61</v>
      </c>
      <c r="L687">
        <v>0</v>
      </c>
      <c r="M687" t="s">
        <v>52</v>
      </c>
      <c r="N687">
        <v>1</v>
      </c>
      <c r="O687" t="s">
        <v>63</v>
      </c>
      <c r="P687" s="2">
        <v>0.47916666666666669</v>
      </c>
      <c r="Q687">
        <f>0.0002918644*3600</f>
        <v>1.05071184</v>
      </c>
      <c r="R687">
        <f>0.0003271609*3600</f>
        <v>1.17777924</v>
      </c>
    </row>
    <row r="688" spans="1:18" x14ac:dyDescent="0.3">
      <c r="A688" t="s">
        <v>48</v>
      </c>
      <c r="B688">
        <v>7127</v>
      </c>
      <c r="C688">
        <v>207.52517499999999</v>
      </c>
      <c r="D688">
        <v>300.23207600000001</v>
      </c>
      <c r="E688">
        <v>1</v>
      </c>
      <c r="F688">
        <v>1</v>
      </c>
      <c r="G688">
        <v>0</v>
      </c>
      <c r="H688">
        <v>0</v>
      </c>
      <c r="J688" t="s">
        <v>0</v>
      </c>
      <c r="K688" t="s">
        <v>61</v>
      </c>
      <c r="L688">
        <v>0</v>
      </c>
      <c r="M688" t="s">
        <v>52</v>
      </c>
      <c r="N688">
        <v>1</v>
      </c>
      <c r="O688" t="s">
        <v>63</v>
      </c>
      <c r="P688" s="2">
        <v>0.47916666666666669</v>
      </c>
      <c r="Q688">
        <f>0.000276592*3600</f>
        <v>0.99573119999999993</v>
      </c>
      <c r="R688">
        <f>0.0003130218*3600</f>
        <v>1.12687848</v>
      </c>
    </row>
    <row r="689" spans="1:18" x14ac:dyDescent="0.3">
      <c r="A689" t="s">
        <v>48</v>
      </c>
      <c r="B689">
        <v>7128</v>
      </c>
      <c r="C689">
        <v>207.52585199999999</v>
      </c>
      <c r="D689">
        <v>300.23208799999998</v>
      </c>
      <c r="E689">
        <v>1</v>
      </c>
      <c r="F689">
        <v>1</v>
      </c>
      <c r="G689">
        <v>0</v>
      </c>
      <c r="H689">
        <v>0</v>
      </c>
      <c r="J689" t="s">
        <v>0</v>
      </c>
      <c r="K689" t="s">
        <v>61</v>
      </c>
      <c r="L689">
        <v>0</v>
      </c>
      <c r="M689" t="s">
        <v>52</v>
      </c>
      <c r="N689">
        <v>1</v>
      </c>
      <c r="O689" t="s">
        <v>63</v>
      </c>
      <c r="P689" s="2">
        <v>0.47916666666666669</v>
      </c>
      <c r="Q689">
        <f>0.0003936992*3600</f>
        <v>1.4173171200000001</v>
      </c>
      <c r="R689">
        <f>0.0003087027*3600</f>
        <v>1.1113297200000001</v>
      </c>
    </row>
    <row r="690" spans="1:18" x14ac:dyDescent="0.3">
      <c r="A690" t="s">
        <v>48</v>
      </c>
      <c r="B690">
        <v>7129</v>
      </c>
      <c r="C690">
        <v>207.52501100000001</v>
      </c>
      <c r="D690">
        <v>300.23194699999999</v>
      </c>
      <c r="E690">
        <v>1</v>
      </c>
      <c r="F690">
        <v>1</v>
      </c>
      <c r="G690">
        <v>0</v>
      </c>
      <c r="H690">
        <v>0</v>
      </c>
      <c r="J690" t="s">
        <v>0</v>
      </c>
      <c r="K690" t="s">
        <v>61</v>
      </c>
      <c r="L690">
        <v>0</v>
      </c>
      <c r="M690" t="s">
        <v>52</v>
      </c>
      <c r="N690">
        <v>1</v>
      </c>
      <c r="O690" t="s">
        <v>63</v>
      </c>
      <c r="P690" s="2">
        <v>0.47986111111111113</v>
      </c>
      <c r="Q690">
        <f>0.0002250462*3600</f>
        <v>0.81016632</v>
      </c>
      <c r="R690">
        <f>0.0001921765*3600</f>
        <v>0.69183539999999999</v>
      </c>
    </row>
    <row r="691" spans="1:18" x14ac:dyDescent="0.3">
      <c r="A691" t="s">
        <v>48</v>
      </c>
      <c r="B691">
        <v>7130</v>
      </c>
      <c r="C691">
        <v>207.52555799999999</v>
      </c>
      <c r="D691">
        <v>300.23209000000003</v>
      </c>
      <c r="E691">
        <v>1</v>
      </c>
      <c r="F691">
        <v>1</v>
      </c>
      <c r="G691">
        <v>0</v>
      </c>
      <c r="H691">
        <v>0</v>
      </c>
      <c r="J691" t="s">
        <v>0</v>
      </c>
      <c r="K691" t="s">
        <v>61</v>
      </c>
      <c r="L691">
        <v>0</v>
      </c>
      <c r="M691" t="s">
        <v>52</v>
      </c>
      <c r="N691">
        <v>1</v>
      </c>
      <c r="O691" t="s">
        <v>63</v>
      </c>
      <c r="P691" s="2">
        <v>0.47986111111111113</v>
      </c>
      <c r="Q691">
        <f>0.0004630172*3600</f>
        <v>1.6668619199999999</v>
      </c>
      <c r="R691">
        <f>0.0002974566*3600</f>
        <v>1.07084376</v>
      </c>
    </row>
    <row r="692" spans="1:18" x14ac:dyDescent="0.3">
      <c r="A692" t="s">
        <v>48</v>
      </c>
      <c r="B692">
        <v>7131</v>
      </c>
      <c r="C692">
        <v>207.52588900000001</v>
      </c>
      <c r="D692">
        <v>300.23208</v>
      </c>
      <c r="E692">
        <v>1</v>
      </c>
      <c r="F692">
        <v>1</v>
      </c>
      <c r="G692">
        <v>0</v>
      </c>
      <c r="H692">
        <v>0</v>
      </c>
      <c r="J692" t="s">
        <v>0</v>
      </c>
      <c r="K692" t="s">
        <v>61</v>
      </c>
      <c r="L692">
        <v>0</v>
      </c>
      <c r="M692" t="s">
        <v>52</v>
      </c>
      <c r="N692">
        <v>1</v>
      </c>
      <c r="O692" t="s">
        <v>63</v>
      </c>
      <c r="P692" s="2">
        <v>0.47986111111111113</v>
      </c>
      <c r="Q692">
        <f>0.0003686209*3600</f>
        <v>1.3270352400000001</v>
      </c>
      <c r="R692">
        <f>0.0003251836*3600</f>
        <v>1.17066096</v>
      </c>
    </row>
    <row r="693" spans="1:18" x14ac:dyDescent="0.3">
      <c r="A693" t="s">
        <v>48</v>
      </c>
      <c r="B693">
        <v>7132</v>
      </c>
      <c r="C693">
        <v>207.526026</v>
      </c>
      <c r="D693">
        <v>300.23214400000001</v>
      </c>
      <c r="E693">
        <v>1</v>
      </c>
      <c r="F693">
        <v>1</v>
      </c>
      <c r="G693">
        <v>0</v>
      </c>
      <c r="H693">
        <v>0</v>
      </c>
      <c r="J693" t="s">
        <v>0</v>
      </c>
      <c r="K693" t="s">
        <v>61</v>
      </c>
      <c r="L693">
        <v>0</v>
      </c>
      <c r="M693" t="s">
        <v>52</v>
      </c>
      <c r="N693">
        <v>1</v>
      </c>
      <c r="O693" t="s">
        <v>63</v>
      </c>
      <c r="P693" s="2">
        <v>0.47986111111111113</v>
      </c>
      <c r="Q693">
        <f>0.000264594*3600</f>
        <v>0.95253840000000001</v>
      </c>
      <c r="R693">
        <f>0.0003578362*3600</f>
        <v>1.2882103200000001</v>
      </c>
    </row>
    <row r="694" spans="1:18" x14ac:dyDescent="0.3">
      <c r="A694" t="s">
        <v>48</v>
      </c>
      <c r="B694">
        <v>7133</v>
      </c>
      <c r="C694">
        <v>207.525589</v>
      </c>
      <c r="D694">
        <v>300.23215399999998</v>
      </c>
      <c r="E694">
        <v>1</v>
      </c>
      <c r="F694">
        <v>1</v>
      </c>
      <c r="G694">
        <v>0</v>
      </c>
      <c r="H694">
        <v>0</v>
      </c>
      <c r="J694" t="s">
        <v>0</v>
      </c>
      <c r="K694" t="s">
        <v>61</v>
      </c>
      <c r="L694">
        <v>0</v>
      </c>
      <c r="M694" t="s">
        <v>52</v>
      </c>
      <c r="N694">
        <v>1</v>
      </c>
      <c r="O694" t="s">
        <v>63</v>
      </c>
      <c r="P694" s="2">
        <v>0.47986111111111113</v>
      </c>
      <c r="Q694">
        <f>0.0005789296*3600</f>
        <v>2.0841465600000002</v>
      </c>
      <c r="R694">
        <f>0.0003817872*3600</f>
        <v>1.37443392</v>
      </c>
    </row>
    <row r="695" spans="1:18" x14ac:dyDescent="0.3">
      <c r="A695" t="s">
        <v>48</v>
      </c>
      <c r="B695">
        <v>7134</v>
      </c>
      <c r="C695">
        <v>207.52644799999999</v>
      </c>
      <c r="D695">
        <v>300.23211199999997</v>
      </c>
      <c r="E695">
        <v>1</v>
      </c>
      <c r="F695">
        <v>1</v>
      </c>
      <c r="G695">
        <v>0</v>
      </c>
      <c r="H695">
        <v>0</v>
      </c>
      <c r="J695" t="s">
        <v>0</v>
      </c>
      <c r="K695" t="s">
        <v>61</v>
      </c>
      <c r="L695">
        <v>0</v>
      </c>
      <c r="M695" t="s">
        <v>52</v>
      </c>
      <c r="N695">
        <v>1</v>
      </c>
      <c r="O695" t="s">
        <v>63</v>
      </c>
      <c r="P695" s="2">
        <v>0.47986111111111113</v>
      </c>
      <c r="Q695">
        <f>0.0004204457*3600</f>
        <v>1.5136045199999999</v>
      </c>
      <c r="R695">
        <f>0.0003447309*3600</f>
        <v>1.2410312400000001</v>
      </c>
    </row>
    <row r="696" spans="1:18" x14ac:dyDescent="0.3">
      <c r="A696" t="s">
        <v>48</v>
      </c>
      <c r="B696">
        <v>7135</v>
      </c>
      <c r="C696">
        <v>207.52794399999999</v>
      </c>
      <c r="D696">
        <v>300.232124</v>
      </c>
      <c r="E696">
        <v>1</v>
      </c>
      <c r="F696">
        <v>1</v>
      </c>
      <c r="G696">
        <v>0</v>
      </c>
      <c r="H696">
        <v>0</v>
      </c>
      <c r="J696" t="s">
        <v>0</v>
      </c>
      <c r="K696" t="s">
        <v>61</v>
      </c>
      <c r="L696">
        <v>0</v>
      </c>
      <c r="M696" t="s">
        <v>52</v>
      </c>
      <c r="N696">
        <v>1</v>
      </c>
      <c r="O696" t="s">
        <v>63</v>
      </c>
      <c r="P696" s="2">
        <v>0.47986111111111113</v>
      </c>
      <c r="Q696">
        <f>0.0004237033*3600</f>
        <v>1.52533188</v>
      </c>
      <c r="R696">
        <f>0.0003390789*3600</f>
        <v>1.2206840400000001</v>
      </c>
    </row>
    <row r="697" spans="1:18" x14ac:dyDescent="0.3">
      <c r="A697" t="s">
        <v>48</v>
      </c>
      <c r="B697">
        <v>7136</v>
      </c>
      <c r="C697">
        <v>207.52560500000001</v>
      </c>
      <c r="D697">
        <v>300.23220600000002</v>
      </c>
      <c r="E697">
        <v>1</v>
      </c>
      <c r="F697">
        <v>1</v>
      </c>
      <c r="G697">
        <v>0</v>
      </c>
      <c r="H697">
        <v>0</v>
      </c>
      <c r="J697" t="s">
        <v>0</v>
      </c>
      <c r="K697" t="s">
        <v>61</v>
      </c>
      <c r="L697">
        <v>0</v>
      </c>
      <c r="M697" t="s">
        <v>52</v>
      </c>
      <c r="N697">
        <v>1</v>
      </c>
      <c r="O697" t="s">
        <v>63</v>
      </c>
      <c r="P697" s="2">
        <v>0.47986111111111113</v>
      </c>
      <c r="Q697">
        <f>0.0005885744*3600</f>
        <v>2.1188678400000001</v>
      </c>
      <c r="R697">
        <f>0.0004245053*3600</f>
        <v>1.52821908</v>
      </c>
    </row>
    <row r="698" spans="1:18" x14ac:dyDescent="0.3">
      <c r="A698" t="s">
        <v>48</v>
      </c>
      <c r="B698">
        <v>7137</v>
      </c>
      <c r="C698">
        <v>207.524351</v>
      </c>
      <c r="D698">
        <v>300.23201399999999</v>
      </c>
      <c r="E698">
        <v>1</v>
      </c>
      <c r="F698">
        <v>1</v>
      </c>
      <c r="G698">
        <v>0</v>
      </c>
      <c r="H698">
        <v>0</v>
      </c>
      <c r="J698" t="s">
        <v>0</v>
      </c>
      <c r="K698" t="s">
        <v>61</v>
      </c>
      <c r="L698">
        <v>0</v>
      </c>
      <c r="M698" t="s">
        <v>52</v>
      </c>
      <c r="N698">
        <v>1</v>
      </c>
      <c r="O698" t="s">
        <v>63</v>
      </c>
      <c r="P698" s="2">
        <v>0.47986111111111113</v>
      </c>
      <c r="Q698">
        <f>0.0001755943*3600</f>
        <v>0.63213947999999998</v>
      </c>
      <c r="R698">
        <f>0.0002445642*3600</f>
        <v>0.88043112000000012</v>
      </c>
    </row>
    <row r="699" spans="1:18" x14ac:dyDescent="0.3">
      <c r="A699" t="s">
        <v>48</v>
      </c>
      <c r="B699">
        <v>7138</v>
      </c>
      <c r="C699">
        <v>207.52615900000001</v>
      </c>
      <c r="D699">
        <v>300.23220300000003</v>
      </c>
      <c r="E699">
        <v>1</v>
      </c>
      <c r="F699">
        <v>1</v>
      </c>
      <c r="G699">
        <v>0</v>
      </c>
      <c r="H699">
        <v>0</v>
      </c>
      <c r="J699" t="s">
        <v>0</v>
      </c>
      <c r="K699" t="s">
        <v>61</v>
      </c>
      <c r="L699">
        <v>0</v>
      </c>
      <c r="M699" t="s">
        <v>52</v>
      </c>
      <c r="N699">
        <v>1</v>
      </c>
      <c r="O699" t="s">
        <v>63</v>
      </c>
      <c r="P699" s="2">
        <v>0.47986111111111113</v>
      </c>
      <c r="Q699">
        <f>0.000534202*3600</f>
        <v>1.9231271999999999</v>
      </c>
      <c r="R699">
        <f>0.0004241241*3600</f>
        <v>1.52684676</v>
      </c>
    </row>
    <row r="700" spans="1:18" x14ac:dyDescent="0.3">
      <c r="A700" t="s">
        <v>48</v>
      </c>
      <c r="B700">
        <v>7139</v>
      </c>
      <c r="C700">
        <v>207.52383699999999</v>
      </c>
      <c r="D700">
        <v>300.232212</v>
      </c>
      <c r="E700">
        <v>1</v>
      </c>
      <c r="F700">
        <v>1</v>
      </c>
      <c r="G700">
        <v>0</v>
      </c>
      <c r="H700">
        <v>0</v>
      </c>
      <c r="J700" t="s">
        <v>0</v>
      </c>
      <c r="K700" t="s">
        <v>61</v>
      </c>
      <c r="L700">
        <v>0</v>
      </c>
      <c r="M700" t="s">
        <v>52</v>
      </c>
      <c r="N700">
        <v>1</v>
      </c>
      <c r="O700" t="s">
        <v>63</v>
      </c>
      <c r="P700" s="2">
        <v>0.47986111111111113</v>
      </c>
      <c r="Q700">
        <f>0.0005738522*3600</f>
        <v>2.0658679200000001</v>
      </c>
      <c r="R700">
        <f>0.0004296622*3600</f>
        <v>1.54678392</v>
      </c>
    </row>
    <row r="701" spans="1:18" x14ac:dyDescent="0.3">
      <c r="A701" t="s">
        <v>48</v>
      </c>
      <c r="B701">
        <v>7140</v>
      </c>
      <c r="C701">
        <v>207.524508</v>
      </c>
      <c r="D701">
        <v>300.23212699999999</v>
      </c>
      <c r="E701">
        <v>1</v>
      </c>
      <c r="F701">
        <v>1</v>
      </c>
      <c r="G701">
        <v>0</v>
      </c>
      <c r="H701">
        <v>0</v>
      </c>
      <c r="J701" t="s">
        <v>0</v>
      </c>
      <c r="K701" t="s">
        <v>61</v>
      </c>
      <c r="L701">
        <v>0</v>
      </c>
      <c r="M701" t="s">
        <v>52</v>
      </c>
      <c r="N701">
        <v>1</v>
      </c>
      <c r="O701" t="s">
        <v>63</v>
      </c>
      <c r="P701" s="2">
        <v>0.47986111111111113</v>
      </c>
      <c r="Q701">
        <f>0.0003081589*3600</f>
        <v>1.10937204</v>
      </c>
      <c r="R701">
        <f>0.0003433799*3600</f>
        <v>1.2361676399999999</v>
      </c>
    </row>
    <row r="702" spans="1:18" x14ac:dyDescent="0.3">
      <c r="A702" t="s">
        <v>48</v>
      </c>
      <c r="B702">
        <v>7141</v>
      </c>
      <c r="C702">
        <v>207.524708</v>
      </c>
      <c r="D702">
        <v>300.23227100000003</v>
      </c>
      <c r="E702">
        <v>1</v>
      </c>
      <c r="F702">
        <v>1</v>
      </c>
      <c r="G702">
        <v>0</v>
      </c>
      <c r="H702">
        <v>0</v>
      </c>
      <c r="J702" t="s">
        <v>0</v>
      </c>
      <c r="K702" t="s">
        <v>61</v>
      </c>
      <c r="L702">
        <v>0</v>
      </c>
      <c r="M702" t="s">
        <v>52</v>
      </c>
      <c r="N702">
        <v>1</v>
      </c>
      <c r="O702" t="s">
        <v>63</v>
      </c>
      <c r="P702" s="2">
        <v>0.47986111111111113</v>
      </c>
      <c r="Q702">
        <f>0.0006195291*3600</f>
        <v>2.2303047600000001</v>
      </c>
      <c r="R702">
        <f>0.0004837466*3600</f>
        <v>1.7414877600000001</v>
      </c>
    </row>
    <row r="703" spans="1:18" x14ac:dyDescent="0.3">
      <c r="A703" t="s">
        <v>48</v>
      </c>
      <c r="B703">
        <v>7142</v>
      </c>
      <c r="C703">
        <v>207.524393</v>
      </c>
      <c r="D703">
        <v>300.23216400000001</v>
      </c>
      <c r="E703">
        <v>1</v>
      </c>
      <c r="F703">
        <v>1</v>
      </c>
      <c r="G703">
        <v>0</v>
      </c>
      <c r="H703">
        <v>0</v>
      </c>
      <c r="J703" t="s">
        <v>0</v>
      </c>
      <c r="K703" t="s">
        <v>61</v>
      </c>
      <c r="L703">
        <v>0</v>
      </c>
      <c r="M703" t="s">
        <v>52</v>
      </c>
      <c r="N703">
        <v>1</v>
      </c>
      <c r="O703" t="s">
        <v>63</v>
      </c>
      <c r="P703" s="2">
        <v>0.47986111111111113</v>
      </c>
      <c r="Q703">
        <f>0.0003471992*3600</f>
        <v>1.2499171199999999</v>
      </c>
      <c r="R703">
        <f>0.0003965643*3600</f>
        <v>1.4276314800000001</v>
      </c>
    </row>
    <row r="704" spans="1:18" x14ac:dyDescent="0.3">
      <c r="A704" t="s">
        <v>48</v>
      </c>
      <c r="B704">
        <v>7143</v>
      </c>
      <c r="C704">
        <v>207.52624599999999</v>
      </c>
      <c r="D704">
        <v>300.232102</v>
      </c>
      <c r="E704">
        <v>1</v>
      </c>
      <c r="F704">
        <v>1</v>
      </c>
      <c r="G704">
        <v>0</v>
      </c>
      <c r="H704">
        <v>0</v>
      </c>
      <c r="J704" t="s">
        <v>0</v>
      </c>
      <c r="K704" t="s">
        <v>61</v>
      </c>
      <c r="L704">
        <v>0</v>
      </c>
      <c r="M704" t="s">
        <v>52</v>
      </c>
      <c r="N704">
        <v>1</v>
      </c>
      <c r="O704" t="s">
        <v>63</v>
      </c>
      <c r="P704" s="2">
        <v>0.47986111111111113</v>
      </c>
      <c r="Q704">
        <f>0.0002954569*3600</f>
        <v>1.06364484</v>
      </c>
      <c r="R704">
        <f>0.0003126184*3600</f>
        <v>1.1254262399999999</v>
      </c>
    </row>
    <row r="705" spans="1:19" x14ac:dyDescent="0.3">
      <c r="A705" t="s">
        <v>48</v>
      </c>
      <c r="B705">
        <v>7144</v>
      </c>
      <c r="C705">
        <v>207.526003</v>
      </c>
      <c r="D705">
        <v>300.23215499999998</v>
      </c>
      <c r="E705">
        <v>1</v>
      </c>
      <c r="F705">
        <v>1</v>
      </c>
      <c r="G705">
        <v>0</v>
      </c>
      <c r="H705">
        <v>0</v>
      </c>
      <c r="J705" t="s">
        <v>0</v>
      </c>
      <c r="K705" t="s">
        <v>61</v>
      </c>
      <c r="L705">
        <v>0</v>
      </c>
      <c r="M705" t="s">
        <v>52</v>
      </c>
      <c r="N705">
        <v>1</v>
      </c>
      <c r="O705" t="s">
        <v>63</v>
      </c>
      <c r="P705" s="2">
        <v>0.48055555555555557</v>
      </c>
      <c r="Q705">
        <f>0.0003992591*3600</f>
        <v>1.4373327599999999</v>
      </c>
      <c r="R705">
        <f>0.0003489094*3600</f>
        <v>1.25607384</v>
      </c>
    </row>
    <row r="706" spans="1:19" x14ac:dyDescent="0.3">
      <c r="A706" t="s">
        <v>48</v>
      </c>
      <c r="B706">
        <v>7145</v>
      </c>
      <c r="C706">
        <v>207.526624</v>
      </c>
      <c r="D706">
        <v>300.23213199999998</v>
      </c>
      <c r="E706">
        <v>1</v>
      </c>
      <c r="F706">
        <v>1</v>
      </c>
      <c r="G706">
        <v>0</v>
      </c>
      <c r="H706">
        <v>0</v>
      </c>
      <c r="J706" t="s">
        <v>0</v>
      </c>
      <c r="K706" t="s">
        <v>61</v>
      </c>
      <c r="L706">
        <v>0</v>
      </c>
      <c r="M706" t="s">
        <v>52</v>
      </c>
      <c r="N706">
        <v>1</v>
      </c>
      <c r="O706" t="s">
        <v>63</v>
      </c>
      <c r="P706" s="2">
        <v>0.48055555555555557</v>
      </c>
      <c r="Q706">
        <f>0.0004126085*3600</f>
        <v>1.4853906000000001</v>
      </c>
      <c r="R706">
        <f>0.0003252742*3600</f>
        <v>1.1709871199999999</v>
      </c>
    </row>
    <row r="707" spans="1:19" x14ac:dyDescent="0.3">
      <c r="A707" t="s">
        <v>48</v>
      </c>
      <c r="B707">
        <v>7146</v>
      </c>
      <c r="C707">
        <v>207.52619999999999</v>
      </c>
      <c r="D707">
        <v>300.232168</v>
      </c>
      <c r="E707">
        <v>1</v>
      </c>
      <c r="F707">
        <v>1</v>
      </c>
      <c r="G707">
        <v>0</v>
      </c>
      <c r="H707">
        <v>0</v>
      </c>
      <c r="J707" t="s">
        <v>0</v>
      </c>
      <c r="K707" t="s">
        <v>61</v>
      </c>
      <c r="L707">
        <v>0</v>
      </c>
      <c r="M707" t="s">
        <v>52</v>
      </c>
      <c r="N707">
        <v>1</v>
      </c>
      <c r="O707" t="s">
        <v>63</v>
      </c>
      <c r="P707" s="2">
        <v>0.48055555555555557</v>
      </c>
      <c r="Q707">
        <f>0.0005713293*3600</f>
        <v>2.0567854799999998</v>
      </c>
      <c r="R707">
        <f>0.0003698497*3600</f>
        <v>1.33145892</v>
      </c>
    </row>
    <row r="708" spans="1:19" x14ac:dyDescent="0.3">
      <c r="A708" t="s">
        <v>48</v>
      </c>
      <c r="B708">
        <v>7147</v>
      </c>
      <c r="C708">
        <v>207.52439000000001</v>
      </c>
      <c r="D708">
        <v>300.23211500000002</v>
      </c>
      <c r="E708">
        <v>1</v>
      </c>
      <c r="F708">
        <v>1</v>
      </c>
      <c r="G708">
        <v>0</v>
      </c>
      <c r="H708">
        <v>0</v>
      </c>
      <c r="J708" t="s">
        <v>0</v>
      </c>
      <c r="K708" t="s">
        <v>61</v>
      </c>
      <c r="L708">
        <v>0</v>
      </c>
      <c r="M708" t="s">
        <v>52</v>
      </c>
      <c r="N708">
        <v>1</v>
      </c>
      <c r="O708" t="s">
        <v>63</v>
      </c>
      <c r="P708" s="2">
        <v>0.48055555555555557</v>
      </c>
      <c r="Q708">
        <f>0.0005391065*3600</f>
        <v>1.9407833999999999</v>
      </c>
      <c r="R708">
        <f>0.0003435732*3600</f>
        <v>1.23686352</v>
      </c>
    </row>
    <row r="709" spans="1:19" x14ac:dyDescent="0.3">
      <c r="A709" t="s">
        <v>48</v>
      </c>
      <c r="B709">
        <v>7148</v>
      </c>
      <c r="C709">
        <v>207.52631299999999</v>
      </c>
      <c r="D709">
        <v>300.232215</v>
      </c>
      <c r="E709">
        <v>1</v>
      </c>
      <c r="F709">
        <v>1</v>
      </c>
      <c r="G709">
        <v>0</v>
      </c>
      <c r="H709">
        <v>0</v>
      </c>
      <c r="J709" t="s">
        <v>0</v>
      </c>
      <c r="K709" t="s">
        <v>61</v>
      </c>
      <c r="L709">
        <v>0</v>
      </c>
      <c r="M709" t="s">
        <v>52</v>
      </c>
      <c r="N709">
        <v>1</v>
      </c>
      <c r="O709" t="s">
        <v>63</v>
      </c>
      <c r="P709" s="2">
        <v>0.48055555555555557</v>
      </c>
      <c r="Q709">
        <f>0.0004877843*3600</f>
        <v>1.7560234800000001</v>
      </c>
      <c r="R709">
        <f>0.0004344862*3600</f>
        <v>1.56415032</v>
      </c>
    </row>
    <row r="710" spans="1:19" x14ac:dyDescent="0.3">
      <c r="A710" t="s">
        <v>48</v>
      </c>
      <c r="B710">
        <v>7149</v>
      </c>
      <c r="C710">
        <v>207.52586299999999</v>
      </c>
      <c r="D710">
        <v>300.23221599999999</v>
      </c>
      <c r="E710">
        <v>1</v>
      </c>
      <c r="F710">
        <v>1</v>
      </c>
      <c r="G710">
        <v>0</v>
      </c>
      <c r="H710">
        <v>0</v>
      </c>
      <c r="J710" t="s">
        <v>0</v>
      </c>
      <c r="K710" t="s">
        <v>61</v>
      </c>
      <c r="L710">
        <v>0</v>
      </c>
      <c r="M710" t="s">
        <v>52</v>
      </c>
      <c r="N710">
        <v>1</v>
      </c>
      <c r="O710" t="s">
        <v>63</v>
      </c>
      <c r="P710" s="2">
        <v>0.48055555555555557</v>
      </c>
      <c r="Q710">
        <f>0.0003139694*3600</f>
        <v>1.1302898400000001</v>
      </c>
      <c r="R710">
        <f>0.0004205187*3600</f>
        <v>1.5138673200000001</v>
      </c>
    </row>
    <row r="711" spans="1:19" x14ac:dyDescent="0.3">
      <c r="A711" t="s">
        <v>48</v>
      </c>
      <c r="B711">
        <v>7150</v>
      </c>
      <c r="C711">
        <v>207.52461</v>
      </c>
      <c r="D711">
        <v>300.23219499999999</v>
      </c>
      <c r="E711">
        <v>1</v>
      </c>
      <c r="F711">
        <v>1</v>
      </c>
      <c r="G711">
        <v>0</v>
      </c>
      <c r="H711">
        <v>0</v>
      </c>
      <c r="J711" t="s">
        <v>0</v>
      </c>
      <c r="K711" t="s">
        <v>61</v>
      </c>
      <c r="L711">
        <v>0</v>
      </c>
      <c r="M711" t="s">
        <v>52</v>
      </c>
      <c r="N711">
        <v>1</v>
      </c>
      <c r="O711" t="s">
        <v>63</v>
      </c>
      <c r="P711" s="2">
        <v>0.48055555555555557</v>
      </c>
      <c r="Q711">
        <f>0.000506136*3600</f>
        <v>1.8220896</v>
      </c>
      <c r="R711">
        <f>0.0004251882*3600</f>
        <v>1.53067752</v>
      </c>
    </row>
    <row r="712" spans="1:19" x14ac:dyDescent="0.3">
      <c r="A712" t="s">
        <v>48</v>
      </c>
      <c r="B712">
        <v>7151</v>
      </c>
      <c r="C712">
        <v>207.526589</v>
      </c>
      <c r="D712">
        <v>300.23226699999998</v>
      </c>
      <c r="E712">
        <v>1</v>
      </c>
      <c r="F712">
        <v>1</v>
      </c>
      <c r="G712">
        <v>0</v>
      </c>
      <c r="H712">
        <v>0</v>
      </c>
      <c r="J712" t="s">
        <v>0</v>
      </c>
      <c r="K712" t="s">
        <v>61</v>
      </c>
      <c r="L712">
        <v>0</v>
      </c>
      <c r="M712" t="s">
        <v>52</v>
      </c>
      <c r="N712">
        <v>1</v>
      </c>
      <c r="O712" t="s">
        <v>63</v>
      </c>
      <c r="P712" s="2">
        <v>0.48055555555555557</v>
      </c>
      <c r="Q712">
        <f>0.0005852477*3600</f>
        <v>2.1068917200000001</v>
      </c>
      <c r="R712">
        <f>0.0004622102*3600</f>
        <v>1.6639567200000001</v>
      </c>
    </row>
    <row r="713" spans="1:19" x14ac:dyDescent="0.3">
      <c r="A713" t="s">
        <v>48</v>
      </c>
      <c r="B713" t="s">
        <v>337</v>
      </c>
      <c r="C713">
        <v>399.99998399999998</v>
      </c>
      <c r="D713">
        <v>98.550894999999997</v>
      </c>
      <c r="E713">
        <v>55.994799999999998</v>
      </c>
      <c r="F713">
        <v>56.066800000000001</v>
      </c>
      <c r="G713">
        <v>0</v>
      </c>
      <c r="H713">
        <v>0</v>
      </c>
      <c r="J713" t="s">
        <v>0</v>
      </c>
      <c r="K713" t="s">
        <v>50</v>
      </c>
      <c r="L713" t="s">
        <v>51</v>
      </c>
      <c r="M713">
        <v>0</v>
      </c>
      <c r="N713" t="s">
        <v>57</v>
      </c>
      <c r="O713">
        <v>1</v>
      </c>
      <c r="P713" t="s">
        <v>53</v>
      </c>
      <c r="Q713" s="2">
        <v>0.48194444444444445</v>
      </c>
      <c r="R713">
        <f>-0.0003229979*3600</f>
        <v>-1.1627924399999998</v>
      </c>
      <c r="S713">
        <f>-0.0004557125*3600</f>
        <v>-1.6405650000000001</v>
      </c>
    </row>
    <row r="714" spans="1:19" x14ac:dyDescent="0.3">
      <c r="A714" t="s">
        <v>48</v>
      </c>
      <c r="B714" t="s">
        <v>338</v>
      </c>
      <c r="C714">
        <v>1.5899999999999999E-4</v>
      </c>
      <c r="D714">
        <v>98.550888</v>
      </c>
      <c r="E714">
        <v>55.994599999999998</v>
      </c>
      <c r="F714">
        <v>56.066699999999997</v>
      </c>
      <c r="G714">
        <v>0</v>
      </c>
      <c r="H714">
        <v>0</v>
      </c>
      <c r="J714" t="s">
        <v>0</v>
      </c>
      <c r="K714" t="s">
        <v>50</v>
      </c>
      <c r="L714" t="s">
        <v>51</v>
      </c>
      <c r="M714">
        <v>0</v>
      </c>
      <c r="N714" t="s">
        <v>57</v>
      </c>
      <c r="O714">
        <v>1</v>
      </c>
      <c r="P714" t="s">
        <v>53</v>
      </c>
      <c r="Q714" s="2">
        <v>0.48194444444444445</v>
      </c>
      <c r="R714">
        <f>-0.0000404896*3600</f>
        <v>-0.14576255999999999</v>
      </c>
      <c r="S714">
        <f>-0.0000899218*3600</f>
        <v>-0.32371847999999998</v>
      </c>
    </row>
    <row r="715" spans="1:19" x14ac:dyDescent="0.3">
      <c r="A715" t="s">
        <v>48</v>
      </c>
      <c r="B715" t="s">
        <v>339</v>
      </c>
      <c r="C715">
        <v>3.8000000000000002E-5</v>
      </c>
      <c r="D715">
        <v>98.551158999999998</v>
      </c>
      <c r="E715">
        <v>55.994599999999998</v>
      </c>
      <c r="F715">
        <v>56.066600000000001</v>
      </c>
      <c r="G715">
        <v>0</v>
      </c>
      <c r="H715">
        <v>0</v>
      </c>
      <c r="J715" t="s">
        <v>0</v>
      </c>
      <c r="K715" t="s">
        <v>50</v>
      </c>
      <c r="L715" t="s">
        <v>51</v>
      </c>
      <c r="M715">
        <v>0</v>
      </c>
      <c r="N715" t="s">
        <v>57</v>
      </c>
      <c r="O715">
        <v>1</v>
      </c>
      <c r="P715" t="s">
        <v>53</v>
      </c>
      <c r="Q715" s="2">
        <v>0.48194444444444445</v>
      </c>
      <c r="R715">
        <f>-0.0002408177*3600</f>
        <v>-0.86694371999999997</v>
      </c>
      <c r="S715">
        <f>-0.0004290638*3600</f>
        <v>-1.5446296799999999</v>
      </c>
    </row>
    <row r="716" spans="1:19" x14ac:dyDescent="0.3">
      <c r="A716" t="s">
        <v>0</v>
      </c>
      <c r="B716" t="s">
        <v>40</v>
      </c>
      <c r="C716" t="s">
        <v>41</v>
      </c>
      <c r="D716" t="s">
        <v>42</v>
      </c>
      <c r="E716">
        <v>5</v>
      </c>
    </row>
    <row r="717" spans="1:19" x14ac:dyDescent="0.3">
      <c r="A717" t="s">
        <v>0</v>
      </c>
      <c r="B717" t="s">
        <v>43</v>
      </c>
      <c r="C717" t="s">
        <v>44</v>
      </c>
      <c r="D717">
        <v>1522</v>
      </c>
    </row>
    <row r="718" spans="1:19" x14ac:dyDescent="0.3">
      <c r="A718" t="s">
        <v>0</v>
      </c>
      <c r="B718" t="s">
        <v>43</v>
      </c>
      <c r="C718" t="s">
        <v>45</v>
      </c>
      <c r="D718" t="s">
        <v>44</v>
      </c>
      <c r="E718">
        <v>1.0015223555999999</v>
      </c>
    </row>
    <row r="722" spans="1:19" x14ac:dyDescent="0.3">
      <c r="A722" t="s">
        <v>46</v>
      </c>
      <c r="B722" t="s">
        <v>340</v>
      </c>
    </row>
    <row r="723" spans="1:19" x14ac:dyDescent="0.3">
      <c r="A723" t="s">
        <v>48</v>
      </c>
      <c r="B723" t="s">
        <v>341</v>
      </c>
      <c r="C723">
        <v>400</v>
      </c>
      <c r="D723">
        <v>98.551806999999997</v>
      </c>
      <c r="E723">
        <v>55.994700000000002</v>
      </c>
      <c r="F723">
        <v>56.065399999999997</v>
      </c>
      <c r="G723">
        <v>0</v>
      </c>
      <c r="H723">
        <v>0</v>
      </c>
      <c r="J723" t="s">
        <v>0</v>
      </c>
      <c r="K723" t="s">
        <v>50</v>
      </c>
      <c r="L723" t="s">
        <v>51</v>
      </c>
      <c r="M723">
        <v>0</v>
      </c>
      <c r="N723" t="s">
        <v>52</v>
      </c>
      <c r="O723">
        <v>1</v>
      </c>
      <c r="P723" t="s">
        <v>53</v>
      </c>
      <c r="Q723" s="2">
        <v>0.4916666666666667</v>
      </c>
      <c r="R723">
        <f>-0.0006469632*3600</f>
        <v>-2.3290675200000002</v>
      </c>
      <c r="S723">
        <f>0.0006575083*3600</f>
        <v>2.36702988</v>
      </c>
    </row>
    <row r="724" spans="1:19" x14ac:dyDescent="0.3">
      <c r="A724" t="s">
        <v>29</v>
      </c>
      <c r="B724">
        <v>18</v>
      </c>
      <c r="C724" t="s">
        <v>30</v>
      </c>
      <c r="D724" s="3">
        <v>0.86</v>
      </c>
      <c r="E724" t="s">
        <v>31</v>
      </c>
      <c r="F724" t="s">
        <v>32</v>
      </c>
      <c r="G724" t="s">
        <v>33</v>
      </c>
      <c r="H724" t="s">
        <v>34</v>
      </c>
    </row>
    <row r="725" spans="1:19" x14ac:dyDescent="0.3">
      <c r="A725" t="s">
        <v>35</v>
      </c>
      <c r="B725" t="s">
        <v>342</v>
      </c>
      <c r="C725" t="s">
        <v>35</v>
      </c>
      <c r="D725" t="s">
        <v>343</v>
      </c>
    </row>
    <row r="726" spans="1:19" x14ac:dyDescent="0.3">
      <c r="A726" t="s">
        <v>38</v>
      </c>
      <c r="B726" t="s">
        <v>39</v>
      </c>
      <c r="C726">
        <v>0.13</v>
      </c>
    </row>
    <row r="727" spans="1:19" s="5" customFormat="1" x14ac:dyDescent="0.3">
      <c r="B727" s="5" t="s">
        <v>355</v>
      </c>
      <c r="R727" s="6"/>
    </row>
    <row r="728" spans="1:19" x14ac:dyDescent="0.3">
      <c r="A728" t="s">
        <v>340</v>
      </c>
      <c r="B728" t="s">
        <v>58</v>
      </c>
      <c r="C728">
        <v>205.53375</v>
      </c>
      <c r="D728">
        <v>100.4473</v>
      </c>
      <c r="E728">
        <v>55.915300000000002</v>
      </c>
      <c r="F728">
        <v>55.999099999999999</v>
      </c>
      <c r="G728">
        <v>0</v>
      </c>
      <c r="H728">
        <v>0</v>
      </c>
      <c r="J728" t="s">
        <v>0</v>
      </c>
      <c r="K728" t="s">
        <v>50</v>
      </c>
      <c r="L728" t="s">
        <v>51</v>
      </c>
      <c r="M728">
        <v>0</v>
      </c>
      <c r="N728" t="s">
        <v>57</v>
      </c>
      <c r="O728">
        <v>1</v>
      </c>
      <c r="P728" t="s">
        <v>53</v>
      </c>
      <c r="Q728" s="2">
        <v>0.49374999999999997</v>
      </c>
      <c r="R728">
        <f>-0.0002183551*3600</f>
        <v>-0.78607835999999998</v>
      </c>
      <c r="S728">
        <f>-0.0004224403*3600</f>
        <v>-1.52078508</v>
      </c>
    </row>
    <row r="729" spans="1:19" x14ac:dyDescent="0.3">
      <c r="A729" t="s">
        <v>340</v>
      </c>
      <c r="B729" t="s">
        <v>58</v>
      </c>
      <c r="C729">
        <v>205.533638</v>
      </c>
      <c r="D729">
        <v>100.447363</v>
      </c>
      <c r="E729">
        <v>55.915300000000002</v>
      </c>
      <c r="F729">
        <v>55.999099999999999</v>
      </c>
      <c r="G729">
        <v>0</v>
      </c>
      <c r="H729">
        <v>0</v>
      </c>
      <c r="J729" t="s">
        <v>0</v>
      </c>
      <c r="K729" t="s">
        <v>50</v>
      </c>
      <c r="L729" t="s">
        <v>51</v>
      </c>
      <c r="M729">
        <v>0</v>
      </c>
      <c r="N729" t="s">
        <v>57</v>
      </c>
      <c r="O729">
        <v>1</v>
      </c>
      <c r="P729" t="s">
        <v>53</v>
      </c>
      <c r="Q729" s="2">
        <v>0.49374999999999997</v>
      </c>
      <c r="R729">
        <f>-0.0000413043*3600</f>
        <v>-0.14869547999999999</v>
      </c>
      <c r="S729">
        <f>-0.0000957452*3600</f>
        <v>-0.34468272</v>
      </c>
    </row>
    <row r="730" spans="1:19" x14ac:dyDescent="0.3">
      <c r="A730" t="s">
        <v>340</v>
      </c>
      <c r="B730" t="s">
        <v>58</v>
      </c>
      <c r="C730">
        <v>205.53353000000001</v>
      </c>
      <c r="D730">
        <v>100.447275</v>
      </c>
      <c r="E730">
        <v>55.915300000000002</v>
      </c>
      <c r="F730">
        <v>55.999000000000002</v>
      </c>
      <c r="G730">
        <v>0</v>
      </c>
      <c r="H730">
        <v>0</v>
      </c>
      <c r="J730" t="s">
        <v>0</v>
      </c>
      <c r="K730" t="s">
        <v>50</v>
      </c>
      <c r="L730" t="s">
        <v>51</v>
      </c>
      <c r="M730">
        <v>0</v>
      </c>
      <c r="N730" t="s">
        <v>57</v>
      </c>
      <c r="O730">
        <v>1</v>
      </c>
      <c r="P730" t="s">
        <v>53</v>
      </c>
      <c r="Q730" s="2">
        <v>0.49444444444444446</v>
      </c>
      <c r="R730">
        <f>-0.0003221751*3600</f>
        <v>-1.1598303599999999</v>
      </c>
      <c r="S730">
        <f>-0.0004120194*3600</f>
        <v>-1.48326984</v>
      </c>
    </row>
    <row r="731" spans="1:19" x14ac:dyDescent="0.3">
      <c r="A731" t="s">
        <v>340</v>
      </c>
      <c r="B731" t="s">
        <v>59</v>
      </c>
      <c r="C731">
        <v>207.63830999999999</v>
      </c>
      <c r="D731">
        <v>100.246954</v>
      </c>
      <c r="E731">
        <v>75.157899999999998</v>
      </c>
      <c r="F731">
        <v>75.271699999999996</v>
      </c>
      <c r="G731">
        <v>0</v>
      </c>
      <c r="H731">
        <v>0</v>
      </c>
      <c r="J731" t="s">
        <v>0</v>
      </c>
      <c r="K731" t="s">
        <v>50</v>
      </c>
      <c r="L731" t="s">
        <v>51</v>
      </c>
      <c r="M731">
        <v>0</v>
      </c>
      <c r="N731" t="s">
        <v>57</v>
      </c>
      <c r="O731">
        <v>1</v>
      </c>
      <c r="P731" t="s">
        <v>53</v>
      </c>
      <c r="Q731" s="2">
        <v>0.49444444444444446</v>
      </c>
      <c r="R731">
        <f>0.0000034685*3600</f>
        <v>1.24866E-2</v>
      </c>
      <c r="S731">
        <f>-0.0002413983*3600</f>
        <v>-0.86903388000000004</v>
      </c>
    </row>
    <row r="732" spans="1:19" x14ac:dyDescent="0.3">
      <c r="A732" t="s">
        <v>340</v>
      </c>
      <c r="B732" t="s">
        <v>59</v>
      </c>
      <c r="C732">
        <v>207.63862700000001</v>
      </c>
      <c r="D732">
        <v>100.24699</v>
      </c>
      <c r="E732">
        <v>75.157700000000006</v>
      </c>
      <c r="F732">
        <v>75.271600000000007</v>
      </c>
      <c r="G732">
        <v>0</v>
      </c>
      <c r="H732">
        <v>0</v>
      </c>
      <c r="J732" t="s">
        <v>0</v>
      </c>
      <c r="K732" t="s">
        <v>50</v>
      </c>
      <c r="L732" t="s">
        <v>51</v>
      </c>
      <c r="M732">
        <v>0</v>
      </c>
      <c r="N732" t="s">
        <v>57</v>
      </c>
      <c r="O732">
        <v>1</v>
      </c>
      <c r="P732" t="s">
        <v>53</v>
      </c>
      <c r="Q732" s="2">
        <v>0.49513888888888885</v>
      </c>
      <c r="R732">
        <f>-0.0001216756*3600</f>
        <v>-0.43803216</v>
      </c>
      <c r="S732">
        <f>-0.0001969068*3600</f>
        <v>-0.70886448000000002</v>
      </c>
    </row>
    <row r="733" spans="1:19" x14ac:dyDescent="0.3">
      <c r="A733" t="s">
        <v>340</v>
      </c>
      <c r="B733" t="s">
        <v>59</v>
      </c>
      <c r="C733">
        <v>207.638542</v>
      </c>
      <c r="D733">
        <v>100.246815</v>
      </c>
      <c r="E733">
        <v>75.157700000000006</v>
      </c>
      <c r="F733">
        <v>75.271600000000007</v>
      </c>
      <c r="G733">
        <v>0</v>
      </c>
      <c r="H733">
        <v>0</v>
      </c>
      <c r="J733" t="s">
        <v>0</v>
      </c>
      <c r="K733" t="s">
        <v>50</v>
      </c>
      <c r="L733" t="s">
        <v>51</v>
      </c>
      <c r="M733">
        <v>0</v>
      </c>
      <c r="N733" t="s">
        <v>57</v>
      </c>
      <c r="O733">
        <v>1</v>
      </c>
      <c r="P733" t="s">
        <v>53</v>
      </c>
      <c r="Q733" s="2">
        <v>0.49513888888888885</v>
      </c>
      <c r="R733">
        <f>0.0001921762*3600</f>
        <v>0.69183432</v>
      </c>
      <c r="S733">
        <f>-0.0002552657*3600</f>
        <v>-0.91895651999999994</v>
      </c>
    </row>
    <row r="734" spans="1:19" x14ac:dyDescent="0.3">
      <c r="A734" t="s">
        <v>340</v>
      </c>
      <c r="B734" t="s">
        <v>59</v>
      </c>
      <c r="C734">
        <v>207.63825</v>
      </c>
      <c r="D734">
        <v>100.246909</v>
      </c>
      <c r="E734">
        <v>75.157600000000002</v>
      </c>
      <c r="F734">
        <v>75.271500000000003</v>
      </c>
      <c r="G734">
        <v>0</v>
      </c>
      <c r="H734">
        <v>0</v>
      </c>
      <c r="J734" t="s">
        <v>0</v>
      </c>
      <c r="K734" t="s">
        <v>50</v>
      </c>
      <c r="L734" t="s">
        <v>51</v>
      </c>
      <c r="M734">
        <v>0</v>
      </c>
      <c r="N734" t="s">
        <v>57</v>
      </c>
      <c r="O734">
        <v>1</v>
      </c>
      <c r="P734" t="s">
        <v>53</v>
      </c>
      <c r="Q734" s="2">
        <v>0.51388888888888895</v>
      </c>
      <c r="R734">
        <f>-0.0001423729*3600</f>
        <v>-0.51254243999999993</v>
      </c>
      <c r="S734">
        <f>-0.0001329782*3600</f>
        <v>-0.47872152000000001</v>
      </c>
    </row>
    <row r="735" spans="1:19" x14ac:dyDescent="0.3">
      <c r="A735" t="s">
        <v>340</v>
      </c>
      <c r="B735" t="s">
        <v>59</v>
      </c>
      <c r="C735">
        <v>207.638274</v>
      </c>
      <c r="D735">
        <v>100.24685100000001</v>
      </c>
      <c r="E735">
        <v>75.157600000000002</v>
      </c>
      <c r="F735">
        <v>75.271500000000003</v>
      </c>
      <c r="G735">
        <v>0</v>
      </c>
      <c r="H735">
        <v>0</v>
      </c>
      <c r="J735" t="s">
        <v>0</v>
      </c>
      <c r="K735" t="s">
        <v>50</v>
      </c>
      <c r="L735" t="s">
        <v>51</v>
      </c>
      <c r="M735">
        <v>0</v>
      </c>
      <c r="N735" t="s">
        <v>57</v>
      </c>
      <c r="O735">
        <v>1</v>
      </c>
      <c r="P735" t="s">
        <v>53</v>
      </c>
      <c r="Q735" s="2">
        <v>0.51388888888888895</v>
      </c>
      <c r="R735">
        <f>-0.0001137106*3600</f>
        <v>-0.40935815999999997</v>
      </c>
      <c r="S735">
        <f>-0.0001634563*3600</f>
        <v>-0.58844268</v>
      </c>
    </row>
    <row r="736" spans="1:19" x14ac:dyDescent="0.3">
      <c r="A736" t="s">
        <v>340</v>
      </c>
      <c r="B736" t="s">
        <v>59</v>
      </c>
      <c r="C736">
        <v>207.63806600000001</v>
      </c>
      <c r="D736">
        <v>100.246747</v>
      </c>
      <c r="E736">
        <v>75.157799999999995</v>
      </c>
      <c r="F736">
        <v>75.271600000000007</v>
      </c>
      <c r="G736">
        <v>0</v>
      </c>
      <c r="H736">
        <v>0</v>
      </c>
      <c r="J736" t="s">
        <v>0</v>
      </c>
      <c r="K736" t="s">
        <v>50</v>
      </c>
      <c r="L736" t="s">
        <v>51</v>
      </c>
      <c r="M736">
        <v>0</v>
      </c>
      <c r="N736" t="s">
        <v>57</v>
      </c>
      <c r="O736">
        <v>1</v>
      </c>
      <c r="P736" t="s">
        <v>53</v>
      </c>
      <c r="Q736" s="2">
        <v>0.51458333333333328</v>
      </c>
      <c r="R736">
        <f>-0.0001782786*3600</f>
        <v>-0.64180295999999992</v>
      </c>
      <c r="S736">
        <f>-0.0001466569*3600</f>
        <v>-0.52796483999999999</v>
      </c>
    </row>
    <row r="737" spans="1:19" x14ac:dyDescent="0.3">
      <c r="A737" t="s">
        <v>340</v>
      </c>
      <c r="B737" t="s">
        <v>358</v>
      </c>
      <c r="C737">
        <v>399.99957499999999</v>
      </c>
      <c r="D737">
        <v>98.551362999999995</v>
      </c>
      <c r="E737">
        <v>55.994700000000002</v>
      </c>
      <c r="F737">
        <v>56.065399999999997</v>
      </c>
      <c r="G737">
        <v>0</v>
      </c>
      <c r="H737">
        <v>0</v>
      </c>
      <c r="J737" t="s">
        <v>0</v>
      </c>
      <c r="K737" t="s">
        <v>50</v>
      </c>
      <c r="L737" t="s">
        <v>51</v>
      </c>
      <c r="M737">
        <v>0</v>
      </c>
      <c r="N737" t="s">
        <v>57</v>
      </c>
      <c r="O737">
        <v>1</v>
      </c>
      <c r="P737" t="s">
        <v>53</v>
      </c>
      <c r="Q737" s="2">
        <v>0.4916666666666667</v>
      </c>
      <c r="R737">
        <f>-0.0001739136*3600</f>
        <v>-0.62608896000000003</v>
      </c>
      <c r="S737">
        <f>-0.0002524902*3600</f>
        <v>-0.90896471999999995</v>
      </c>
    </row>
    <row r="738" spans="1:19" x14ac:dyDescent="0.3">
      <c r="A738" t="s">
        <v>340</v>
      </c>
      <c r="B738" t="s">
        <v>358</v>
      </c>
      <c r="C738">
        <v>399.99918700000001</v>
      </c>
      <c r="D738">
        <v>98.551407999999995</v>
      </c>
      <c r="E738">
        <v>55.994599999999998</v>
      </c>
      <c r="F738">
        <v>56.065300000000001</v>
      </c>
      <c r="G738">
        <v>0</v>
      </c>
      <c r="H738">
        <v>0</v>
      </c>
      <c r="J738" t="s">
        <v>0</v>
      </c>
      <c r="K738" t="s">
        <v>50</v>
      </c>
      <c r="L738" t="s">
        <v>51</v>
      </c>
      <c r="M738">
        <v>0</v>
      </c>
      <c r="N738" t="s">
        <v>57</v>
      </c>
      <c r="O738">
        <v>1</v>
      </c>
      <c r="P738" t="s">
        <v>53</v>
      </c>
      <c r="Q738" s="2">
        <v>0.49236111111111108</v>
      </c>
      <c r="R738">
        <f>-0.0001294587*3600</f>
        <v>-0.46605131999999994</v>
      </c>
      <c r="S738">
        <f>-0.0002214786*3600</f>
        <v>-0.79732296000000003</v>
      </c>
    </row>
    <row r="739" spans="1:19" x14ac:dyDescent="0.3">
      <c r="A739" t="s">
        <v>340</v>
      </c>
      <c r="B739" t="s">
        <v>358</v>
      </c>
      <c r="C739">
        <v>399.99947500000002</v>
      </c>
      <c r="D739">
        <v>98.551574000000002</v>
      </c>
      <c r="E739">
        <v>55.994799999999998</v>
      </c>
      <c r="F739">
        <v>56.0655</v>
      </c>
      <c r="G739">
        <v>0</v>
      </c>
      <c r="H739">
        <v>0</v>
      </c>
      <c r="J739" t="s">
        <v>0</v>
      </c>
      <c r="K739" t="s">
        <v>50</v>
      </c>
      <c r="L739" t="s">
        <v>51</v>
      </c>
      <c r="M739">
        <v>0</v>
      </c>
      <c r="N739" t="s">
        <v>57</v>
      </c>
      <c r="O739">
        <v>1</v>
      </c>
      <c r="P739" t="s">
        <v>53</v>
      </c>
      <c r="Q739" s="2">
        <v>0.49305555555555558</v>
      </c>
      <c r="R739">
        <f>-0.0002295162*3600</f>
        <v>-0.82625831999999999</v>
      </c>
      <c r="S739">
        <f>-0.0001179997*3600</f>
        <v>-0.42479892000000002</v>
      </c>
    </row>
    <row r="740" spans="1:19" x14ac:dyDescent="0.3">
      <c r="A740" t="s">
        <v>340</v>
      </c>
      <c r="B740" t="s">
        <v>358</v>
      </c>
      <c r="C740">
        <v>399.999167</v>
      </c>
      <c r="D740">
        <v>98.551259999999999</v>
      </c>
      <c r="E740">
        <v>55.994700000000002</v>
      </c>
      <c r="F740">
        <v>56.065399999999997</v>
      </c>
      <c r="G740">
        <v>0</v>
      </c>
      <c r="H740">
        <v>0</v>
      </c>
      <c r="J740" t="s">
        <v>0</v>
      </c>
      <c r="K740" t="s">
        <v>50</v>
      </c>
      <c r="L740" t="s">
        <v>51</v>
      </c>
      <c r="M740">
        <v>0</v>
      </c>
      <c r="N740" t="s">
        <v>57</v>
      </c>
      <c r="O740">
        <v>1</v>
      </c>
      <c r="P740" t="s">
        <v>53</v>
      </c>
      <c r="Q740" s="2">
        <v>0.49583333333333335</v>
      </c>
      <c r="R740">
        <f>-0.0000351109*3600</f>
        <v>-0.12639924000000002</v>
      </c>
      <c r="S740">
        <f>-0.0001916573*3600</f>
        <v>-0.68996627999999993</v>
      </c>
    </row>
    <row r="741" spans="1:19" x14ac:dyDescent="0.3">
      <c r="A741" t="s">
        <v>340</v>
      </c>
      <c r="B741" t="s">
        <v>358</v>
      </c>
      <c r="C741">
        <v>399.998672</v>
      </c>
      <c r="D741">
        <v>98.551286000000005</v>
      </c>
      <c r="E741">
        <v>55.994599999999998</v>
      </c>
      <c r="F741">
        <v>56.065300000000001</v>
      </c>
      <c r="G741">
        <v>0</v>
      </c>
      <c r="H741">
        <v>0</v>
      </c>
      <c r="J741" t="s">
        <v>0</v>
      </c>
      <c r="K741" t="s">
        <v>50</v>
      </c>
      <c r="L741" t="s">
        <v>51</v>
      </c>
      <c r="M741">
        <v>0</v>
      </c>
      <c r="N741" t="s">
        <v>57</v>
      </c>
      <c r="O741">
        <v>1</v>
      </c>
      <c r="P741" t="s">
        <v>53</v>
      </c>
      <c r="Q741" s="2">
        <v>0.49583333333333335</v>
      </c>
      <c r="R741">
        <f>-0.0002498304*3600</f>
        <v>-0.8993894400000001</v>
      </c>
      <c r="S741">
        <f>-0.0000071602*3600</f>
        <v>-2.5776719999999999E-2</v>
      </c>
    </row>
    <row r="742" spans="1:19" x14ac:dyDescent="0.3">
      <c r="A742" t="s">
        <v>340</v>
      </c>
      <c r="B742" t="s">
        <v>358</v>
      </c>
      <c r="C742">
        <v>399.99915399999998</v>
      </c>
      <c r="D742">
        <v>98.551648</v>
      </c>
      <c r="E742">
        <v>55.994700000000002</v>
      </c>
      <c r="F742">
        <v>56.065399999999997</v>
      </c>
      <c r="G742">
        <v>0</v>
      </c>
      <c r="H742">
        <v>0</v>
      </c>
      <c r="J742" t="s">
        <v>0</v>
      </c>
      <c r="K742" t="s">
        <v>50</v>
      </c>
      <c r="L742" t="s">
        <v>51</v>
      </c>
      <c r="M742">
        <v>0</v>
      </c>
      <c r="N742" t="s">
        <v>57</v>
      </c>
      <c r="O742">
        <v>1</v>
      </c>
      <c r="P742" t="s">
        <v>53</v>
      </c>
      <c r="Q742" s="2">
        <v>0.51250000000000007</v>
      </c>
      <c r="R742">
        <f>-0.000113981*3600</f>
        <v>-0.41033160000000002</v>
      </c>
      <c r="S742">
        <f>-0.0001204138*3600</f>
        <v>-0.43348967999999999</v>
      </c>
    </row>
    <row r="743" spans="1:19" x14ac:dyDescent="0.3">
      <c r="A743" t="s">
        <v>340</v>
      </c>
      <c r="B743" t="s">
        <v>358</v>
      </c>
      <c r="C743">
        <v>399.998694</v>
      </c>
      <c r="D743">
        <v>98.551485999999997</v>
      </c>
      <c r="E743">
        <v>55.994799999999998</v>
      </c>
      <c r="F743">
        <v>56.0655</v>
      </c>
      <c r="G743">
        <v>0</v>
      </c>
      <c r="H743">
        <v>0</v>
      </c>
      <c r="J743" t="s">
        <v>0</v>
      </c>
      <c r="K743" t="s">
        <v>50</v>
      </c>
      <c r="L743" t="s">
        <v>51</v>
      </c>
      <c r="M743">
        <v>0</v>
      </c>
      <c r="N743" t="s">
        <v>57</v>
      </c>
      <c r="O743">
        <v>1</v>
      </c>
      <c r="P743" t="s">
        <v>53</v>
      </c>
      <c r="Q743" s="2">
        <v>0.5131944444444444</v>
      </c>
      <c r="R743">
        <f>-0.0001082637*3600</f>
        <v>-0.38974932000000001</v>
      </c>
      <c r="S743">
        <f>-0.0001669678*3600</f>
        <v>-0.60108408000000002</v>
      </c>
    </row>
    <row r="744" spans="1:19" x14ac:dyDescent="0.3">
      <c r="A744" t="s">
        <v>340</v>
      </c>
      <c r="B744" t="s">
        <v>358</v>
      </c>
      <c r="C744">
        <v>399.99880899999999</v>
      </c>
      <c r="D744">
        <v>98.551507000000001</v>
      </c>
      <c r="E744">
        <v>55.994700000000002</v>
      </c>
      <c r="F744">
        <v>56.065399999999997</v>
      </c>
      <c r="G744">
        <v>0</v>
      </c>
      <c r="H744">
        <v>0</v>
      </c>
      <c r="J744" t="s">
        <v>0</v>
      </c>
      <c r="K744" t="s">
        <v>50</v>
      </c>
      <c r="L744" t="s">
        <v>51</v>
      </c>
      <c r="M744">
        <v>0</v>
      </c>
      <c r="N744" t="s">
        <v>57</v>
      </c>
      <c r="O744">
        <v>1</v>
      </c>
      <c r="P744" t="s">
        <v>53</v>
      </c>
      <c r="Q744" s="2">
        <v>0.5131944444444444</v>
      </c>
      <c r="R744">
        <f>-0.0001475706*3600</f>
        <v>-0.53125416000000003</v>
      </c>
      <c r="S744">
        <f>-0.0002119092*3600</f>
        <v>-0.76287311999999996</v>
      </c>
    </row>
    <row r="747" spans="1:19" x14ac:dyDescent="0.3">
      <c r="A747" t="s">
        <v>340</v>
      </c>
      <c r="B747" s="9">
        <v>8500</v>
      </c>
      <c r="C747" s="9">
        <v>7.4622200000000003</v>
      </c>
      <c r="D747" s="9">
        <v>100.015379</v>
      </c>
      <c r="E747">
        <v>2.0413999999999999</v>
      </c>
      <c r="F747">
        <v>2.0445000000000002</v>
      </c>
      <c r="G747">
        <v>0</v>
      </c>
      <c r="H747">
        <v>0</v>
      </c>
      <c r="J747" t="s">
        <v>0</v>
      </c>
      <c r="K747" t="s">
        <v>61</v>
      </c>
      <c r="L747">
        <v>3.4000000000000002E-2</v>
      </c>
      <c r="M747" t="s">
        <v>52</v>
      </c>
      <c r="N747">
        <v>1</v>
      </c>
      <c r="O747" t="s">
        <v>53</v>
      </c>
      <c r="P747" s="2">
        <v>0.49791666666666662</v>
      </c>
      <c r="Q747">
        <f>-0.0009807466*3600</f>
        <v>-3.5306877600000002</v>
      </c>
      <c r="R747">
        <f>0.0003106318*3600</f>
        <v>1.11827448</v>
      </c>
    </row>
    <row r="748" spans="1:19" x14ac:dyDescent="0.3">
      <c r="A748" t="s">
        <v>340</v>
      </c>
      <c r="B748" s="9">
        <v>8501</v>
      </c>
      <c r="C748" s="9">
        <v>7.4627059999999998</v>
      </c>
      <c r="D748" s="9">
        <v>99.264705000000006</v>
      </c>
      <c r="E748">
        <v>1</v>
      </c>
      <c r="F748">
        <v>1</v>
      </c>
      <c r="G748">
        <v>0</v>
      </c>
      <c r="H748">
        <v>0</v>
      </c>
      <c r="J748" t="s">
        <v>0</v>
      </c>
      <c r="K748" t="s">
        <v>61</v>
      </c>
      <c r="L748">
        <v>0</v>
      </c>
      <c r="M748" t="s">
        <v>52</v>
      </c>
      <c r="N748">
        <v>1</v>
      </c>
      <c r="O748" t="s">
        <v>63</v>
      </c>
      <c r="P748" s="2">
        <v>0.49861111111111112</v>
      </c>
      <c r="Q748">
        <f>-0.0008869068*3600</f>
        <v>-3.1928644799999999</v>
      </c>
      <c r="R748">
        <f>0.0005583069*3600</f>
        <v>2.0099048400000004</v>
      </c>
    </row>
    <row r="749" spans="1:19" x14ac:dyDescent="0.3">
      <c r="A749" t="s">
        <v>340</v>
      </c>
      <c r="B749" s="9">
        <v>8502</v>
      </c>
      <c r="C749" s="9">
        <v>7.4626320000000002</v>
      </c>
      <c r="D749" s="9">
        <v>99.265146999999999</v>
      </c>
      <c r="E749">
        <v>1</v>
      </c>
      <c r="F749">
        <v>1</v>
      </c>
      <c r="G749">
        <v>0</v>
      </c>
      <c r="H749">
        <v>0</v>
      </c>
      <c r="J749" t="s">
        <v>0</v>
      </c>
      <c r="K749" t="s">
        <v>61</v>
      </c>
      <c r="L749">
        <v>0</v>
      </c>
      <c r="M749" t="s">
        <v>52</v>
      </c>
      <c r="N749">
        <v>1</v>
      </c>
      <c r="O749" t="s">
        <v>63</v>
      </c>
      <c r="P749" s="2">
        <v>0.49861111111111112</v>
      </c>
      <c r="Q749">
        <f>-0.0008382373*3600</f>
        <v>-3.0176542799999999</v>
      </c>
      <c r="R749">
        <f>0.0005668479*3600</f>
        <v>2.0406524399999997</v>
      </c>
    </row>
    <row r="750" spans="1:19" x14ac:dyDescent="0.3">
      <c r="A750" t="s">
        <v>340</v>
      </c>
      <c r="B750" s="9">
        <v>8503</v>
      </c>
      <c r="C750" s="9">
        <v>7.4617490000000002</v>
      </c>
      <c r="D750" s="9">
        <v>99.265148999999994</v>
      </c>
      <c r="E750">
        <v>1</v>
      </c>
      <c r="F750">
        <v>1</v>
      </c>
      <c r="G750">
        <v>0</v>
      </c>
      <c r="H750">
        <v>0</v>
      </c>
      <c r="J750" t="s">
        <v>0</v>
      </c>
      <c r="K750" t="s">
        <v>61</v>
      </c>
      <c r="L750">
        <v>0</v>
      </c>
      <c r="M750" t="s">
        <v>52</v>
      </c>
      <c r="N750">
        <v>1</v>
      </c>
      <c r="O750" t="s">
        <v>63</v>
      </c>
      <c r="P750" s="2">
        <v>0.49861111111111112</v>
      </c>
      <c r="Q750">
        <f>-0.0009016713*3600</f>
        <v>-3.2460166800000003</v>
      </c>
      <c r="R750">
        <f>0.0005410721*3600</f>
        <v>1.9478595599999999</v>
      </c>
    </row>
    <row r="751" spans="1:19" x14ac:dyDescent="0.3">
      <c r="A751" t="s">
        <v>340</v>
      </c>
      <c r="B751" s="9">
        <v>8504</v>
      </c>
      <c r="C751" s="9">
        <v>7.4619090000000003</v>
      </c>
      <c r="D751" s="9">
        <v>99.265225999999998</v>
      </c>
      <c r="E751">
        <v>1</v>
      </c>
      <c r="F751">
        <v>1</v>
      </c>
      <c r="G751">
        <v>0</v>
      </c>
      <c r="H751">
        <v>0</v>
      </c>
      <c r="J751" t="s">
        <v>0</v>
      </c>
      <c r="K751" t="s">
        <v>61</v>
      </c>
      <c r="L751">
        <v>0</v>
      </c>
      <c r="M751" t="s">
        <v>52</v>
      </c>
      <c r="N751">
        <v>1</v>
      </c>
      <c r="O751" t="s">
        <v>63</v>
      </c>
      <c r="P751" s="2">
        <v>0.49861111111111112</v>
      </c>
      <c r="Q751">
        <f>-0.0009881643*3600</f>
        <v>-3.5573914800000002</v>
      </c>
      <c r="R751">
        <f>0.0006227687*3600</f>
        <v>2.2419673200000001</v>
      </c>
    </row>
    <row r="752" spans="1:19" x14ac:dyDescent="0.3">
      <c r="A752" t="s">
        <v>340</v>
      </c>
      <c r="B752" s="9">
        <v>8505</v>
      </c>
      <c r="C752" s="9">
        <v>7.4612480000000003</v>
      </c>
      <c r="D752" s="9">
        <v>99.265152999999998</v>
      </c>
      <c r="E752">
        <v>1</v>
      </c>
      <c r="F752">
        <v>1</v>
      </c>
      <c r="G752">
        <v>0</v>
      </c>
      <c r="H752">
        <v>0</v>
      </c>
      <c r="J752" t="s">
        <v>0</v>
      </c>
      <c r="K752" t="s">
        <v>61</v>
      </c>
      <c r="L752">
        <v>0</v>
      </c>
      <c r="M752" t="s">
        <v>52</v>
      </c>
      <c r="N752">
        <v>1</v>
      </c>
      <c r="O752" t="s">
        <v>63</v>
      </c>
      <c r="P752" s="2">
        <v>0.49861111111111112</v>
      </c>
      <c r="Q752">
        <f>-0.001074586*3600</f>
        <v>-3.8685095999999999</v>
      </c>
      <c r="R752">
        <f>0.0005717281*3600</f>
        <v>2.05822116</v>
      </c>
    </row>
    <row r="753" spans="1:18" x14ac:dyDescent="0.3">
      <c r="A753" t="s">
        <v>340</v>
      </c>
      <c r="B753" s="9">
        <v>8506</v>
      </c>
      <c r="C753" s="9">
        <v>7.462046</v>
      </c>
      <c r="D753" s="9">
        <v>99.265162000000004</v>
      </c>
      <c r="E753">
        <v>1</v>
      </c>
      <c r="F753">
        <v>1</v>
      </c>
      <c r="G753">
        <v>0</v>
      </c>
      <c r="H753">
        <v>0</v>
      </c>
      <c r="J753" t="s">
        <v>0</v>
      </c>
      <c r="K753" t="s">
        <v>61</v>
      </c>
      <c r="L753">
        <v>0</v>
      </c>
      <c r="M753" t="s">
        <v>52</v>
      </c>
      <c r="N753">
        <v>1</v>
      </c>
      <c r="O753" t="s">
        <v>63</v>
      </c>
      <c r="P753" s="2">
        <v>0.49861111111111112</v>
      </c>
      <c r="Q753">
        <f>-0.0009491861*3600</f>
        <v>-3.4170699600000001</v>
      </c>
      <c r="R753">
        <f>0.000568809*3600</f>
        <v>2.0477124</v>
      </c>
    </row>
    <row r="754" spans="1:18" x14ac:dyDescent="0.3">
      <c r="A754" t="s">
        <v>340</v>
      </c>
      <c r="B754" s="9">
        <v>8507</v>
      </c>
      <c r="C754" s="9">
        <v>7.4621040000000001</v>
      </c>
      <c r="D754" s="9">
        <v>99.265085999999997</v>
      </c>
      <c r="E754">
        <v>1</v>
      </c>
      <c r="F754">
        <v>1</v>
      </c>
      <c r="G754">
        <v>0</v>
      </c>
      <c r="H754">
        <v>0</v>
      </c>
      <c r="J754" t="s">
        <v>0</v>
      </c>
      <c r="K754" t="s">
        <v>61</v>
      </c>
      <c r="L754">
        <v>0</v>
      </c>
      <c r="M754" t="s">
        <v>52</v>
      </c>
      <c r="N754">
        <v>1</v>
      </c>
      <c r="O754" t="s">
        <v>63</v>
      </c>
      <c r="P754" s="2">
        <v>0.49861111111111112</v>
      </c>
      <c r="Q754">
        <f>-0.0010542924*3600</f>
        <v>-3.7954526400000002</v>
      </c>
      <c r="R754">
        <f>0.0005102926*3600</f>
        <v>1.8370533599999999</v>
      </c>
    </row>
    <row r="755" spans="1:18" x14ac:dyDescent="0.3">
      <c r="A755" t="s">
        <v>340</v>
      </c>
      <c r="B755" s="9">
        <v>8508</v>
      </c>
      <c r="C755" s="9">
        <v>7.4621209999999998</v>
      </c>
      <c r="D755" s="9">
        <v>99.265248999999997</v>
      </c>
      <c r="E755">
        <v>1</v>
      </c>
      <c r="F755">
        <v>1</v>
      </c>
      <c r="G755">
        <v>0</v>
      </c>
      <c r="H755">
        <v>0</v>
      </c>
      <c r="J755" t="s">
        <v>0</v>
      </c>
      <c r="K755" t="s">
        <v>61</v>
      </c>
      <c r="L755">
        <v>0</v>
      </c>
      <c r="M755" t="s">
        <v>52</v>
      </c>
      <c r="N755">
        <v>1</v>
      </c>
      <c r="O755" t="s">
        <v>63</v>
      </c>
      <c r="P755" s="2">
        <v>0.4993055555555555</v>
      </c>
      <c r="Q755">
        <f>-0.0011487441*3600</f>
        <v>-4.1354787599999998</v>
      </c>
      <c r="R755">
        <f>0.0006679715*3600</f>
        <v>2.4046973999999999</v>
      </c>
    </row>
    <row r="756" spans="1:18" x14ac:dyDescent="0.3">
      <c r="A756" t="s">
        <v>340</v>
      </c>
      <c r="B756" s="9">
        <v>8509</v>
      </c>
      <c r="C756" s="9">
        <v>7.4622830000000002</v>
      </c>
      <c r="D756" s="9">
        <v>99.265246000000005</v>
      </c>
      <c r="E756">
        <v>1</v>
      </c>
      <c r="F756">
        <v>1</v>
      </c>
      <c r="G756">
        <v>0</v>
      </c>
      <c r="H756">
        <v>0</v>
      </c>
      <c r="J756" t="s">
        <v>0</v>
      </c>
      <c r="K756" t="s">
        <v>61</v>
      </c>
      <c r="L756">
        <v>0</v>
      </c>
      <c r="M756" t="s">
        <v>52</v>
      </c>
      <c r="N756">
        <v>1</v>
      </c>
      <c r="O756" t="s">
        <v>63</v>
      </c>
      <c r="P756" s="2">
        <v>0.4993055555555555</v>
      </c>
      <c r="Q756">
        <f>-0.0011109573*3600</f>
        <v>-3.9994462799999999</v>
      </c>
      <c r="R756">
        <f>0.0006669782*3600</f>
        <v>2.4011215199999998</v>
      </c>
    </row>
    <row r="757" spans="1:18" x14ac:dyDescent="0.3">
      <c r="A757" t="s">
        <v>340</v>
      </c>
      <c r="B757" s="9">
        <v>8510</v>
      </c>
      <c r="C757" s="9">
        <v>7.4628940000000004</v>
      </c>
      <c r="D757" s="9">
        <v>99.265236999999999</v>
      </c>
      <c r="E757">
        <v>1</v>
      </c>
      <c r="F757">
        <v>1</v>
      </c>
      <c r="G757">
        <v>0</v>
      </c>
      <c r="H757">
        <v>0</v>
      </c>
      <c r="J757" t="s">
        <v>0</v>
      </c>
      <c r="K757" t="s">
        <v>61</v>
      </c>
      <c r="L757">
        <v>0</v>
      </c>
      <c r="M757" t="s">
        <v>52</v>
      </c>
      <c r="N757">
        <v>1</v>
      </c>
      <c r="O757" t="s">
        <v>63</v>
      </c>
      <c r="P757" s="2">
        <v>0.4993055555555555</v>
      </c>
      <c r="Q757">
        <f>-0.000943552*3600</f>
        <v>-3.3967871999999999</v>
      </c>
      <c r="R757">
        <f>0.000645314*3600</f>
        <v>2.3231304000000002</v>
      </c>
    </row>
    <row r="758" spans="1:18" x14ac:dyDescent="0.3">
      <c r="A758" t="s">
        <v>340</v>
      </c>
      <c r="B758" s="9">
        <v>8511</v>
      </c>
      <c r="C758" s="9">
        <v>7.4622970000000004</v>
      </c>
      <c r="D758" s="9">
        <v>99.265174000000002</v>
      </c>
      <c r="E758">
        <v>1</v>
      </c>
      <c r="F758">
        <v>1</v>
      </c>
      <c r="G758">
        <v>0</v>
      </c>
      <c r="H758">
        <v>0</v>
      </c>
      <c r="J758" t="s">
        <v>0</v>
      </c>
      <c r="K758" t="s">
        <v>61</v>
      </c>
      <c r="L758">
        <v>0</v>
      </c>
      <c r="M758" t="s">
        <v>52</v>
      </c>
      <c r="N758">
        <v>1</v>
      </c>
      <c r="O758" t="s">
        <v>63</v>
      </c>
      <c r="P758" s="2">
        <v>0.4993055555555555</v>
      </c>
      <c r="Q758">
        <f>-0.0009545221*3600</f>
        <v>-3.43627956</v>
      </c>
      <c r="R758">
        <f>0.0006108967*3600</f>
        <v>2.1992281199999999</v>
      </c>
    </row>
    <row r="759" spans="1:18" x14ac:dyDescent="0.3">
      <c r="A759" t="s">
        <v>340</v>
      </c>
      <c r="B759" s="9">
        <v>8512</v>
      </c>
      <c r="C759" s="9">
        <v>7.4621230000000001</v>
      </c>
      <c r="D759" s="9">
        <v>99.265094000000005</v>
      </c>
      <c r="E759">
        <v>1</v>
      </c>
      <c r="F759">
        <v>1</v>
      </c>
      <c r="G759">
        <v>0</v>
      </c>
      <c r="H759">
        <v>0</v>
      </c>
      <c r="J759" t="s">
        <v>0</v>
      </c>
      <c r="K759" t="s">
        <v>61</v>
      </c>
      <c r="L759">
        <v>0</v>
      </c>
      <c r="M759" t="s">
        <v>52</v>
      </c>
      <c r="N759">
        <v>1</v>
      </c>
      <c r="O759" t="s">
        <v>63</v>
      </c>
      <c r="P759" s="2">
        <v>0.4993055555555555</v>
      </c>
      <c r="Q759">
        <f>-0.0011094989*3600</f>
        <v>-3.9941960400000003</v>
      </c>
      <c r="R759">
        <f>0.0005286924*3600</f>
        <v>1.9032926400000001</v>
      </c>
    </row>
    <row r="760" spans="1:18" x14ac:dyDescent="0.3">
      <c r="A760" t="s">
        <v>340</v>
      </c>
      <c r="B760" s="9">
        <v>8513</v>
      </c>
      <c r="C760" s="9">
        <v>7.4616819999999997</v>
      </c>
      <c r="D760" s="9">
        <v>99.265231</v>
      </c>
      <c r="E760">
        <v>1</v>
      </c>
      <c r="F760">
        <v>1</v>
      </c>
      <c r="G760">
        <v>0</v>
      </c>
      <c r="H760">
        <v>0</v>
      </c>
      <c r="J760" t="s">
        <v>0</v>
      </c>
      <c r="K760" t="s">
        <v>61</v>
      </c>
      <c r="L760">
        <v>0</v>
      </c>
      <c r="M760" t="s">
        <v>52</v>
      </c>
      <c r="N760">
        <v>1</v>
      </c>
      <c r="O760" t="s">
        <v>63</v>
      </c>
      <c r="P760" s="2">
        <v>0.4993055555555555</v>
      </c>
      <c r="Q760">
        <f>-0.0009451978*3600</f>
        <v>-3.4027120800000001</v>
      </c>
      <c r="R760">
        <f>0.0006677792*3600</f>
        <v>2.4040051200000003</v>
      </c>
    </row>
    <row r="761" spans="1:18" x14ac:dyDescent="0.3">
      <c r="A761" t="s">
        <v>340</v>
      </c>
      <c r="B761" s="9">
        <v>8514</v>
      </c>
      <c r="C761" s="9">
        <v>7.4613930000000002</v>
      </c>
      <c r="D761" s="9">
        <v>99.265128000000004</v>
      </c>
      <c r="E761">
        <v>1</v>
      </c>
      <c r="F761">
        <v>1</v>
      </c>
      <c r="G761">
        <v>0</v>
      </c>
      <c r="H761">
        <v>0</v>
      </c>
      <c r="J761" t="s">
        <v>0</v>
      </c>
      <c r="K761" t="s">
        <v>61</v>
      </c>
      <c r="L761">
        <v>0</v>
      </c>
      <c r="M761" t="s">
        <v>52</v>
      </c>
      <c r="N761">
        <v>1</v>
      </c>
      <c r="O761" t="s">
        <v>63</v>
      </c>
      <c r="P761" s="2">
        <v>0.4993055555555555</v>
      </c>
      <c r="Q761">
        <f>-0.0013285958*3600</f>
        <v>-4.7829448799999996</v>
      </c>
      <c r="R761">
        <f>0.0005611209*3600</f>
        <v>2.0200352399999999</v>
      </c>
    </row>
    <row r="762" spans="1:18" x14ac:dyDescent="0.3">
      <c r="A762" t="s">
        <v>340</v>
      </c>
      <c r="B762" s="9">
        <v>8515</v>
      </c>
      <c r="C762" s="9">
        <v>7.4620769999999998</v>
      </c>
      <c r="D762" s="9">
        <v>99.265187999999995</v>
      </c>
      <c r="E762">
        <v>1</v>
      </c>
      <c r="F762">
        <v>1</v>
      </c>
      <c r="G762">
        <v>0</v>
      </c>
      <c r="H762">
        <v>0</v>
      </c>
      <c r="J762" t="s">
        <v>0</v>
      </c>
      <c r="K762" t="s">
        <v>61</v>
      </c>
      <c r="L762">
        <v>0</v>
      </c>
      <c r="M762" t="s">
        <v>52</v>
      </c>
      <c r="N762">
        <v>1</v>
      </c>
      <c r="O762" t="s">
        <v>63</v>
      </c>
      <c r="P762" s="2">
        <v>0.4993055555555555</v>
      </c>
      <c r="Q762">
        <f>-0.0010537734*3600</f>
        <v>-3.7935842399999999</v>
      </c>
      <c r="R762">
        <f>0.0006009662*3600</f>
        <v>2.1634783200000003</v>
      </c>
    </row>
    <row r="763" spans="1:18" x14ac:dyDescent="0.3">
      <c r="A763" t="s">
        <v>340</v>
      </c>
      <c r="B763" s="9">
        <v>8516</v>
      </c>
      <c r="C763" s="9">
        <v>7.463044</v>
      </c>
      <c r="D763" s="9">
        <v>99.265175999999997</v>
      </c>
      <c r="E763">
        <v>1</v>
      </c>
      <c r="F763">
        <v>1</v>
      </c>
      <c r="G763">
        <v>0</v>
      </c>
      <c r="H763">
        <v>0</v>
      </c>
      <c r="J763" t="s">
        <v>0</v>
      </c>
      <c r="K763" t="s">
        <v>61</v>
      </c>
      <c r="L763">
        <v>0</v>
      </c>
      <c r="M763" t="s">
        <v>52</v>
      </c>
      <c r="N763">
        <v>1</v>
      </c>
      <c r="O763" t="s">
        <v>63</v>
      </c>
      <c r="P763" s="2">
        <v>0.4993055555555555</v>
      </c>
      <c r="Q763">
        <f>-0.0010161654*3600</f>
        <v>-3.6581954400000001</v>
      </c>
      <c r="R763">
        <f>0.0006068985*3600</f>
        <v>2.1848345999999998</v>
      </c>
    </row>
    <row r="764" spans="1:18" x14ac:dyDescent="0.3">
      <c r="A764" t="s">
        <v>340</v>
      </c>
      <c r="B764" s="9">
        <v>8517</v>
      </c>
      <c r="C764" s="9">
        <v>7.4622599999999997</v>
      </c>
      <c r="D764" s="9">
        <v>99.265221999999994</v>
      </c>
      <c r="E764">
        <v>1</v>
      </c>
      <c r="F764">
        <v>1</v>
      </c>
      <c r="G764">
        <v>0</v>
      </c>
      <c r="H764">
        <v>0</v>
      </c>
      <c r="J764" t="s">
        <v>0</v>
      </c>
      <c r="K764" t="s">
        <v>61</v>
      </c>
      <c r="L764">
        <v>0</v>
      </c>
      <c r="M764" t="s">
        <v>52</v>
      </c>
      <c r="N764">
        <v>1</v>
      </c>
      <c r="O764" t="s">
        <v>63</v>
      </c>
      <c r="P764" s="2">
        <v>0.4993055555555555</v>
      </c>
      <c r="Q764">
        <f>-0.0012129626*3600</f>
        <v>-4.3666653599999998</v>
      </c>
      <c r="R764">
        <f>0.0006566684*3600</f>
        <v>2.3640062400000001</v>
      </c>
    </row>
    <row r="765" spans="1:18" x14ac:dyDescent="0.3">
      <c r="A765" t="s">
        <v>340</v>
      </c>
      <c r="B765" s="9">
        <v>8518</v>
      </c>
      <c r="C765" s="9">
        <v>7.4619850000000003</v>
      </c>
      <c r="D765" s="9">
        <v>99.265158</v>
      </c>
      <c r="E765">
        <v>1</v>
      </c>
      <c r="F765">
        <v>1</v>
      </c>
      <c r="G765">
        <v>0</v>
      </c>
      <c r="H765">
        <v>0</v>
      </c>
      <c r="J765" t="s">
        <v>0</v>
      </c>
      <c r="K765" t="s">
        <v>61</v>
      </c>
      <c r="L765">
        <v>0</v>
      </c>
      <c r="M765" t="s">
        <v>52</v>
      </c>
      <c r="N765">
        <v>1</v>
      </c>
      <c r="O765" t="s">
        <v>63</v>
      </c>
      <c r="P765" s="2">
        <v>0.4993055555555555</v>
      </c>
      <c r="Q765">
        <f>-0.0013466998*3600</f>
        <v>-4.8481192800000006</v>
      </c>
      <c r="R765">
        <f>0.0005924449*3600</f>
        <v>2.1328016399999998</v>
      </c>
    </row>
    <row r="766" spans="1:18" x14ac:dyDescent="0.3">
      <c r="A766" t="s">
        <v>340</v>
      </c>
      <c r="B766" s="9">
        <v>8519</v>
      </c>
      <c r="C766" s="9">
        <v>7.4619030000000004</v>
      </c>
      <c r="D766" s="9">
        <v>99.265182999999993</v>
      </c>
      <c r="E766">
        <v>1</v>
      </c>
      <c r="F766">
        <v>1</v>
      </c>
      <c r="G766">
        <v>0</v>
      </c>
      <c r="H766">
        <v>0</v>
      </c>
      <c r="J766" t="s">
        <v>0</v>
      </c>
      <c r="K766" t="s">
        <v>61</v>
      </c>
      <c r="L766">
        <v>0</v>
      </c>
      <c r="M766" t="s">
        <v>52</v>
      </c>
      <c r="N766">
        <v>1</v>
      </c>
      <c r="O766" t="s">
        <v>63</v>
      </c>
      <c r="P766" s="2">
        <v>0.4993055555555555</v>
      </c>
      <c r="Q766">
        <f>-0.0012704937*3600</f>
        <v>-4.5737773199999996</v>
      </c>
      <c r="R766">
        <f>0.0006165755*3600</f>
        <v>2.2196718</v>
      </c>
    </row>
    <row r="767" spans="1:18" x14ac:dyDescent="0.3">
      <c r="A767" t="s">
        <v>340</v>
      </c>
      <c r="B767" s="9">
        <v>8520</v>
      </c>
      <c r="C767" s="9">
        <v>7.4619099999999996</v>
      </c>
      <c r="D767" s="9">
        <v>99.265136999999996</v>
      </c>
      <c r="E767">
        <v>1</v>
      </c>
      <c r="F767">
        <v>1</v>
      </c>
      <c r="G767">
        <v>0</v>
      </c>
      <c r="H767">
        <v>0</v>
      </c>
      <c r="J767" t="s">
        <v>0</v>
      </c>
      <c r="K767" t="s">
        <v>61</v>
      </c>
      <c r="L767">
        <v>0</v>
      </c>
      <c r="M767" t="s">
        <v>52</v>
      </c>
      <c r="N767">
        <v>1</v>
      </c>
      <c r="O767" t="s">
        <v>63</v>
      </c>
      <c r="P767" s="2">
        <v>0.4993055555555555</v>
      </c>
      <c r="Q767">
        <f>-0.0014754532*3600</f>
        <v>-5.3116315199999997</v>
      </c>
      <c r="R767">
        <f>0.000557233*3600</f>
        <v>2.0060387999999998</v>
      </c>
    </row>
    <row r="768" spans="1:18" x14ac:dyDescent="0.3">
      <c r="A768" t="s">
        <v>340</v>
      </c>
      <c r="B768" s="9">
        <v>8521</v>
      </c>
      <c r="C768" s="9">
        <v>7.4623530000000002</v>
      </c>
      <c r="D768" s="9">
        <v>99.265270999999998</v>
      </c>
      <c r="E768">
        <v>1</v>
      </c>
      <c r="F768">
        <v>1</v>
      </c>
      <c r="G768">
        <v>0</v>
      </c>
      <c r="H768">
        <v>0</v>
      </c>
      <c r="J768" t="s">
        <v>0</v>
      </c>
      <c r="K768" t="s">
        <v>61</v>
      </c>
      <c r="L768">
        <v>0</v>
      </c>
      <c r="M768" t="s">
        <v>52</v>
      </c>
      <c r="N768">
        <v>1</v>
      </c>
      <c r="O768" t="s">
        <v>63</v>
      </c>
      <c r="P768" s="2">
        <v>0.4993055555555555</v>
      </c>
      <c r="Q768">
        <f>-0.0011192481*3600</f>
        <v>-4.0292931599999999</v>
      </c>
      <c r="R768">
        <f>0.00068733*3600</f>
        <v>2.4743879999999998</v>
      </c>
    </row>
    <row r="769" spans="1:18" x14ac:dyDescent="0.3">
      <c r="A769" t="s">
        <v>340</v>
      </c>
      <c r="B769" s="9">
        <v>8522</v>
      </c>
      <c r="C769" s="9">
        <v>7.4633750000000001</v>
      </c>
      <c r="D769" s="9">
        <v>99.265180000000001</v>
      </c>
      <c r="E769">
        <v>1</v>
      </c>
      <c r="F769">
        <v>1</v>
      </c>
      <c r="G769">
        <v>0</v>
      </c>
      <c r="H769">
        <v>0</v>
      </c>
      <c r="J769" t="s">
        <v>0</v>
      </c>
      <c r="K769" t="s">
        <v>61</v>
      </c>
      <c r="L769">
        <v>0</v>
      </c>
      <c r="M769" t="s">
        <v>52</v>
      </c>
      <c r="N769">
        <v>1</v>
      </c>
      <c r="O769" t="s">
        <v>63</v>
      </c>
      <c r="P769" s="2">
        <v>0.4993055555555555</v>
      </c>
      <c r="Q769">
        <f>-0.0009791576*3600</f>
        <v>-3.5249673600000002</v>
      </c>
      <c r="R769">
        <f>0.0005897661*3600</f>
        <v>2.1231579599999999</v>
      </c>
    </row>
    <row r="770" spans="1:18" x14ac:dyDescent="0.3">
      <c r="A770" t="s">
        <v>340</v>
      </c>
      <c r="B770" s="9">
        <v>8523</v>
      </c>
      <c r="C770" s="9">
        <v>7.4621579999999996</v>
      </c>
      <c r="D770" s="9">
        <v>99.265134000000003</v>
      </c>
      <c r="E770">
        <v>1</v>
      </c>
      <c r="F770">
        <v>1</v>
      </c>
      <c r="G770">
        <v>0</v>
      </c>
      <c r="H770">
        <v>0</v>
      </c>
      <c r="J770" t="s">
        <v>0</v>
      </c>
      <c r="K770" t="s">
        <v>61</v>
      </c>
      <c r="L770">
        <v>0</v>
      </c>
      <c r="M770" t="s">
        <v>52</v>
      </c>
      <c r="N770">
        <v>1</v>
      </c>
      <c r="O770" t="s">
        <v>63</v>
      </c>
      <c r="P770" s="2">
        <v>0.4993055555555555</v>
      </c>
      <c r="Q770">
        <f>-0.001457092*3600</f>
        <v>-5.2455311999999994</v>
      </c>
      <c r="R770">
        <f>0.000550839*3600</f>
        <v>1.9830204</v>
      </c>
    </row>
    <row r="771" spans="1:18" x14ac:dyDescent="0.3">
      <c r="A771" t="s">
        <v>340</v>
      </c>
      <c r="B771" s="9">
        <v>8524</v>
      </c>
      <c r="C771" s="9">
        <v>7.462618</v>
      </c>
      <c r="D771" s="9">
        <v>99.265203</v>
      </c>
      <c r="E771">
        <v>1</v>
      </c>
      <c r="F771">
        <v>1</v>
      </c>
      <c r="G771">
        <v>0</v>
      </c>
      <c r="H771">
        <v>0</v>
      </c>
      <c r="J771" t="s">
        <v>0</v>
      </c>
      <c r="K771" t="s">
        <v>61</v>
      </c>
      <c r="L771">
        <v>0</v>
      </c>
      <c r="M771" t="s">
        <v>52</v>
      </c>
      <c r="N771">
        <v>1</v>
      </c>
      <c r="O771" t="s">
        <v>63</v>
      </c>
      <c r="P771" s="2">
        <v>0.4993055555555555</v>
      </c>
      <c r="Q771">
        <f>-0.0011674916*3600</f>
        <v>-4.2029697600000002</v>
      </c>
      <c r="R771">
        <f>0.0006121515*3600</f>
        <v>2.2037453999999999</v>
      </c>
    </row>
    <row r="772" spans="1:18" x14ac:dyDescent="0.3">
      <c r="A772" t="s">
        <v>340</v>
      </c>
      <c r="B772" s="9">
        <v>8525</v>
      </c>
      <c r="C772" s="9">
        <v>7.4623270000000002</v>
      </c>
      <c r="D772" s="9">
        <v>99.265152</v>
      </c>
      <c r="E772">
        <v>1</v>
      </c>
      <c r="F772">
        <v>1</v>
      </c>
      <c r="G772">
        <v>0</v>
      </c>
      <c r="H772">
        <v>0</v>
      </c>
      <c r="J772" t="s">
        <v>0</v>
      </c>
      <c r="K772" t="s">
        <v>61</v>
      </c>
      <c r="L772">
        <v>0</v>
      </c>
      <c r="M772" t="s">
        <v>52</v>
      </c>
      <c r="N772">
        <v>1</v>
      </c>
      <c r="O772" t="s">
        <v>63</v>
      </c>
      <c r="P772" s="2">
        <v>0.4993055555555555</v>
      </c>
      <c r="Q772">
        <f>-0.0012873802*3600</f>
        <v>-4.6345687199999999</v>
      </c>
      <c r="R772">
        <f>0.000562354*3600</f>
        <v>2.0244744000000003</v>
      </c>
    </row>
    <row r="773" spans="1:18" x14ac:dyDescent="0.3">
      <c r="A773" t="s">
        <v>340</v>
      </c>
      <c r="B773" s="9">
        <v>8526</v>
      </c>
      <c r="C773" s="9">
        <v>7.4637000000000002</v>
      </c>
      <c r="D773" s="9">
        <v>99.265173000000004</v>
      </c>
      <c r="E773">
        <v>1</v>
      </c>
      <c r="F773">
        <v>1</v>
      </c>
      <c r="G773">
        <v>0</v>
      </c>
      <c r="H773">
        <v>0</v>
      </c>
      <c r="J773" t="s">
        <v>0</v>
      </c>
      <c r="K773" t="s">
        <v>61</v>
      </c>
      <c r="L773">
        <v>0</v>
      </c>
      <c r="M773" t="s">
        <v>52</v>
      </c>
      <c r="N773">
        <v>1</v>
      </c>
      <c r="O773" t="s">
        <v>63</v>
      </c>
      <c r="P773" s="2">
        <v>0.4993055555555555</v>
      </c>
      <c r="Q773">
        <f>-0.0011134384*3600</f>
        <v>-4.0083782399999999</v>
      </c>
      <c r="R773">
        <f>0.0005865424*3600</f>
        <v>2.1115526400000002</v>
      </c>
    </row>
    <row r="774" spans="1:18" x14ac:dyDescent="0.3">
      <c r="A774" t="s">
        <v>340</v>
      </c>
      <c r="B774" s="9">
        <v>8527</v>
      </c>
      <c r="C774" s="9">
        <v>7.4634910000000003</v>
      </c>
      <c r="D774" s="9">
        <v>99.265169</v>
      </c>
      <c r="E774">
        <v>1</v>
      </c>
      <c r="F774">
        <v>1</v>
      </c>
      <c r="G774">
        <v>0</v>
      </c>
      <c r="H774">
        <v>0</v>
      </c>
      <c r="J774" t="s">
        <v>0</v>
      </c>
      <c r="K774" t="s">
        <v>61</v>
      </c>
      <c r="L774">
        <v>0</v>
      </c>
      <c r="M774" t="s">
        <v>52</v>
      </c>
      <c r="N774">
        <v>1</v>
      </c>
      <c r="O774" t="s">
        <v>63</v>
      </c>
      <c r="P774" s="2">
        <v>0.4993055555555555</v>
      </c>
      <c r="Q774">
        <f>-0.0012038364*3600</f>
        <v>-4.3338110399999996</v>
      </c>
      <c r="R774">
        <f>0.0006057706*3600</f>
        <v>2.1807741600000004</v>
      </c>
    </row>
    <row r="775" spans="1:18" x14ac:dyDescent="0.3">
      <c r="A775" t="s">
        <v>340</v>
      </c>
      <c r="B775" s="9">
        <v>8528</v>
      </c>
      <c r="C775" s="9">
        <v>7.4633320000000003</v>
      </c>
      <c r="D775" s="9">
        <v>99.265191999999999</v>
      </c>
      <c r="E775">
        <v>1</v>
      </c>
      <c r="F775">
        <v>1</v>
      </c>
      <c r="G775">
        <v>0</v>
      </c>
      <c r="H775">
        <v>0</v>
      </c>
      <c r="J775" t="s">
        <v>0</v>
      </c>
      <c r="K775" t="s">
        <v>61</v>
      </c>
      <c r="L775">
        <v>0</v>
      </c>
      <c r="M775" t="s">
        <v>52</v>
      </c>
      <c r="N775">
        <v>1</v>
      </c>
      <c r="O775" t="s">
        <v>63</v>
      </c>
      <c r="P775" s="2">
        <v>0.4993055555555555</v>
      </c>
      <c r="Q775">
        <f>-0.0012874207*3600</f>
        <v>-4.6347145200000002</v>
      </c>
      <c r="R775">
        <f>0.0006138394*3600</f>
        <v>2.20982184</v>
      </c>
    </row>
    <row r="776" spans="1:18" x14ac:dyDescent="0.3">
      <c r="A776" t="s">
        <v>340</v>
      </c>
      <c r="B776" s="9">
        <v>8529</v>
      </c>
      <c r="C776" s="9">
        <v>7.4624030000000001</v>
      </c>
      <c r="D776" s="9">
        <v>99.265258000000003</v>
      </c>
      <c r="E776">
        <v>1</v>
      </c>
      <c r="F776">
        <v>1</v>
      </c>
      <c r="G776">
        <v>0</v>
      </c>
      <c r="H776">
        <v>0</v>
      </c>
      <c r="J776" t="s">
        <v>0</v>
      </c>
      <c r="K776" t="s">
        <v>61</v>
      </c>
      <c r="L776">
        <v>0</v>
      </c>
      <c r="M776" t="s">
        <v>52</v>
      </c>
      <c r="N776">
        <v>1</v>
      </c>
      <c r="O776" t="s">
        <v>63</v>
      </c>
      <c r="P776" s="2">
        <v>0.5</v>
      </c>
      <c r="Q776">
        <f>-0.001406469*3600</f>
        <v>-5.0632884000000002</v>
      </c>
      <c r="R776">
        <f>0.0006791496*3600</f>
        <v>2.4449385599999998</v>
      </c>
    </row>
    <row r="777" spans="1:18" x14ac:dyDescent="0.3">
      <c r="A777" t="s">
        <v>340</v>
      </c>
      <c r="B777" s="9">
        <v>8530</v>
      </c>
      <c r="C777" s="9">
        <v>7.4624090000000001</v>
      </c>
      <c r="D777" s="9">
        <v>99.265174000000002</v>
      </c>
      <c r="E777">
        <v>1</v>
      </c>
      <c r="F777">
        <v>1</v>
      </c>
      <c r="G777">
        <v>0</v>
      </c>
      <c r="H777">
        <v>0</v>
      </c>
      <c r="J777" t="s">
        <v>0</v>
      </c>
      <c r="K777" t="s">
        <v>61</v>
      </c>
      <c r="L777">
        <v>0</v>
      </c>
      <c r="M777" t="s">
        <v>52</v>
      </c>
      <c r="N777">
        <v>1</v>
      </c>
      <c r="O777" t="s">
        <v>63</v>
      </c>
      <c r="P777" s="2">
        <v>0.5</v>
      </c>
      <c r="Q777">
        <f>-0.0015681122*3600</f>
        <v>-5.6452039200000002</v>
      </c>
      <c r="R777">
        <f>0.0005883634*3600</f>
        <v>2.1181082399999998</v>
      </c>
    </row>
    <row r="778" spans="1:18" x14ac:dyDescent="0.3">
      <c r="A778" t="s">
        <v>340</v>
      </c>
      <c r="B778" s="9">
        <v>8531</v>
      </c>
      <c r="C778" s="9">
        <v>7.4626619999999999</v>
      </c>
      <c r="D778" s="9">
        <v>99.265332000000001</v>
      </c>
      <c r="E778">
        <v>1</v>
      </c>
      <c r="F778">
        <v>1</v>
      </c>
      <c r="G778">
        <v>0</v>
      </c>
      <c r="H778">
        <v>0</v>
      </c>
      <c r="J778" t="s">
        <v>0</v>
      </c>
      <c r="K778" t="s">
        <v>61</v>
      </c>
      <c r="L778">
        <v>0</v>
      </c>
      <c r="M778" t="s">
        <v>52</v>
      </c>
      <c r="N778">
        <v>1</v>
      </c>
      <c r="O778" t="s">
        <v>63</v>
      </c>
      <c r="P778" s="2">
        <v>0.5</v>
      </c>
      <c r="Q778">
        <f>-0.0011530667*3600</f>
        <v>-4.1510401199999993</v>
      </c>
      <c r="R778">
        <f>0.0007597225*3600</f>
        <v>2.735001</v>
      </c>
    </row>
    <row r="779" spans="1:18" x14ac:dyDescent="0.3">
      <c r="A779" t="s">
        <v>340</v>
      </c>
      <c r="B779" s="9">
        <v>8532</v>
      </c>
      <c r="C779" s="9">
        <v>7.4627939999999997</v>
      </c>
      <c r="D779" s="9">
        <v>99.265296000000006</v>
      </c>
      <c r="E779">
        <v>1</v>
      </c>
      <c r="F779">
        <v>1</v>
      </c>
      <c r="G779">
        <v>0</v>
      </c>
      <c r="H779">
        <v>0</v>
      </c>
      <c r="J779" t="s">
        <v>0</v>
      </c>
      <c r="K779" t="s">
        <v>61</v>
      </c>
      <c r="L779">
        <v>0</v>
      </c>
      <c r="M779" t="s">
        <v>52</v>
      </c>
      <c r="N779">
        <v>1</v>
      </c>
      <c r="O779" t="s">
        <v>63</v>
      </c>
      <c r="P779" s="2">
        <v>0.5</v>
      </c>
      <c r="Q779">
        <f>-0.0011539933*3600</f>
        <v>-4.1543758799999999</v>
      </c>
      <c r="R779">
        <f>0.0007213596*3600</f>
        <v>2.59689456</v>
      </c>
    </row>
    <row r="780" spans="1:18" x14ac:dyDescent="0.3">
      <c r="A780" t="s">
        <v>340</v>
      </c>
      <c r="B780" s="9">
        <v>8533</v>
      </c>
      <c r="C780" s="9">
        <v>7.4631540000000003</v>
      </c>
      <c r="D780" s="9">
        <v>99.265283999999994</v>
      </c>
      <c r="E780">
        <v>1</v>
      </c>
      <c r="F780">
        <v>1</v>
      </c>
      <c r="G780">
        <v>0</v>
      </c>
      <c r="H780">
        <v>0</v>
      </c>
      <c r="J780" t="s">
        <v>0</v>
      </c>
      <c r="K780" t="s">
        <v>61</v>
      </c>
      <c r="L780">
        <v>0</v>
      </c>
      <c r="M780" t="s">
        <v>52</v>
      </c>
      <c r="N780">
        <v>1</v>
      </c>
      <c r="O780" t="s">
        <v>63</v>
      </c>
      <c r="P780" s="2">
        <v>0.5</v>
      </c>
      <c r="Q780">
        <f>-0.00121645*3600</f>
        <v>-4.3792200000000001</v>
      </c>
      <c r="R780">
        <f>0.0006944033*3600</f>
        <v>2.49985188</v>
      </c>
    </row>
    <row r="781" spans="1:18" x14ac:dyDescent="0.3">
      <c r="A781" t="s">
        <v>340</v>
      </c>
      <c r="B781" s="9">
        <v>8534</v>
      </c>
      <c r="C781" s="9">
        <v>7.4629279999999998</v>
      </c>
      <c r="D781" s="9">
        <v>99.265307000000007</v>
      </c>
      <c r="E781">
        <v>1</v>
      </c>
      <c r="F781">
        <v>1</v>
      </c>
      <c r="G781">
        <v>0</v>
      </c>
      <c r="H781">
        <v>0</v>
      </c>
      <c r="J781" t="s">
        <v>0</v>
      </c>
      <c r="K781" t="s">
        <v>61</v>
      </c>
      <c r="L781">
        <v>0</v>
      </c>
      <c r="M781" t="s">
        <v>52</v>
      </c>
      <c r="N781">
        <v>1</v>
      </c>
      <c r="O781" t="s">
        <v>63</v>
      </c>
      <c r="P781" s="2">
        <v>0.5</v>
      </c>
      <c r="Q781">
        <f>-0.0012792154*3600</f>
        <v>-4.60517544</v>
      </c>
      <c r="R781">
        <f>0.0007365869*3600</f>
        <v>2.6517128400000001</v>
      </c>
    </row>
    <row r="782" spans="1:18" x14ac:dyDescent="0.3">
      <c r="A782" t="s">
        <v>340</v>
      </c>
      <c r="B782" s="9">
        <v>8535</v>
      </c>
      <c r="C782" s="9">
        <v>7.4631290000000003</v>
      </c>
      <c r="D782" s="9">
        <v>99.265173000000004</v>
      </c>
      <c r="E782">
        <v>1</v>
      </c>
      <c r="F782">
        <v>1</v>
      </c>
      <c r="G782">
        <v>0</v>
      </c>
      <c r="H782">
        <v>0</v>
      </c>
      <c r="J782" t="s">
        <v>0</v>
      </c>
      <c r="K782" t="s">
        <v>61</v>
      </c>
      <c r="L782">
        <v>0</v>
      </c>
      <c r="M782" t="s">
        <v>52</v>
      </c>
      <c r="N782">
        <v>1</v>
      </c>
      <c r="O782" t="s">
        <v>63</v>
      </c>
      <c r="P782" s="2">
        <v>0.5</v>
      </c>
      <c r="Q782">
        <f>-0.0016034688*3600</f>
        <v>-5.7724876800000002</v>
      </c>
      <c r="R782">
        <f>0.0005933358*3600</f>
        <v>2.1360088799999999</v>
      </c>
    </row>
    <row r="783" spans="1:18" x14ac:dyDescent="0.3">
      <c r="A783" t="s">
        <v>340</v>
      </c>
      <c r="B783" s="9">
        <v>8536</v>
      </c>
      <c r="C783" s="9">
        <v>7.4629570000000003</v>
      </c>
      <c r="D783" s="9">
        <v>99.265217000000007</v>
      </c>
      <c r="E783">
        <v>1</v>
      </c>
      <c r="F783">
        <v>1</v>
      </c>
      <c r="G783">
        <v>0</v>
      </c>
      <c r="H783">
        <v>0</v>
      </c>
      <c r="J783" t="s">
        <v>0</v>
      </c>
      <c r="K783" t="s">
        <v>61</v>
      </c>
      <c r="L783">
        <v>0</v>
      </c>
      <c r="M783" t="s">
        <v>52</v>
      </c>
      <c r="N783">
        <v>1</v>
      </c>
      <c r="O783" t="s">
        <v>63</v>
      </c>
      <c r="P783" s="2">
        <v>0.5</v>
      </c>
      <c r="Q783">
        <f>-0.0014845801*3600</f>
        <v>-5.3444883599999997</v>
      </c>
      <c r="R783">
        <f>0.0006361743*3600</f>
        <v>2.29022748</v>
      </c>
    </row>
    <row r="784" spans="1:18" x14ac:dyDescent="0.3">
      <c r="A784" t="s">
        <v>340</v>
      </c>
      <c r="B784" s="9">
        <v>8537</v>
      </c>
      <c r="C784" s="9">
        <v>7.4633070000000004</v>
      </c>
      <c r="D784" s="9">
        <v>99.265190000000004</v>
      </c>
      <c r="E784">
        <v>1</v>
      </c>
      <c r="F784">
        <v>1</v>
      </c>
      <c r="G784">
        <v>0</v>
      </c>
      <c r="H784">
        <v>0</v>
      </c>
      <c r="J784" t="s">
        <v>0</v>
      </c>
      <c r="K784" t="s">
        <v>61</v>
      </c>
      <c r="L784">
        <v>0</v>
      </c>
      <c r="M784" t="s">
        <v>52</v>
      </c>
      <c r="N784">
        <v>1</v>
      </c>
      <c r="O784" t="s">
        <v>63</v>
      </c>
      <c r="P784" s="2">
        <v>0.5</v>
      </c>
      <c r="Q784">
        <f>-0.0016094125*3600</f>
        <v>-5.7938849999999995</v>
      </c>
      <c r="R784">
        <f>0.0006192592*3600</f>
        <v>2.2293331200000002</v>
      </c>
    </row>
    <row r="785" spans="1:18" x14ac:dyDescent="0.3">
      <c r="A785" t="s">
        <v>340</v>
      </c>
      <c r="B785" s="9">
        <v>8538</v>
      </c>
      <c r="C785" s="9">
        <v>7.4626250000000001</v>
      </c>
      <c r="D785" s="9">
        <v>99.265176999999994</v>
      </c>
      <c r="E785">
        <v>1</v>
      </c>
      <c r="F785">
        <v>1</v>
      </c>
      <c r="G785">
        <v>0</v>
      </c>
      <c r="H785">
        <v>0</v>
      </c>
      <c r="J785" t="s">
        <v>0</v>
      </c>
      <c r="K785" t="s">
        <v>61</v>
      </c>
      <c r="L785">
        <v>0</v>
      </c>
      <c r="M785" t="s">
        <v>52</v>
      </c>
      <c r="N785">
        <v>1</v>
      </c>
      <c r="O785" t="s">
        <v>63</v>
      </c>
      <c r="P785" s="2">
        <v>0.5</v>
      </c>
      <c r="Q785">
        <f>-0.0016291119*3600</f>
        <v>-5.8648028400000003</v>
      </c>
      <c r="R785">
        <f>0.000627236*3600</f>
        <v>2.2580496000000001</v>
      </c>
    </row>
    <row r="786" spans="1:18" x14ac:dyDescent="0.3">
      <c r="A786" t="s">
        <v>340</v>
      </c>
      <c r="B786" s="9">
        <v>8539</v>
      </c>
      <c r="C786" s="9">
        <v>7.4627879999999998</v>
      </c>
      <c r="D786" s="9">
        <v>99.265123000000003</v>
      </c>
      <c r="E786">
        <v>1</v>
      </c>
      <c r="F786">
        <v>1</v>
      </c>
      <c r="G786">
        <v>0</v>
      </c>
      <c r="H786">
        <v>0</v>
      </c>
      <c r="J786" t="s">
        <v>0</v>
      </c>
      <c r="K786" t="s">
        <v>61</v>
      </c>
      <c r="L786">
        <v>0</v>
      </c>
      <c r="M786" t="s">
        <v>52</v>
      </c>
      <c r="N786">
        <v>1</v>
      </c>
      <c r="O786" t="s">
        <v>63</v>
      </c>
      <c r="P786" s="2">
        <v>0.5</v>
      </c>
      <c r="Q786">
        <f>-0.0016159722*3600</f>
        <v>-5.8174999200000004</v>
      </c>
      <c r="R786">
        <f>0.0005427656*3600</f>
        <v>1.9539561600000002</v>
      </c>
    </row>
    <row r="787" spans="1:18" x14ac:dyDescent="0.3">
      <c r="A787" t="s">
        <v>340</v>
      </c>
      <c r="B787" s="9">
        <v>8540</v>
      </c>
      <c r="C787" s="9">
        <v>7.4631049999999997</v>
      </c>
      <c r="D787" s="9">
        <v>99.265163000000001</v>
      </c>
      <c r="E787">
        <v>1</v>
      </c>
      <c r="F787">
        <v>1</v>
      </c>
      <c r="G787">
        <v>0</v>
      </c>
      <c r="H787">
        <v>0</v>
      </c>
      <c r="J787" t="s">
        <v>0</v>
      </c>
      <c r="K787" t="s">
        <v>61</v>
      </c>
      <c r="L787">
        <v>0</v>
      </c>
      <c r="M787" t="s">
        <v>52</v>
      </c>
      <c r="N787">
        <v>1</v>
      </c>
      <c r="O787" t="s">
        <v>63</v>
      </c>
      <c r="P787" s="2">
        <v>0.5</v>
      </c>
      <c r="Q787">
        <f>-0.0016136127*3600</f>
        <v>-5.80900572</v>
      </c>
      <c r="R787">
        <f>0.0005891964*3600</f>
        <v>2.1211070400000001</v>
      </c>
    </row>
    <row r="788" spans="1:18" x14ac:dyDescent="0.3">
      <c r="A788" t="s">
        <v>340</v>
      </c>
      <c r="B788" s="9">
        <v>8541</v>
      </c>
      <c r="C788" s="9">
        <v>7.4625310000000002</v>
      </c>
      <c r="D788" s="9">
        <v>99.265185000000002</v>
      </c>
      <c r="E788">
        <v>1</v>
      </c>
      <c r="F788">
        <v>1</v>
      </c>
      <c r="G788">
        <v>0</v>
      </c>
      <c r="H788">
        <v>0</v>
      </c>
      <c r="J788" t="s">
        <v>0</v>
      </c>
      <c r="K788" t="s">
        <v>61</v>
      </c>
      <c r="L788">
        <v>0</v>
      </c>
      <c r="M788" t="s">
        <v>52</v>
      </c>
      <c r="N788">
        <v>1</v>
      </c>
      <c r="O788" t="s">
        <v>63</v>
      </c>
      <c r="P788" s="2">
        <v>0.5</v>
      </c>
      <c r="Q788">
        <f>-0.0015817457*3600</f>
        <v>-5.6942845200000001</v>
      </c>
      <c r="R788">
        <f>0.000585249*3600</f>
        <v>2.1068964000000001</v>
      </c>
    </row>
    <row r="789" spans="1:18" x14ac:dyDescent="0.3">
      <c r="A789" t="s">
        <v>340</v>
      </c>
      <c r="B789" s="9">
        <v>8542</v>
      </c>
      <c r="C789" s="9">
        <v>7.4620119999999996</v>
      </c>
      <c r="D789" s="9">
        <v>99.265198999999996</v>
      </c>
      <c r="E789">
        <v>1</v>
      </c>
      <c r="F789">
        <v>1</v>
      </c>
      <c r="G789">
        <v>0</v>
      </c>
      <c r="H789">
        <v>0</v>
      </c>
      <c r="J789" t="s">
        <v>0</v>
      </c>
      <c r="K789" t="s">
        <v>61</v>
      </c>
      <c r="L789">
        <v>0</v>
      </c>
      <c r="M789" t="s">
        <v>52</v>
      </c>
      <c r="N789">
        <v>1</v>
      </c>
      <c r="O789" t="s">
        <v>63</v>
      </c>
      <c r="P789" s="2">
        <v>0.5</v>
      </c>
      <c r="Q789">
        <f>-0.0016273037*3600</f>
        <v>-5.8582933200000005</v>
      </c>
      <c r="R789">
        <f>0.0006311812*3600</f>
        <v>2.2722523200000002</v>
      </c>
    </row>
    <row r="790" spans="1:18" x14ac:dyDescent="0.3">
      <c r="A790" t="s">
        <v>340</v>
      </c>
      <c r="B790" s="9">
        <v>8543</v>
      </c>
      <c r="C790" s="9">
        <v>7.4620319999999998</v>
      </c>
      <c r="D790" s="9">
        <v>99.265243999999996</v>
      </c>
      <c r="E790">
        <v>1</v>
      </c>
      <c r="F790">
        <v>1</v>
      </c>
      <c r="G790">
        <v>0</v>
      </c>
      <c r="H790">
        <v>0</v>
      </c>
      <c r="J790" t="s">
        <v>0</v>
      </c>
      <c r="K790" t="s">
        <v>61</v>
      </c>
      <c r="L790">
        <v>0</v>
      </c>
      <c r="M790" t="s">
        <v>52</v>
      </c>
      <c r="N790">
        <v>1</v>
      </c>
      <c r="O790" t="s">
        <v>63</v>
      </c>
      <c r="P790" s="2">
        <v>0.5</v>
      </c>
      <c r="Q790">
        <f>-0.0013068233*3600</f>
        <v>-4.7045638800000003</v>
      </c>
      <c r="R790">
        <f>0.0006901307*3600</f>
        <v>2.4844705199999999</v>
      </c>
    </row>
    <row r="791" spans="1:18" x14ac:dyDescent="0.3">
      <c r="A791" t="s">
        <v>340</v>
      </c>
      <c r="B791" s="9">
        <v>8544</v>
      </c>
      <c r="C791" s="9">
        <v>7.4629130000000004</v>
      </c>
      <c r="D791" s="9">
        <v>99.265202000000002</v>
      </c>
      <c r="E791">
        <v>1</v>
      </c>
      <c r="F791">
        <v>1</v>
      </c>
      <c r="G791">
        <v>0</v>
      </c>
      <c r="H791">
        <v>0</v>
      </c>
      <c r="J791" t="s">
        <v>0</v>
      </c>
      <c r="K791" t="s">
        <v>61</v>
      </c>
      <c r="L791">
        <v>0</v>
      </c>
      <c r="M791" t="s">
        <v>52</v>
      </c>
      <c r="N791">
        <v>1</v>
      </c>
      <c r="O791" t="s">
        <v>63</v>
      </c>
      <c r="P791" s="2">
        <v>0.5</v>
      </c>
      <c r="Q791">
        <f>-0.0012782491*3600</f>
        <v>-4.6016967600000003</v>
      </c>
      <c r="R791">
        <f>0.0006473074*3600</f>
        <v>2.3303066399999999</v>
      </c>
    </row>
    <row r="792" spans="1:18" x14ac:dyDescent="0.3">
      <c r="A792" t="s">
        <v>340</v>
      </c>
      <c r="B792" s="9">
        <v>8545</v>
      </c>
      <c r="C792" s="9">
        <v>7.4624100000000002</v>
      </c>
      <c r="D792" s="9">
        <v>99.265313000000006</v>
      </c>
      <c r="E792">
        <v>1</v>
      </c>
      <c r="F792">
        <v>1</v>
      </c>
      <c r="G792">
        <v>0</v>
      </c>
      <c r="H792">
        <v>0</v>
      </c>
      <c r="J792" t="s">
        <v>0</v>
      </c>
      <c r="K792" t="s">
        <v>61</v>
      </c>
      <c r="L792">
        <v>0</v>
      </c>
      <c r="M792" t="s">
        <v>52</v>
      </c>
      <c r="N792">
        <v>1</v>
      </c>
      <c r="O792" t="s">
        <v>63</v>
      </c>
      <c r="P792" s="2">
        <v>0.5</v>
      </c>
      <c r="Q792">
        <f>-0.0011745492*3600</f>
        <v>-4.2283771200000002</v>
      </c>
      <c r="R792">
        <f>0.0007431567*3600</f>
        <v>2.6753641200000002</v>
      </c>
    </row>
    <row r="793" spans="1:18" x14ac:dyDescent="0.3">
      <c r="A793" t="s">
        <v>340</v>
      </c>
      <c r="B793" s="9">
        <v>8546</v>
      </c>
      <c r="C793" s="9">
        <v>7.4624709999999999</v>
      </c>
      <c r="D793" s="9">
        <v>99.265291000000005</v>
      </c>
      <c r="E793">
        <v>1</v>
      </c>
      <c r="F793">
        <v>1</v>
      </c>
      <c r="G793">
        <v>0</v>
      </c>
      <c r="H793">
        <v>0</v>
      </c>
      <c r="J793" t="s">
        <v>0</v>
      </c>
      <c r="K793" t="s">
        <v>61</v>
      </c>
      <c r="L793">
        <v>0</v>
      </c>
      <c r="M793" t="s">
        <v>52</v>
      </c>
      <c r="N793">
        <v>1</v>
      </c>
      <c r="O793" t="s">
        <v>63</v>
      </c>
      <c r="P793" s="2">
        <v>0.5</v>
      </c>
      <c r="Q793">
        <f>-0.0013016022*3600</f>
        <v>-4.68576792</v>
      </c>
      <c r="R793">
        <f>0.0007091292*3600</f>
        <v>2.5528651200000003</v>
      </c>
    </row>
    <row r="794" spans="1:18" x14ac:dyDescent="0.3">
      <c r="A794" t="s">
        <v>340</v>
      </c>
      <c r="B794" s="9">
        <v>8547</v>
      </c>
      <c r="C794" s="9">
        <v>7.4628110000000003</v>
      </c>
      <c r="D794" s="9">
        <v>99.265260999999995</v>
      </c>
      <c r="E794">
        <v>1</v>
      </c>
      <c r="F794">
        <v>1</v>
      </c>
      <c r="G794">
        <v>0</v>
      </c>
      <c r="H794">
        <v>0</v>
      </c>
      <c r="J794" t="s">
        <v>0</v>
      </c>
      <c r="K794" t="s">
        <v>61</v>
      </c>
      <c r="L794">
        <v>0</v>
      </c>
      <c r="M794" t="s">
        <v>52</v>
      </c>
      <c r="N794">
        <v>1</v>
      </c>
      <c r="O794" t="s">
        <v>63</v>
      </c>
      <c r="P794" s="2">
        <v>0.5</v>
      </c>
      <c r="Q794">
        <f>-0.0012376978*3600</f>
        <v>-4.4557120799999996</v>
      </c>
      <c r="R794">
        <f>0.0006771468*3600</f>
        <v>2.4377284800000001</v>
      </c>
    </row>
    <row r="795" spans="1:18" x14ac:dyDescent="0.3">
      <c r="A795" t="s">
        <v>340</v>
      </c>
      <c r="B795" s="9">
        <v>8548</v>
      </c>
      <c r="C795" s="9">
        <v>7.4626400000000004</v>
      </c>
      <c r="D795" s="9">
        <v>99.265347000000006</v>
      </c>
      <c r="E795">
        <v>1</v>
      </c>
      <c r="F795">
        <v>1</v>
      </c>
      <c r="G795">
        <v>0</v>
      </c>
      <c r="H795">
        <v>0</v>
      </c>
      <c r="J795" t="s">
        <v>0</v>
      </c>
      <c r="K795" t="s">
        <v>61</v>
      </c>
      <c r="L795">
        <v>0</v>
      </c>
      <c r="M795" t="s">
        <v>52</v>
      </c>
      <c r="N795">
        <v>1</v>
      </c>
      <c r="O795" t="s">
        <v>63</v>
      </c>
      <c r="P795" s="2">
        <v>0.5</v>
      </c>
      <c r="Q795">
        <f>-0.0014585922*3600</f>
        <v>-5.2509319200000002</v>
      </c>
      <c r="R795">
        <f>0.0007819935*3600</f>
        <v>2.8151766</v>
      </c>
    </row>
    <row r="796" spans="1:18" x14ac:dyDescent="0.3">
      <c r="A796" t="s">
        <v>340</v>
      </c>
      <c r="B796" s="9">
        <v>8549</v>
      </c>
      <c r="C796" s="9">
        <v>7.4626299999999999</v>
      </c>
      <c r="D796" s="9">
        <v>99.265270999999998</v>
      </c>
      <c r="E796">
        <v>1</v>
      </c>
      <c r="F796">
        <v>1</v>
      </c>
      <c r="G796">
        <v>0</v>
      </c>
      <c r="H796">
        <v>0</v>
      </c>
      <c r="J796" t="s">
        <v>0</v>
      </c>
      <c r="K796" t="s">
        <v>61</v>
      </c>
      <c r="L796">
        <v>0</v>
      </c>
      <c r="M796" t="s">
        <v>52</v>
      </c>
      <c r="N796">
        <v>1</v>
      </c>
      <c r="O796" t="s">
        <v>63</v>
      </c>
      <c r="P796" s="2">
        <v>0.5</v>
      </c>
      <c r="Q796">
        <f>-0.0012911495*3600</f>
        <v>-4.6481382</v>
      </c>
      <c r="R796">
        <f>0.0006850065*3600</f>
        <v>2.4660234000000001</v>
      </c>
    </row>
    <row r="797" spans="1:18" x14ac:dyDescent="0.3">
      <c r="A797" t="s">
        <v>340</v>
      </c>
      <c r="B797" s="9">
        <v>8550</v>
      </c>
      <c r="C797" s="9">
        <v>7.4625240000000002</v>
      </c>
      <c r="D797" s="9">
        <v>99.265379999999993</v>
      </c>
      <c r="E797">
        <v>1</v>
      </c>
      <c r="F797">
        <v>1</v>
      </c>
      <c r="G797">
        <v>0</v>
      </c>
      <c r="H797">
        <v>0</v>
      </c>
      <c r="J797" t="s">
        <v>0</v>
      </c>
      <c r="K797" t="s">
        <v>61</v>
      </c>
      <c r="L797">
        <v>0</v>
      </c>
      <c r="M797" t="s">
        <v>52</v>
      </c>
      <c r="N797">
        <v>1</v>
      </c>
      <c r="O797" t="s">
        <v>63</v>
      </c>
      <c r="P797" s="2">
        <v>0.5</v>
      </c>
      <c r="Q797">
        <f>-0.0011244581*3600</f>
        <v>-4.0480491600000006</v>
      </c>
      <c r="R797">
        <f>0.000796229*3600</f>
        <v>2.8664244000000001</v>
      </c>
    </row>
    <row r="798" spans="1:18" x14ac:dyDescent="0.3">
      <c r="A798" t="s">
        <v>340</v>
      </c>
      <c r="B798" s="9">
        <v>8551</v>
      </c>
      <c r="C798" s="9">
        <v>7.4625599999999999</v>
      </c>
      <c r="D798" s="9">
        <v>99.265224000000003</v>
      </c>
      <c r="E798">
        <v>1</v>
      </c>
      <c r="F798">
        <v>1</v>
      </c>
      <c r="G798">
        <v>0</v>
      </c>
      <c r="H798">
        <v>0</v>
      </c>
      <c r="J798" t="s">
        <v>0</v>
      </c>
      <c r="K798" t="s">
        <v>61</v>
      </c>
      <c r="L798">
        <v>0</v>
      </c>
      <c r="M798" t="s">
        <v>52</v>
      </c>
      <c r="N798">
        <v>1</v>
      </c>
      <c r="O798" t="s">
        <v>63</v>
      </c>
      <c r="P798" s="2">
        <v>0.50069444444444444</v>
      </c>
      <c r="Q798">
        <f>-0.0015023327*3600</f>
        <v>-5.40839772</v>
      </c>
      <c r="R798">
        <f>0.000646209*3600</f>
        <v>2.3263524000000002</v>
      </c>
    </row>
    <row r="799" spans="1:18" x14ac:dyDescent="0.3">
      <c r="A799" t="s">
        <v>340</v>
      </c>
      <c r="B799" s="9">
        <v>8552</v>
      </c>
      <c r="C799" s="9">
        <v>7.4632540000000001</v>
      </c>
      <c r="D799" s="9">
        <v>99.265217000000007</v>
      </c>
      <c r="E799">
        <v>1</v>
      </c>
      <c r="F799">
        <v>1</v>
      </c>
      <c r="G799">
        <v>0</v>
      </c>
      <c r="H799">
        <v>0</v>
      </c>
      <c r="J799" t="s">
        <v>0</v>
      </c>
      <c r="K799" t="s">
        <v>61</v>
      </c>
      <c r="L799">
        <v>0</v>
      </c>
      <c r="M799" t="s">
        <v>52</v>
      </c>
      <c r="N799">
        <v>1</v>
      </c>
      <c r="O799" t="s">
        <v>63</v>
      </c>
      <c r="P799" s="2">
        <v>0.50069444444444444</v>
      </c>
      <c r="Q799">
        <f>-0.0011333684*3600</f>
        <v>-4.0801262400000002</v>
      </c>
      <c r="R799">
        <f>0.0006311821*3600</f>
        <v>2.2722555600000001</v>
      </c>
    </row>
    <row r="800" spans="1:18" x14ac:dyDescent="0.3">
      <c r="A800" t="s">
        <v>340</v>
      </c>
      <c r="B800" s="9">
        <v>8553</v>
      </c>
      <c r="C800" s="9">
        <v>7.4634640000000001</v>
      </c>
      <c r="D800" s="9">
        <v>99.265203999999997</v>
      </c>
      <c r="E800">
        <v>1</v>
      </c>
      <c r="F800">
        <v>1</v>
      </c>
      <c r="G800">
        <v>0</v>
      </c>
      <c r="H800">
        <v>0</v>
      </c>
      <c r="J800" t="s">
        <v>0</v>
      </c>
      <c r="K800" t="s">
        <v>61</v>
      </c>
      <c r="L800">
        <v>0</v>
      </c>
      <c r="M800" t="s">
        <v>52</v>
      </c>
      <c r="N800">
        <v>1</v>
      </c>
      <c r="O800" t="s">
        <v>63</v>
      </c>
      <c r="P800" s="2">
        <v>0.50069444444444444</v>
      </c>
      <c r="Q800">
        <f>-0.0011990215*3600</f>
        <v>-4.3164774000000001</v>
      </c>
      <c r="R800">
        <f>0.0006117731*3600</f>
        <v>2.2023831599999997</v>
      </c>
    </row>
    <row r="801" spans="1:18" x14ac:dyDescent="0.3">
      <c r="A801" t="s">
        <v>340</v>
      </c>
      <c r="B801" s="9">
        <v>8554</v>
      </c>
      <c r="C801" s="9">
        <v>7.463527</v>
      </c>
      <c r="D801" s="9">
        <v>99.265151000000003</v>
      </c>
      <c r="E801">
        <v>1</v>
      </c>
      <c r="F801">
        <v>1</v>
      </c>
      <c r="G801">
        <v>0</v>
      </c>
      <c r="H801">
        <v>0</v>
      </c>
      <c r="J801" t="s">
        <v>0</v>
      </c>
      <c r="K801" t="s">
        <v>61</v>
      </c>
      <c r="L801">
        <v>0</v>
      </c>
      <c r="M801" t="s">
        <v>52</v>
      </c>
      <c r="N801">
        <v>1</v>
      </c>
      <c r="O801" t="s">
        <v>63</v>
      </c>
      <c r="P801" s="2">
        <v>0.50069444444444444</v>
      </c>
      <c r="Q801">
        <f>-0.0012712379*3600</f>
        <v>-4.5764564400000003</v>
      </c>
      <c r="R801">
        <f>0.0005825612*3600</f>
        <v>2.0972203199999999</v>
      </c>
    </row>
    <row r="802" spans="1:18" x14ac:dyDescent="0.3">
      <c r="A802" t="s">
        <v>340</v>
      </c>
      <c r="B802" s="9">
        <v>8555</v>
      </c>
      <c r="C802" s="9">
        <v>7.4627460000000001</v>
      </c>
      <c r="D802" s="9">
        <v>99.265154999999993</v>
      </c>
      <c r="E802">
        <v>1</v>
      </c>
      <c r="F802">
        <v>1</v>
      </c>
      <c r="G802">
        <v>0</v>
      </c>
      <c r="H802">
        <v>0</v>
      </c>
      <c r="J802" t="s">
        <v>0</v>
      </c>
      <c r="K802" t="s">
        <v>61</v>
      </c>
      <c r="L802">
        <v>0</v>
      </c>
      <c r="M802" t="s">
        <v>52</v>
      </c>
      <c r="N802">
        <v>1</v>
      </c>
      <c r="O802" t="s">
        <v>63</v>
      </c>
      <c r="P802" s="2">
        <v>0.50069444444444444</v>
      </c>
      <c r="Q802">
        <f>-0.0013219881*3600</f>
        <v>-4.75915716</v>
      </c>
      <c r="R802">
        <f>0.0005683904*3600</f>
        <v>2.04620544</v>
      </c>
    </row>
    <row r="803" spans="1:18" x14ac:dyDescent="0.3">
      <c r="A803" t="s">
        <v>340</v>
      </c>
      <c r="B803" s="9">
        <v>8556</v>
      </c>
      <c r="C803" s="9">
        <v>7.462923</v>
      </c>
      <c r="D803" s="9">
        <v>99.265296000000006</v>
      </c>
      <c r="E803">
        <v>1</v>
      </c>
      <c r="F803">
        <v>1</v>
      </c>
      <c r="G803">
        <v>0</v>
      </c>
      <c r="H803">
        <v>0</v>
      </c>
      <c r="J803" t="s">
        <v>0</v>
      </c>
      <c r="K803" t="s">
        <v>61</v>
      </c>
      <c r="L803">
        <v>0</v>
      </c>
      <c r="M803" t="s">
        <v>52</v>
      </c>
      <c r="N803">
        <v>1</v>
      </c>
      <c r="O803" t="s">
        <v>63</v>
      </c>
      <c r="P803" s="2">
        <v>0.50069444444444444</v>
      </c>
      <c r="Q803">
        <f>-0.0013991866*3600</f>
        <v>-5.0370717599999999</v>
      </c>
      <c r="R803">
        <f>0.0007052307*3600</f>
        <v>2.5388305199999999</v>
      </c>
    </row>
    <row r="804" spans="1:18" x14ac:dyDescent="0.3">
      <c r="A804" t="s">
        <v>340</v>
      </c>
      <c r="B804" s="9">
        <v>8557</v>
      </c>
      <c r="C804" s="9">
        <v>7.4625360000000001</v>
      </c>
      <c r="D804" s="9">
        <v>99.265238999999994</v>
      </c>
      <c r="E804">
        <v>1</v>
      </c>
      <c r="F804">
        <v>1</v>
      </c>
      <c r="G804">
        <v>0</v>
      </c>
      <c r="H804">
        <v>0</v>
      </c>
      <c r="J804" t="s">
        <v>0</v>
      </c>
      <c r="K804" t="s">
        <v>61</v>
      </c>
      <c r="L804">
        <v>0</v>
      </c>
      <c r="M804" t="s">
        <v>52</v>
      </c>
      <c r="N804">
        <v>1</v>
      </c>
      <c r="O804" t="s">
        <v>63</v>
      </c>
      <c r="P804" s="2">
        <v>0.50069444444444444</v>
      </c>
      <c r="Q804">
        <f>-0.0013595394*3600</f>
        <v>-4.8943418400000001</v>
      </c>
      <c r="R804">
        <f>0.0006506461*3600</f>
        <v>2.3423259600000002</v>
      </c>
    </row>
    <row r="805" spans="1:18" x14ac:dyDescent="0.3">
      <c r="A805" t="s">
        <v>340</v>
      </c>
      <c r="B805" s="9">
        <v>8558</v>
      </c>
      <c r="C805" s="9">
        <v>7.4623699999999999</v>
      </c>
      <c r="D805" s="9">
        <v>99.265235000000004</v>
      </c>
      <c r="E805">
        <v>1</v>
      </c>
      <c r="F805">
        <v>1</v>
      </c>
      <c r="G805">
        <v>0</v>
      </c>
      <c r="H805">
        <v>0</v>
      </c>
      <c r="J805" t="s">
        <v>0</v>
      </c>
      <c r="K805" t="s">
        <v>61</v>
      </c>
      <c r="L805">
        <v>0</v>
      </c>
      <c r="M805" t="s">
        <v>52</v>
      </c>
      <c r="N805">
        <v>1</v>
      </c>
      <c r="O805" t="s">
        <v>63</v>
      </c>
      <c r="P805" s="2">
        <v>0.50069444444444444</v>
      </c>
      <c r="Q805">
        <f>-0.001387229*3600</f>
        <v>-4.9940243999999998</v>
      </c>
      <c r="R805">
        <f>0.0006355064*3600</f>
        <v>2.2878230400000001</v>
      </c>
    </row>
    <row r="806" spans="1:18" x14ac:dyDescent="0.3">
      <c r="A806" t="s">
        <v>340</v>
      </c>
      <c r="B806" s="9">
        <v>8559</v>
      </c>
      <c r="C806" s="9">
        <v>7.4622109999999999</v>
      </c>
      <c r="D806" s="9">
        <v>99.265331000000003</v>
      </c>
      <c r="E806">
        <v>1</v>
      </c>
      <c r="F806">
        <v>1</v>
      </c>
      <c r="G806">
        <v>0</v>
      </c>
      <c r="H806">
        <v>0</v>
      </c>
      <c r="J806" t="s">
        <v>0</v>
      </c>
      <c r="K806" t="s">
        <v>61</v>
      </c>
      <c r="L806">
        <v>0</v>
      </c>
      <c r="M806" t="s">
        <v>52</v>
      </c>
      <c r="N806">
        <v>1</v>
      </c>
      <c r="O806" t="s">
        <v>63</v>
      </c>
      <c r="P806" s="2">
        <v>0.50069444444444444</v>
      </c>
      <c r="Q806">
        <f>-0.0015548886*3600</f>
        <v>-5.59759896</v>
      </c>
      <c r="R806">
        <f>0.0007260806*3600</f>
        <v>2.61389016</v>
      </c>
    </row>
    <row r="807" spans="1:18" x14ac:dyDescent="0.3">
      <c r="A807" t="s">
        <v>340</v>
      </c>
      <c r="B807" s="9">
        <v>8560</v>
      </c>
      <c r="C807" s="9">
        <v>7.4631959999999999</v>
      </c>
      <c r="D807" s="9">
        <v>99.265286000000003</v>
      </c>
      <c r="E807">
        <v>1</v>
      </c>
      <c r="F807">
        <v>1</v>
      </c>
      <c r="G807">
        <v>0</v>
      </c>
      <c r="H807">
        <v>0</v>
      </c>
      <c r="J807" t="s">
        <v>0</v>
      </c>
      <c r="K807" t="s">
        <v>61</v>
      </c>
      <c r="L807">
        <v>0</v>
      </c>
      <c r="M807" t="s">
        <v>52</v>
      </c>
      <c r="N807">
        <v>1</v>
      </c>
      <c r="O807" t="s">
        <v>63</v>
      </c>
      <c r="P807" s="2">
        <v>0.50069444444444444</v>
      </c>
      <c r="Q807">
        <f>-0.0012276402*3600</f>
        <v>-4.4195047199999999</v>
      </c>
      <c r="R807">
        <f>0.0007055437*3600</f>
        <v>2.5399573200000001</v>
      </c>
    </row>
    <row r="808" spans="1:18" x14ac:dyDescent="0.3">
      <c r="A808" t="s">
        <v>340</v>
      </c>
      <c r="B808" s="9">
        <v>8561</v>
      </c>
      <c r="C808" s="9">
        <v>7.4630489999999998</v>
      </c>
      <c r="D808" s="9">
        <v>99.265344999999996</v>
      </c>
      <c r="E808">
        <v>1</v>
      </c>
      <c r="F808">
        <v>1</v>
      </c>
      <c r="G808">
        <v>0</v>
      </c>
      <c r="H808">
        <v>0</v>
      </c>
      <c r="J808" t="s">
        <v>0</v>
      </c>
      <c r="K808" t="s">
        <v>61</v>
      </c>
      <c r="L808">
        <v>0</v>
      </c>
      <c r="M808" t="s">
        <v>52</v>
      </c>
      <c r="N808">
        <v>1</v>
      </c>
      <c r="O808" t="s">
        <v>63</v>
      </c>
      <c r="P808" s="2">
        <v>0.50069444444444444</v>
      </c>
      <c r="Q808">
        <f>-0.001075731*3600</f>
        <v>-3.8726315999999996</v>
      </c>
      <c r="R808">
        <f>0.000762955*3600</f>
        <v>2.7466379999999999</v>
      </c>
    </row>
    <row r="809" spans="1:18" x14ac:dyDescent="0.3">
      <c r="A809" t="s">
        <v>340</v>
      </c>
      <c r="B809" s="9">
        <v>8562</v>
      </c>
      <c r="C809" s="9">
        <v>7.4631449999999999</v>
      </c>
      <c r="D809" s="9">
        <v>99.265320000000003</v>
      </c>
      <c r="E809">
        <v>1</v>
      </c>
      <c r="F809">
        <v>1</v>
      </c>
      <c r="G809">
        <v>0</v>
      </c>
      <c r="H809">
        <v>0</v>
      </c>
      <c r="J809" t="s">
        <v>0</v>
      </c>
      <c r="K809" t="s">
        <v>61</v>
      </c>
      <c r="L809">
        <v>0</v>
      </c>
      <c r="M809" t="s">
        <v>52</v>
      </c>
      <c r="N809">
        <v>1</v>
      </c>
      <c r="O809" t="s">
        <v>63</v>
      </c>
      <c r="P809" s="2">
        <v>0.50069444444444444</v>
      </c>
      <c r="Q809">
        <f>-0.0010791169*3600</f>
        <v>-3.8848208400000002</v>
      </c>
      <c r="R809">
        <f>0.0007301224*3600</f>
        <v>2.62844064</v>
      </c>
    </row>
    <row r="810" spans="1:18" x14ac:dyDescent="0.3">
      <c r="A810" t="s">
        <v>340</v>
      </c>
      <c r="B810" s="9">
        <v>8563</v>
      </c>
      <c r="C810" s="9">
        <v>7.4633330000000004</v>
      </c>
      <c r="D810" s="9">
        <v>99.265276999999998</v>
      </c>
      <c r="E810">
        <v>1</v>
      </c>
      <c r="F810">
        <v>1</v>
      </c>
      <c r="G810">
        <v>0</v>
      </c>
      <c r="H810">
        <v>0</v>
      </c>
      <c r="J810" t="s">
        <v>0</v>
      </c>
      <c r="K810" t="s">
        <v>61</v>
      </c>
      <c r="L810">
        <v>0</v>
      </c>
      <c r="M810" t="s">
        <v>52</v>
      </c>
      <c r="N810">
        <v>1</v>
      </c>
      <c r="O810" t="s">
        <v>63</v>
      </c>
      <c r="P810" s="2">
        <v>0.50069444444444444</v>
      </c>
      <c r="Q810">
        <f>-0.0011712112*3600</f>
        <v>-4.2163603199999997</v>
      </c>
      <c r="R810">
        <f>0.00069111*3600</f>
        <v>2.4879959999999999</v>
      </c>
    </row>
    <row r="811" spans="1:18" x14ac:dyDescent="0.3">
      <c r="A811" t="s">
        <v>340</v>
      </c>
      <c r="B811" s="9">
        <v>8564</v>
      </c>
      <c r="C811" s="9">
        <v>7.4629880000000002</v>
      </c>
      <c r="D811" s="9">
        <v>99.265315000000001</v>
      </c>
      <c r="E811">
        <v>1</v>
      </c>
      <c r="F811">
        <v>1</v>
      </c>
      <c r="G811">
        <v>0</v>
      </c>
      <c r="H811">
        <v>0</v>
      </c>
      <c r="J811" t="s">
        <v>0</v>
      </c>
      <c r="K811" t="s">
        <v>61</v>
      </c>
      <c r="L811">
        <v>0</v>
      </c>
      <c r="M811" t="s">
        <v>52</v>
      </c>
      <c r="N811">
        <v>1</v>
      </c>
      <c r="O811" t="s">
        <v>63</v>
      </c>
      <c r="P811" s="2">
        <v>0.50069444444444444</v>
      </c>
      <c r="Q811">
        <f>-0.001023716*3600</f>
        <v>-3.6853776000000003</v>
      </c>
      <c r="R811">
        <f>0.0007350445*3600</f>
        <v>2.6461601999999997</v>
      </c>
    </row>
    <row r="812" spans="1:18" x14ac:dyDescent="0.3">
      <c r="A812" t="s">
        <v>340</v>
      </c>
      <c r="B812" s="9">
        <v>8565</v>
      </c>
      <c r="C812" s="9">
        <v>7.4630929999999998</v>
      </c>
      <c r="D812" s="9">
        <v>99.265193999999994</v>
      </c>
      <c r="E812">
        <v>1</v>
      </c>
      <c r="F812">
        <v>1</v>
      </c>
      <c r="G812">
        <v>0</v>
      </c>
      <c r="H812">
        <v>0</v>
      </c>
      <c r="J812" t="s">
        <v>0</v>
      </c>
      <c r="K812" t="s">
        <v>61</v>
      </c>
      <c r="L812">
        <v>0</v>
      </c>
      <c r="M812" t="s">
        <v>52</v>
      </c>
      <c r="N812">
        <v>1</v>
      </c>
      <c r="O812" t="s">
        <v>63</v>
      </c>
      <c r="P812" s="2">
        <v>0.50069444444444444</v>
      </c>
      <c r="Q812">
        <f>-0.0011158207*3600</f>
        <v>-4.0169545200000005</v>
      </c>
      <c r="R812">
        <f>0.0006303825*3600</f>
        <v>2.269377</v>
      </c>
    </row>
    <row r="813" spans="1:18" x14ac:dyDescent="0.3">
      <c r="A813" t="s">
        <v>340</v>
      </c>
      <c r="B813" s="9">
        <v>8566</v>
      </c>
      <c r="C813" s="9">
        <v>7.4629560000000001</v>
      </c>
      <c r="D813" s="9">
        <v>99.265248</v>
      </c>
      <c r="E813">
        <v>1</v>
      </c>
      <c r="F813">
        <v>1</v>
      </c>
      <c r="G813">
        <v>0</v>
      </c>
      <c r="H813">
        <v>0</v>
      </c>
      <c r="J813" t="s">
        <v>0</v>
      </c>
      <c r="K813" t="s">
        <v>61</v>
      </c>
      <c r="L813">
        <v>0</v>
      </c>
      <c r="M813" t="s">
        <v>52</v>
      </c>
      <c r="N813">
        <v>1</v>
      </c>
      <c r="O813" t="s">
        <v>63</v>
      </c>
      <c r="P813" s="2">
        <v>0.50069444444444444</v>
      </c>
      <c r="Q813">
        <f>-0.0011562878*3600</f>
        <v>-4.1626360800000004</v>
      </c>
      <c r="R813">
        <f>0.000651387*3600</f>
        <v>2.3449932000000002</v>
      </c>
    </row>
    <row r="814" spans="1:18" x14ac:dyDescent="0.3">
      <c r="A814" t="s">
        <v>340</v>
      </c>
      <c r="B814" s="9">
        <v>8567</v>
      </c>
      <c r="C814" s="9">
        <v>7.4628459999999999</v>
      </c>
      <c r="D814" s="9">
        <v>99.265214999999998</v>
      </c>
      <c r="E814">
        <v>1</v>
      </c>
      <c r="F814">
        <v>1</v>
      </c>
      <c r="G814">
        <v>0</v>
      </c>
      <c r="H814">
        <v>0</v>
      </c>
      <c r="J814" t="s">
        <v>0</v>
      </c>
      <c r="K814" t="s">
        <v>61</v>
      </c>
      <c r="L814">
        <v>0</v>
      </c>
      <c r="M814" t="s">
        <v>52</v>
      </c>
      <c r="N814">
        <v>1</v>
      </c>
      <c r="O814" t="s">
        <v>63</v>
      </c>
      <c r="P814" s="2">
        <v>0.50069444444444444</v>
      </c>
      <c r="Q814">
        <f>-0.0011902818*3600</f>
        <v>-4.2850144800000001</v>
      </c>
      <c r="R814">
        <f>0.0006379902*3600</f>
        <v>2.2967647200000001</v>
      </c>
    </row>
    <row r="815" spans="1:18" x14ac:dyDescent="0.3">
      <c r="A815" t="s">
        <v>340</v>
      </c>
      <c r="B815" s="9">
        <v>8568</v>
      </c>
      <c r="C815" s="9">
        <v>7.4624309999999996</v>
      </c>
      <c r="D815" s="9">
        <v>99.265351999999993</v>
      </c>
      <c r="E815">
        <v>1</v>
      </c>
      <c r="F815">
        <v>1</v>
      </c>
      <c r="G815">
        <v>0</v>
      </c>
      <c r="H815">
        <v>0</v>
      </c>
      <c r="J815" t="s">
        <v>0</v>
      </c>
      <c r="K815" t="s">
        <v>61</v>
      </c>
      <c r="L815">
        <v>0</v>
      </c>
      <c r="M815" t="s">
        <v>52</v>
      </c>
      <c r="N815">
        <v>1</v>
      </c>
      <c r="O815" t="s">
        <v>63</v>
      </c>
      <c r="P815" s="2">
        <v>0.50069444444444444</v>
      </c>
      <c r="Q815">
        <f>-0.0011676229*3600</f>
        <v>-4.2034424399999999</v>
      </c>
      <c r="R815">
        <f>0.0007797365*3600</f>
        <v>2.8070514000000002</v>
      </c>
    </row>
    <row r="816" spans="1:18" x14ac:dyDescent="0.3">
      <c r="A816" t="s">
        <v>340</v>
      </c>
      <c r="B816" s="9">
        <v>8569</v>
      </c>
      <c r="C816" s="9">
        <v>7.4628300000000003</v>
      </c>
      <c r="D816" s="9">
        <v>99.265235000000004</v>
      </c>
      <c r="E816">
        <v>1</v>
      </c>
      <c r="F816">
        <v>1</v>
      </c>
      <c r="G816">
        <v>0</v>
      </c>
      <c r="H816">
        <v>0</v>
      </c>
      <c r="J816" t="s">
        <v>0</v>
      </c>
      <c r="K816" t="s">
        <v>61</v>
      </c>
      <c r="L816">
        <v>0</v>
      </c>
      <c r="M816" t="s">
        <v>52</v>
      </c>
      <c r="N816">
        <v>1</v>
      </c>
      <c r="O816" t="s">
        <v>63</v>
      </c>
      <c r="P816" s="2">
        <v>0.50069444444444444</v>
      </c>
      <c r="Q816">
        <f>-0.0012544539*3600</f>
        <v>-4.5160340400000001</v>
      </c>
      <c r="R816">
        <f>0.000641185*3600</f>
        <v>2.3082659999999997</v>
      </c>
    </row>
    <row r="817" spans="1:18" x14ac:dyDescent="0.3">
      <c r="A817" t="s">
        <v>340</v>
      </c>
      <c r="B817" s="9">
        <v>8570</v>
      </c>
      <c r="C817" s="9">
        <v>7.4633370000000001</v>
      </c>
      <c r="D817" s="9">
        <v>99.265264000000002</v>
      </c>
      <c r="E817">
        <v>1</v>
      </c>
      <c r="F817">
        <v>1</v>
      </c>
      <c r="G817">
        <v>0</v>
      </c>
      <c r="H817">
        <v>0</v>
      </c>
      <c r="J817" t="s">
        <v>0</v>
      </c>
      <c r="K817" t="s">
        <v>61</v>
      </c>
      <c r="L817">
        <v>0</v>
      </c>
      <c r="M817" t="s">
        <v>52</v>
      </c>
      <c r="N817">
        <v>1</v>
      </c>
      <c r="O817" t="s">
        <v>63</v>
      </c>
      <c r="P817" s="2">
        <v>0.50069444444444444</v>
      </c>
      <c r="Q817">
        <f>-0.0011923182*3600</f>
        <v>-4.2923455199999996</v>
      </c>
      <c r="R817">
        <f>0.0007002695*3600</f>
        <v>2.5209701999999998</v>
      </c>
    </row>
    <row r="818" spans="1:18" x14ac:dyDescent="0.3">
      <c r="A818" t="s">
        <v>340</v>
      </c>
      <c r="B818" s="9">
        <v>8571</v>
      </c>
      <c r="C818" s="9">
        <v>7.4635740000000004</v>
      </c>
      <c r="D818" s="9">
        <v>99.265303000000003</v>
      </c>
      <c r="E818">
        <v>1</v>
      </c>
      <c r="F818">
        <v>1</v>
      </c>
      <c r="G818">
        <v>0</v>
      </c>
      <c r="H818">
        <v>0</v>
      </c>
      <c r="J818" t="s">
        <v>0</v>
      </c>
      <c r="K818" t="s">
        <v>61</v>
      </c>
      <c r="L818">
        <v>0</v>
      </c>
      <c r="M818" t="s">
        <v>52</v>
      </c>
      <c r="N818">
        <v>1</v>
      </c>
      <c r="O818" t="s">
        <v>63</v>
      </c>
      <c r="P818" s="2">
        <v>0.50069444444444444</v>
      </c>
      <c r="Q818">
        <f>-0.0011581527*3600</f>
        <v>-4.1693497199999996</v>
      </c>
      <c r="R818">
        <f>0.0007148997*3600</f>
        <v>2.5736389200000001</v>
      </c>
    </row>
    <row r="819" spans="1:18" x14ac:dyDescent="0.3">
      <c r="A819" t="s">
        <v>340</v>
      </c>
      <c r="B819" s="9">
        <v>8572</v>
      </c>
      <c r="C819" s="9">
        <v>7.4641479999999998</v>
      </c>
      <c r="D819" s="9">
        <v>99.265369000000007</v>
      </c>
      <c r="E819">
        <v>1</v>
      </c>
      <c r="F819">
        <v>1</v>
      </c>
      <c r="G819">
        <v>0</v>
      </c>
      <c r="H819">
        <v>0</v>
      </c>
      <c r="J819" t="s">
        <v>0</v>
      </c>
      <c r="K819" t="s">
        <v>61</v>
      </c>
      <c r="L819">
        <v>0</v>
      </c>
      <c r="M819" t="s">
        <v>52</v>
      </c>
      <c r="N819">
        <v>1</v>
      </c>
      <c r="O819" t="s">
        <v>63</v>
      </c>
      <c r="P819" s="2">
        <v>0.50069444444444444</v>
      </c>
      <c r="Q819">
        <f>-0.0009408383*3600</f>
        <v>-3.3870178800000001</v>
      </c>
      <c r="R819">
        <f>0.000792261*3600</f>
        <v>2.8521396000000001</v>
      </c>
    </row>
    <row r="820" spans="1:18" x14ac:dyDescent="0.3">
      <c r="A820" t="s">
        <v>340</v>
      </c>
      <c r="B820" s="9">
        <v>8573</v>
      </c>
      <c r="C820" s="9">
        <v>7.4639819999999997</v>
      </c>
      <c r="D820" s="9">
        <v>99.265229000000005</v>
      </c>
      <c r="E820">
        <v>1</v>
      </c>
      <c r="F820">
        <v>1</v>
      </c>
      <c r="G820">
        <v>0</v>
      </c>
      <c r="H820">
        <v>0</v>
      </c>
      <c r="J820" t="s">
        <v>0</v>
      </c>
      <c r="K820" t="s">
        <v>61</v>
      </c>
      <c r="L820">
        <v>0</v>
      </c>
      <c r="M820" t="s">
        <v>52</v>
      </c>
      <c r="N820">
        <v>1</v>
      </c>
      <c r="O820" t="s">
        <v>63</v>
      </c>
      <c r="P820" s="2">
        <v>0.50069444444444444</v>
      </c>
      <c r="Q820">
        <f>-0.0012634697*3600</f>
        <v>-4.5484909199999999</v>
      </c>
      <c r="R820">
        <f>0.0006463321*3600</f>
        <v>2.3267955600000003</v>
      </c>
    </row>
    <row r="821" spans="1:18" x14ac:dyDescent="0.3">
      <c r="A821" t="s">
        <v>340</v>
      </c>
      <c r="B821" s="9">
        <v>8574</v>
      </c>
      <c r="C821" s="9">
        <v>7.4623920000000004</v>
      </c>
      <c r="D821" s="9">
        <v>99.265320000000003</v>
      </c>
      <c r="E821">
        <v>1</v>
      </c>
      <c r="F821">
        <v>1</v>
      </c>
      <c r="G821">
        <v>0</v>
      </c>
      <c r="H821">
        <v>0</v>
      </c>
      <c r="J821" t="s">
        <v>0</v>
      </c>
      <c r="K821" t="s">
        <v>61</v>
      </c>
      <c r="L821">
        <v>0</v>
      </c>
      <c r="M821" t="s">
        <v>52</v>
      </c>
      <c r="N821">
        <v>1</v>
      </c>
      <c r="O821" t="s">
        <v>63</v>
      </c>
      <c r="P821" s="2">
        <v>0.50069444444444444</v>
      </c>
      <c r="Q821">
        <f>-0.001309987*3600</f>
        <v>-4.7159532000000004</v>
      </c>
      <c r="R821">
        <f>0.0007056293*3600</f>
        <v>2.54026548</v>
      </c>
    </row>
    <row r="822" spans="1:18" x14ac:dyDescent="0.3">
      <c r="A822" t="s">
        <v>340</v>
      </c>
      <c r="B822" s="9">
        <v>8575</v>
      </c>
      <c r="C822" s="9">
        <v>7.4623699999999999</v>
      </c>
      <c r="D822" s="9">
        <v>99.265253000000001</v>
      </c>
      <c r="E822">
        <v>1</v>
      </c>
      <c r="F822">
        <v>1</v>
      </c>
      <c r="G822">
        <v>0</v>
      </c>
      <c r="H822">
        <v>0</v>
      </c>
      <c r="J822" t="s">
        <v>0</v>
      </c>
      <c r="K822" t="s">
        <v>61</v>
      </c>
      <c r="L822">
        <v>0</v>
      </c>
      <c r="M822" t="s">
        <v>52</v>
      </c>
      <c r="N822">
        <v>1</v>
      </c>
      <c r="O822" t="s">
        <v>63</v>
      </c>
      <c r="P822" s="2">
        <v>0.50069444444444444</v>
      </c>
      <c r="Q822">
        <f>-0.0013699002*3600</f>
        <v>-4.9316407199999999</v>
      </c>
      <c r="R822">
        <f>0.000664591*3600</f>
        <v>2.3925275999999998</v>
      </c>
    </row>
    <row r="823" spans="1:18" x14ac:dyDescent="0.3">
      <c r="A823" t="s">
        <v>340</v>
      </c>
      <c r="B823" s="7">
        <v>75</v>
      </c>
      <c r="C823" s="7">
        <v>7.4621139999999997</v>
      </c>
      <c r="D823" s="7">
        <v>99.559775999999999</v>
      </c>
      <c r="E823" s="7">
        <v>2.0411000000000001</v>
      </c>
      <c r="F823" s="7">
        <v>2.0442</v>
      </c>
      <c r="G823">
        <v>0</v>
      </c>
      <c r="H823">
        <v>0</v>
      </c>
      <c r="J823" t="s">
        <v>0</v>
      </c>
      <c r="K823" t="s">
        <v>61</v>
      </c>
      <c r="L823">
        <v>3.4000000000000002E-2</v>
      </c>
      <c r="M823" t="s">
        <v>52</v>
      </c>
      <c r="N823">
        <v>1</v>
      </c>
      <c r="O823" t="s">
        <v>53</v>
      </c>
      <c r="P823" s="2">
        <v>0.50138888888888888</v>
      </c>
      <c r="Q823">
        <f>-0.0010409511*3600</f>
        <v>-3.7474239600000003</v>
      </c>
      <c r="R823">
        <f>0.0006395816*3600</f>
        <v>2.3024937599999999</v>
      </c>
    </row>
    <row r="824" spans="1:18" x14ac:dyDescent="0.3">
      <c r="A824" t="s">
        <v>340</v>
      </c>
      <c r="B824" s="7">
        <v>7500</v>
      </c>
      <c r="C824" s="7">
        <v>7.3755810000000004</v>
      </c>
      <c r="D824" s="7">
        <v>98.303993000000006</v>
      </c>
      <c r="E824" s="7">
        <v>2.0419</v>
      </c>
      <c r="F824" s="7">
        <v>2.0442999999999998</v>
      </c>
      <c r="G824">
        <v>0</v>
      </c>
      <c r="H824">
        <v>0</v>
      </c>
      <c r="J824" t="s">
        <v>0</v>
      </c>
      <c r="K824" t="s">
        <v>61</v>
      </c>
      <c r="L824">
        <v>3.4000000000000002E-2</v>
      </c>
      <c r="M824" t="s">
        <v>52</v>
      </c>
      <c r="N824">
        <v>1</v>
      </c>
      <c r="O824" t="s">
        <v>53</v>
      </c>
      <c r="P824" s="2">
        <v>0.50138888888888888</v>
      </c>
      <c r="Q824">
        <f>-0.0010841254*3600</f>
        <v>-3.9028514399999996</v>
      </c>
      <c r="R824">
        <f>0.0005931077*3600</f>
        <v>2.1351877199999998</v>
      </c>
    </row>
    <row r="825" spans="1:18" x14ac:dyDescent="0.3">
      <c r="A825" t="s">
        <v>340</v>
      </c>
      <c r="B825" s="12">
        <v>7501</v>
      </c>
      <c r="C825" s="12">
        <v>7.3754770000000001</v>
      </c>
      <c r="D825" s="12">
        <v>97.823475999999999</v>
      </c>
      <c r="E825">
        <v>1</v>
      </c>
      <c r="F825">
        <v>1</v>
      </c>
      <c r="G825">
        <v>0</v>
      </c>
      <c r="H825">
        <v>0</v>
      </c>
      <c r="J825" t="s">
        <v>0</v>
      </c>
      <c r="K825" t="s">
        <v>61</v>
      </c>
      <c r="L825">
        <v>0</v>
      </c>
      <c r="M825" t="s">
        <v>52</v>
      </c>
      <c r="N825">
        <v>1</v>
      </c>
      <c r="O825" t="s">
        <v>63</v>
      </c>
      <c r="P825" s="2">
        <v>0.50138888888888888</v>
      </c>
      <c r="Q825">
        <f>-0.0012252067*3600</f>
        <v>-4.4107441199999995</v>
      </c>
      <c r="R825">
        <f>0.0007235212*3600</f>
        <v>2.6046763200000003</v>
      </c>
    </row>
    <row r="826" spans="1:18" x14ac:dyDescent="0.3">
      <c r="A826" t="s">
        <v>340</v>
      </c>
      <c r="B826" s="12">
        <v>7502</v>
      </c>
      <c r="C826" s="12">
        <v>7.3755550000000003</v>
      </c>
      <c r="D826" s="12">
        <v>97.823241999999993</v>
      </c>
      <c r="E826">
        <v>1</v>
      </c>
      <c r="F826">
        <v>1</v>
      </c>
      <c r="G826">
        <v>0</v>
      </c>
      <c r="H826">
        <v>0</v>
      </c>
      <c r="J826" t="s">
        <v>0</v>
      </c>
      <c r="K826" t="s">
        <v>61</v>
      </c>
      <c r="L826">
        <v>0</v>
      </c>
      <c r="M826" t="s">
        <v>52</v>
      </c>
      <c r="N826">
        <v>1</v>
      </c>
      <c r="O826" t="s">
        <v>63</v>
      </c>
      <c r="P826" s="2">
        <v>0.50138888888888888</v>
      </c>
      <c r="Q826">
        <f>-0.0012539478*3600</f>
        <v>-4.5142120800000001</v>
      </c>
      <c r="R826">
        <f>0.0005027529*3600</f>
        <v>1.8099104399999999</v>
      </c>
    </row>
    <row r="827" spans="1:18" x14ac:dyDescent="0.3">
      <c r="A827" t="s">
        <v>340</v>
      </c>
      <c r="B827" s="12">
        <v>7503</v>
      </c>
      <c r="C827" s="12">
        <v>7.375826</v>
      </c>
      <c r="D827" s="12">
        <v>97.823299000000006</v>
      </c>
      <c r="E827">
        <v>1</v>
      </c>
      <c r="F827">
        <v>1</v>
      </c>
      <c r="G827">
        <v>0</v>
      </c>
      <c r="H827">
        <v>0</v>
      </c>
      <c r="J827" t="s">
        <v>0</v>
      </c>
      <c r="K827" t="s">
        <v>61</v>
      </c>
      <c r="L827">
        <v>0</v>
      </c>
      <c r="M827" t="s">
        <v>52</v>
      </c>
      <c r="N827">
        <v>1</v>
      </c>
      <c r="O827" t="s">
        <v>63</v>
      </c>
      <c r="P827" s="2">
        <v>0.50138888888888888</v>
      </c>
      <c r="Q827">
        <f>-0.0013290074*3600</f>
        <v>-4.7844266400000004</v>
      </c>
      <c r="R827">
        <f>0.0005982513*3600</f>
        <v>2.1537046800000001</v>
      </c>
    </row>
    <row r="828" spans="1:18" x14ac:dyDescent="0.3">
      <c r="A828" t="s">
        <v>340</v>
      </c>
      <c r="B828" s="12">
        <v>7504</v>
      </c>
      <c r="C828" s="12">
        <v>7.3766210000000001</v>
      </c>
      <c r="D828" s="12">
        <v>97.823417000000006</v>
      </c>
      <c r="E828">
        <v>1</v>
      </c>
      <c r="F828">
        <v>1</v>
      </c>
      <c r="G828">
        <v>0</v>
      </c>
      <c r="H828">
        <v>0</v>
      </c>
      <c r="J828" t="s">
        <v>0</v>
      </c>
      <c r="K828" t="s">
        <v>61</v>
      </c>
      <c r="L828">
        <v>0</v>
      </c>
      <c r="M828" t="s">
        <v>52</v>
      </c>
      <c r="N828">
        <v>1</v>
      </c>
      <c r="O828" t="s">
        <v>63</v>
      </c>
      <c r="P828" s="2">
        <v>0.50138888888888888</v>
      </c>
      <c r="Q828">
        <f>-0.0011234966*3600</f>
        <v>-4.0445877600000006</v>
      </c>
      <c r="R828">
        <f>0.0007141491*3600</f>
        <v>2.5709367599999999</v>
      </c>
    </row>
    <row r="829" spans="1:18" x14ac:dyDescent="0.3">
      <c r="A829" t="s">
        <v>340</v>
      </c>
      <c r="B829" s="12">
        <v>7505</v>
      </c>
      <c r="C829" s="12">
        <v>7.376366</v>
      </c>
      <c r="D829" s="12">
        <v>97.823316000000005</v>
      </c>
      <c r="E829">
        <v>1</v>
      </c>
      <c r="F829">
        <v>1</v>
      </c>
      <c r="G829">
        <v>0</v>
      </c>
      <c r="H829">
        <v>0</v>
      </c>
      <c r="J829" t="s">
        <v>0</v>
      </c>
      <c r="K829" t="s">
        <v>61</v>
      </c>
      <c r="L829">
        <v>0</v>
      </c>
      <c r="M829" t="s">
        <v>52</v>
      </c>
      <c r="N829">
        <v>1</v>
      </c>
      <c r="O829" t="s">
        <v>63</v>
      </c>
      <c r="P829" s="2">
        <v>0.50138888888888888</v>
      </c>
      <c r="Q829">
        <f>-0.0012108956*3600</f>
        <v>-4.3592241600000001</v>
      </c>
      <c r="R829">
        <f>0.0006121005*3600</f>
        <v>2.2035618000000001</v>
      </c>
    </row>
    <row r="830" spans="1:18" x14ac:dyDescent="0.3">
      <c r="A830" t="s">
        <v>340</v>
      </c>
      <c r="B830" s="12">
        <v>7506</v>
      </c>
      <c r="C830" s="12">
        <v>7.3761299999999999</v>
      </c>
      <c r="D830" s="12">
        <v>97.823322000000005</v>
      </c>
      <c r="E830">
        <v>1</v>
      </c>
      <c r="F830">
        <v>1</v>
      </c>
      <c r="G830">
        <v>0</v>
      </c>
      <c r="H830">
        <v>0</v>
      </c>
      <c r="J830" t="s">
        <v>0</v>
      </c>
      <c r="K830" t="s">
        <v>61</v>
      </c>
      <c r="L830">
        <v>0</v>
      </c>
      <c r="M830" t="s">
        <v>52</v>
      </c>
      <c r="N830">
        <v>1</v>
      </c>
      <c r="O830" t="s">
        <v>63</v>
      </c>
      <c r="P830" s="2">
        <v>0.50138888888888888</v>
      </c>
      <c r="Q830">
        <f>-0.001297991*3600</f>
        <v>-4.6727676000000002</v>
      </c>
      <c r="R830">
        <f>0.0006099783*3600</f>
        <v>2.1959218799999998</v>
      </c>
    </row>
    <row r="831" spans="1:18" x14ac:dyDescent="0.3">
      <c r="A831" t="s">
        <v>340</v>
      </c>
      <c r="B831" s="12">
        <v>7507</v>
      </c>
      <c r="C831" s="12">
        <v>7.3765090000000004</v>
      </c>
      <c r="D831" s="12">
        <v>97.823385999999999</v>
      </c>
      <c r="E831">
        <v>1</v>
      </c>
      <c r="F831">
        <v>1</v>
      </c>
      <c r="G831">
        <v>0</v>
      </c>
      <c r="H831">
        <v>0</v>
      </c>
      <c r="J831" t="s">
        <v>0</v>
      </c>
      <c r="K831" t="s">
        <v>61</v>
      </c>
      <c r="L831">
        <v>0</v>
      </c>
      <c r="M831" t="s">
        <v>52</v>
      </c>
      <c r="N831">
        <v>1</v>
      </c>
      <c r="O831" t="s">
        <v>63</v>
      </c>
      <c r="P831" s="2">
        <v>0.50138888888888888</v>
      </c>
      <c r="Q831">
        <f>-0.0012838649*3600</f>
        <v>-4.6219136400000007</v>
      </c>
      <c r="R831">
        <f>0.0006577125*3600</f>
        <v>2.3677649999999999</v>
      </c>
    </row>
    <row r="832" spans="1:18" x14ac:dyDescent="0.3">
      <c r="A832" t="s">
        <v>340</v>
      </c>
      <c r="B832" s="12">
        <v>7508</v>
      </c>
      <c r="C832" s="12">
        <v>7.3764000000000003</v>
      </c>
      <c r="D832" s="12">
        <v>97.823429000000004</v>
      </c>
      <c r="E832">
        <v>1</v>
      </c>
      <c r="F832">
        <v>1</v>
      </c>
      <c r="G832">
        <v>0</v>
      </c>
      <c r="H832">
        <v>0</v>
      </c>
      <c r="J832" t="s">
        <v>0</v>
      </c>
      <c r="K832" t="s">
        <v>61</v>
      </c>
      <c r="L832">
        <v>0</v>
      </c>
      <c r="M832" t="s">
        <v>52</v>
      </c>
      <c r="N832">
        <v>1</v>
      </c>
      <c r="O832" t="s">
        <v>63</v>
      </c>
      <c r="P832" s="2">
        <v>0.50138888888888888</v>
      </c>
      <c r="Q832">
        <f>-0.0011485385*3600</f>
        <v>-4.1347385999999995</v>
      </c>
      <c r="R832">
        <f>0.0007417304*3600</f>
        <v>2.67022944</v>
      </c>
    </row>
    <row r="833" spans="1:18" x14ac:dyDescent="0.3">
      <c r="A833" t="s">
        <v>340</v>
      </c>
      <c r="B833" s="12">
        <v>7509</v>
      </c>
      <c r="C833" s="12">
        <v>7.3761089999999996</v>
      </c>
      <c r="D833" s="12">
        <v>97.823329999999999</v>
      </c>
      <c r="E833">
        <v>1</v>
      </c>
      <c r="F833">
        <v>1</v>
      </c>
      <c r="G833">
        <v>0</v>
      </c>
      <c r="H833">
        <v>0</v>
      </c>
      <c r="J833" t="s">
        <v>0</v>
      </c>
      <c r="K833" t="s">
        <v>61</v>
      </c>
      <c r="L833">
        <v>0</v>
      </c>
      <c r="M833" t="s">
        <v>52</v>
      </c>
      <c r="N833">
        <v>1</v>
      </c>
      <c r="O833" t="s">
        <v>63</v>
      </c>
      <c r="P833" s="2">
        <v>0.50138888888888888</v>
      </c>
      <c r="Q833">
        <f>-0.0012929459*3600</f>
        <v>-4.6546052400000004</v>
      </c>
      <c r="R833">
        <f>0.0006429446*3600</f>
        <v>2.3146005600000001</v>
      </c>
    </row>
    <row r="834" spans="1:18" x14ac:dyDescent="0.3">
      <c r="A834" t="s">
        <v>340</v>
      </c>
      <c r="B834" s="12">
        <v>7510</v>
      </c>
      <c r="C834" s="12">
        <v>7.3751569999999997</v>
      </c>
      <c r="D834" s="12">
        <v>97.823346999999998</v>
      </c>
      <c r="E834">
        <v>1</v>
      </c>
      <c r="F834">
        <v>1</v>
      </c>
      <c r="G834">
        <v>0</v>
      </c>
      <c r="H834">
        <v>0</v>
      </c>
      <c r="J834" t="s">
        <v>0</v>
      </c>
      <c r="K834" t="s">
        <v>61</v>
      </c>
      <c r="L834">
        <v>0</v>
      </c>
      <c r="M834" t="s">
        <v>52</v>
      </c>
      <c r="N834">
        <v>1</v>
      </c>
      <c r="O834" t="s">
        <v>63</v>
      </c>
      <c r="P834" s="2">
        <v>0.50138888888888888</v>
      </c>
      <c r="Q834">
        <f>-0.0013562857*3600</f>
        <v>-4.8826285199999999</v>
      </c>
      <c r="R834">
        <f>0.0006519552*3600</f>
        <v>2.34703872</v>
      </c>
    </row>
    <row r="835" spans="1:18" x14ac:dyDescent="0.3">
      <c r="A835" t="s">
        <v>340</v>
      </c>
      <c r="B835" s="12">
        <v>7511</v>
      </c>
      <c r="C835" s="12">
        <v>7.3742830000000001</v>
      </c>
      <c r="D835" s="12">
        <v>97.823222999999999</v>
      </c>
      <c r="E835">
        <v>1</v>
      </c>
      <c r="F835">
        <v>1</v>
      </c>
      <c r="G835">
        <v>0</v>
      </c>
      <c r="H835">
        <v>0</v>
      </c>
      <c r="J835" t="s">
        <v>0</v>
      </c>
      <c r="K835" t="s">
        <v>61</v>
      </c>
      <c r="L835">
        <v>0</v>
      </c>
      <c r="M835" t="s">
        <v>52</v>
      </c>
      <c r="N835">
        <v>1</v>
      </c>
      <c r="O835" t="s">
        <v>63</v>
      </c>
      <c r="P835" s="2">
        <v>0.50138888888888888</v>
      </c>
      <c r="Q835">
        <f>-0.0013565896*3600</f>
        <v>-4.8837225599999998</v>
      </c>
      <c r="R835">
        <f>0.0005383068*3600</f>
        <v>1.9379044799999998</v>
      </c>
    </row>
    <row r="836" spans="1:18" x14ac:dyDescent="0.3">
      <c r="A836" t="s">
        <v>340</v>
      </c>
      <c r="B836" s="12">
        <v>7512</v>
      </c>
      <c r="C836" s="12">
        <v>7.3738450000000002</v>
      </c>
      <c r="D836" s="12">
        <v>97.823306000000002</v>
      </c>
      <c r="E836">
        <v>1</v>
      </c>
      <c r="F836">
        <v>1</v>
      </c>
      <c r="G836">
        <v>0</v>
      </c>
      <c r="H836">
        <v>0</v>
      </c>
      <c r="J836" t="s">
        <v>0</v>
      </c>
      <c r="K836" t="s">
        <v>61</v>
      </c>
      <c r="L836">
        <v>0</v>
      </c>
      <c r="M836" t="s">
        <v>52</v>
      </c>
      <c r="N836">
        <v>1</v>
      </c>
      <c r="O836" t="s">
        <v>63</v>
      </c>
      <c r="P836" s="2">
        <v>0.50208333333333333</v>
      </c>
      <c r="Q836">
        <f>-0.0013777223*3600</f>
        <v>-4.9598002799999996</v>
      </c>
      <c r="R836">
        <f>0.0006194217*3600</f>
        <v>2.2299181200000002</v>
      </c>
    </row>
    <row r="837" spans="1:18" x14ac:dyDescent="0.3">
      <c r="A837" t="s">
        <v>340</v>
      </c>
      <c r="B837" s="12">
        <v>7513</v>
      </c>
      <c r="C837" s="12">
        <v>7.3741240000000001</v>
      </c>
      <c r="D837" s="12">
        <v>97.823335</v>
      </c>
      <c r="E837">
        <v>1</v>
      </c>
      <c r="F837">
        <v>1</v>
      </c>
      <c r="G837">
        <v>0</v>
      </c>
      <c r="H837">
        <v>0</v>
      </c>
      <c r="J837" t="s">
        <v>0</v>
      </c>
      <c r="K837" t="s">
        <v>61</v>
      </c>
      <c r="L837">
        <v>0</v>
      </c>
      <c r="M837" t="s">
        <v>52</v>
      </c>
      <c r="N837">
        <v>1</v>
      </c>
      <c r="O837" t="s">
        <v>63</v>
      </c>
      <c r="P837" s="2">
        <v>0.50208333333333333</v>
      </c>
      <c r="Q837">
        <f>-0.0011058095*3600</f>
        <v>-3.9809142000000004</v>
      </c>
      <c r="R837">
        <f>0.0006585904*3600</f>
        <v>2.3709254400000002</v>
      </c>
    </row>
    <row r="838" spans="1:18" x14ac:dyDescent="0.3">
      <c r="A838" t="s">
        <v>340</v>
      </c>
      <c r="B838" s="12">
        <v>7514</v>
      </c>
      <c r="C838" s="12">
        <v>7.373799</v>
      </c>
      <c r="D838" s="12">
        <v>97.823409999999996</v>
      </c>
      <c r="E838">
        <v>1</v>
      </c>
      <c r="F838">
        <v>1</v>
      </c>
      <c r="G838">
        <v>0</v>
      </c>
      <c r="H838">
        <v>0</v>
      </c>
      <c r="J838" t="s">
        <v>0</v>
      </c>
      <c r="K838" t="s">
        <v>61</v>
      </c>
      <c r="L838">
        <v>0</v>
      </c>
      <c r="M838" t="s">
        <v>52</v>
      </c>
      <c r="N838">
        <v>1</v>
      </c>
      <c r="O838" t="s">
        <v>63</v>
      </c>
      <c r="P838" s="2">
        <v>0.50208333333333333</v>
      </c>
      <c r="Q838">
        <f>-0.0010389098*3600</f>
        <v>-3.7400752800000001</v>
      </c>
      <c r="R838">
        <f>0.0007235895*3600</f>
        <v>2.6049222000000003</v>
      </c>
    </row>
    <row r="839" spans="1:18" x14ac:dyDescent="0.3">
      <c r="A839" t="s">
        <v>340</v>
      </c>
      <c r="B839" s="12">
        <v>7515</v>
      </c>
      <c r="C839" s="12">
        <v>7.374695</v>
      </c>
      <c r="D839" s="12">
        <v>97.823453000000001</v>
      </c>
      <c r="E839">
        <v>1</v>
      </c>
      <c r="F839">
        <v>1</v>
      </c>
      <c r="G839">
        <v>0</v>
      </c>
      <c r="H839">
        <v>0</v>
      </c>
      <c r="J839" t="s">
        <v>0</v>
      </c>
      <c r="K839" t="s">
        <v>61</v>
      </c>
      <c r="L839">
        <v>0</v>
      </c>
      <c r="M839" t="s">
        <v>52</v>
      </c>
      <c r="N839">
        <v>1</v>
      </c>
      <c r="O839" t="s">
        <v>63</v>
      </c>
      <c r="P839" s="2">
        <v>0.50208333333333333</v>
      </c>
      <c r="Q839">
        <f>-0.0011627635*3600</f>
        <v>-4.1859485999999997</v>
      </c>
      <c r="R839">
        <f>0.000775139*3600</f>
        <v>2.7905004</v>
      </c>
    </row>
    <row r="840" spans="1:18" x14ac:dyDescent="0.3">
      <c r="A840" t="s">
        <v>340</v>
      </c>
      <c r="B840" s="12">
        <v>7516</v>
      </c>
      <c r="C840" s="12">
        <v>7.3746600000000004</v>
      </c>
      <c r="D840" s="12">
        <v>97.823434000000006</v>
      </c>
      <c r="E840">
        <v>1</v>
      </c>
      <c r="F840">
        <v>1</v>
      </c>
      <c r="G840">
        <v>0</v>
      </c>
      <c r="H840">
        <v>0</v>
      </c>
      <c r="J840" t="s">
        <v>0</v>
      </c>
      <c r="K840" t="s">
        <v>61</v>
      </c>
      <c r="L840">
        <v>0</v>
      </c>
      <c r="M840" t="s">
        <v>52</v>
      </c>
      <c r="N840">
        <v>1</v>
      </c>
      <c r="O840" t="s">
        <v>63</v>
      </c>
      <c r="P840" s="2">
        <v>0.50208333333333333</v>
      </c>
      <c r="Q840">
        <f>-0.0010503121*3600</f>
        <v>-3.7811235599999997</v>
      </c>
      <c r="R840">
        <f>0.0007740471*3600</f>
        <v>2.7865695599999998</v>
      </c>
    </row>
    <row r="841" spans="1:18" x14ac:dyDescent="0.3">
      <c r="A841" t="s">
        <v>340</v>
      </c>
      <c r="B841" s="12">
        <v>7517</v>
      </c>
      <c r="C841" s="12">
        <v>7.374714</v>
      </c>
      <c r="D841" s="12">
        <v>97.823392999999996</v>
      </c>
      <c r="E841">
        <v>1</v>
      </c>
      <c r="F841">
        <v>1</v>
      </c>
      <c r="G841">
        <v>0</v>
      </c>
      <c r="H841">
        <v>0</v>
      </c>
      <c r="J841" t="s">
        <v>0</v>
      </c>
      <c r="K841" t="s">
        <v>61</v>
      </c>
      <c r="L841">
        <v>0</v>
      </c>
      <c r="M841" t="s">
        <v>52</v>
      </c>
      <c r="N841">
        <v>1</v>
      </c>
      <c r="O841" t="s">
        <v>63</v>
      </c>
      <c r="P841" s="2">
        <v>0.50208333333333333</v>
      </c>
      <c r="Q841">
        <f>-0.001255807*3600</f>
        <v>-4.5209052000000005</v>
      </c>
      <c r="R841">
        <f>0.0007513109*3600</f>
        <v>2.7047192400000002</v>
      </c>
    </row>
    <row r="842" spans="1:18" x14ac:dyDescent="0.3">
      <c r="A842" t="s">
        <v>340</v>
      </c>
      <c r="B842" s="12">
        <v>7518</v>
      </c>
      <c r="C842" s="12">
        <v>7.374517</v>
      </c>
      <c r="D842" s="12">
        <v>97.823515</v>
      </c>
      <c r="E842">
        <v>1</v>
      </c>
      <c r="F842">
        <v>1</v>
      </c>
      <c r="G842">
        <v>0</v>
      </c>
      <c r="H842">
        <v>0</v>
      </c>
      <c r="J842" t="s">
        <v>0</v>
      </c>
      <c r="K842" t="s">
        <v>61</v>
      </c>
      <c r="L842">
        <v>0</v>
      </c>
      <c r="M842" t="s">
        <v>52</v>
      </c>
      <c r="N842">
        <v>1</v>
      </c>
      <c r="O842" t="s">
        <v>63</v>
      </c>
      <c r="P842" s="2">
        <v>0.50208333333333333</v>
      </c>
      <c r="Q842">
        <f>-0.0011083805*3600</f>
        <v>-3.9901697999999999</v>
      </c>
      <c r="R842">
        <f>0.0008443489*3600</f>
        <v>3.0396560399999997</v>
      </c>
    </row>
    <row r="843" spans="1:18" x14ac:dyDescent="0.3">
      <c r="A843" t="s">
        <v>340</v>
      </c>
      <c r="B843" s="12">
        <v>7519</v>
      </c>
      <c r="C843" s="12">
        <v>7.3748250000000004</v>
      </c>
      <c r="D843" s="12">
        <v>97.823401000000004</v>
      </c>
      <c r="E843">
        <v>1</v>
      </c>
      <c r="F843">
        <v>1</v>
      </c>
      <c r="G843">
        <v>0</v>
      </c>
      <c r="H843">
        <v>0</v>
      </c>
      <c r="J843" t="s">
        <v>0</v>
      </c>
      <c r="K843" t="s">
        <v>61</v>
      </c>
      <c r="L843">
        <v>0</v>
      </c>
      <c r="M843" t="s">
        <v>52</v>
      </c>
      <c r="N843">
        <v>1</v>
      </c>
      <c r="O843" t="s">
        <v>63</v>
      </c>
      <c r="P843" s="2">
        <v>0.50208333333333333</v>
      </c>
      <c r="Q843">
        <f>-0.0013019559*3600</f>
        <v>-4.6870412400000001</v>
      </c>
      <c r="R843">
        <f>0.0007059039*3600</f>
        <v>2.5412540400000001</v>
      </c>
    </row>
    <row r="844" spans="1:18" x14ac:dyDescent="0.3">
      <c r="A844" t="s">
        <v>340</v>
      </c>
      <c r="B844" s="12">
        <v>7520</v>
      </c>
      <c r="C844" s="12">
        <v>7.3742299999999998</v>
      </c>
      <c r="D844" s="12">
        <v>97.823414999999997</v>
      </c>
      <c r="E844">
        <v>1</v>
      </c>
      <c r="F844">
        <v>1</v>
      </c>
      <c r="G844">
        <v>0</v>
      </c>
      <c r="H844">
        <v>0</v>
      </c>
      <c r="J844" t="s">
        <v>0</v>
      </c>
      <c r="K844" t="s">
        <v>61</v>
      </c>
      <c r="L844">
        <v>0</v>
      </c>
      <c r="M844" t="s">
        <v>52</v>
      </c>
      <c r="N844">
        <v>1</v>
      </c>
      <c r="O844" t="s">
        <v>63</v>
      </c>
      <c r="P844" s="2">
        <v>0.50208333333333333</v>
      </c>
      <c r="Q844">
        <f>-0.0011541808*3600</f>
        <v>-4.1550508800000001</v>
      </c>
      <c r="R844">
        <f>0.0007614328*3600</f>
        <v>2.7411580799999999</v>
      </c>
    </row>
    <row r="845" spans="1:18" x14ac:dyDescent="0.3">
      <c r="A845" t="s">
        <v>340</v>
      </c>
      <c r="B845" s="12">
        <v>7521</v>
      </c>
      <c r="C845" s="12">
        <v>7.3745880000000001</v>
      </c>
      <c r="D845" s="12">
        <v>97.823430999999999</v>
      </c>
      <c r="E845">
        <v>1</v>
      </c>
      <c r="F845">
        <v>1</v>
      </c>
      <c r="G845">
        <v>0</v>
      </c>
      <c r="H845">
        <v>0</v>
      </c>
      <c r="J845" t="s">
        <v>0</v>
      </c>
      <c r="K845" t="s">
        <v>61</v>
      </c>
      <c r="L845">
        <v>0</v>
      </c>
      <c r="M845" t="s">
        <v>52</v>
      </c>
      <c r="N845">
        <v>1</v>
      </c>
      <c r="O845" t="s">
        <v>63</v>
      </c>
      <c r="P845" s="2">
        <v>0.50208333333333333</v>
      </c>
      <c r="Q845">
        <f>-0.0012421687*3600</f>
        <v>-4.4718073199999999</v>
      </c>
      <c r="R845">
        <f>0.0007595571*3600</f>
        <v>2.7344055600000003</v>
      </c>
    </row>
    <row r="846" spans="1:18" x14ac:dyDescent="0.3">
      <c r="A846" t="s">
        <v>340</v>
      </c>
      <c r="B846" s="12">
        <v>7522</v>
      </c>
      <c r="C846" s="12">
        <v>7.3747220000000002</v>
      </c>
      <c r="D846" s="12">
        <v>97.823310000000006</v>
      </c>
      <c r="E846">
        <v>1</v>
      </c>
      <c r="F846">
        <v>1</v>
      </c>
      <c r="G846">
        <v>0</v>
      </c>
      <c r="H846">
        <v>0</v>
      </c>
      <c r="J846" t="s">
        <v>0</v>
      </c>
      <c r="K846" t="s">
        <v>61</v>
      </c>
      <c r="L846">
        <v>0</v>
      </c>
      <c r="M846" t="s">
        <v>52</v>
      </c>
      <c r="N846">
        <v>1</v>
      </c>
      <c r="O846" t="s">
        <v>63</v>
      </c>
      <c r="P846" s="2">
        <v>0.50208333333333333</v>
      </c>
      <c r="Q846">
        <f>-0.0012706571*3600</f>
        <v>-4.5743655599999995</v>
      </c>
      <c r="R846">
        <f>0.000679125*3600</f>
        <v>2.4448500000000002</v>
      </c>
    </row>
    <row r="847" spans="1:18" x14ac:dyDescent="0.3">
      <c r="A847" t="s">
        <v>340</v>
      </c>
      <c r="B847" s="12">
        <v>7523</v>
      </c>
      <c r="C847" s="12">
        <v>7.3744449999999997</v>
      </c>
      <c r="D847" s="12">
        <v>97.823400000000007</v>
      </c>
      <c r="E847">
        <v>1</v>
      </c>
      <c r="F847">
        <v>1</v>
      </c>
      <c r="G847">
        <v>0</v>
      </c>
      <c r="H847">
        <v>0</v>
      </c>
      <c r="J847" t="s">
        <v>0</v>
      </c>
      <c r="K847" t="s">
        <v>61</v>
      </c>
      <c r="L847">
        <v>0</v>
      </c>
      <c r="M847" t="s">
        <v>52</v>
      </c>
      <c r="N847">
        <v>1</v>
      </c>
      <c r="O847" t="s">
        <v>63</v>
      </c>
      <c r="P847" s="2">
        <v>0.50208333333333333</v>
      </c>
      <c r="Q847">
        <f>-0.0012502085*3600</f>
        <v>-4.5007505999999999</v>
      </c>
      <c r="R847">
        <f>0.0007326338*3600</f>
        <v>2.6374816799999996</v>
      </c>
    </row>
    <row r="848" spans="1:18" x14ac:dyDescent="0.3">
      <c r="A848" t="s">
        <v>340</v>
      </c>
      <c r="B848" s="12">
        <v>7524</v>
      </c>
      <c r="C848" s="12">
        <v>7.3744170000000002</v>
      </c>
      <c r="D848" s="12">
        <v>97.823424000000003</v>
      </c>
      <c r="E848">
        <v>1</v>
      </c>
      <c r="F848">
        <v>1</v>
      </c>
      <c r="G848">
        <v>0</v>
      </c>
      <c r="H848">
        <v>0</v>
      </c>
      <c r="J848" t="s">
        <v>0</v>
      </c>
      <c r="K848" t="s">
        <v>61</v>
      </c>
      <c r="L848">
        <v>0</v>
      </c>
      <c r="M848" t="s">
        <v>52</v>
      </c>
      <c r="N848">
        <v>1</v>
      </c>
      <c r="O848" t="s">
        <v>63</v>
      </c>
      <c r="P848" s="2">
        <v>0.50208333333333333</v>
      </c>
      <c r="Q848">
        <f>-0.0012329129*3600</f>
        <v>-4.4384864400000001</v>
      </c>
      <c r="R848">
        <f>0.0007640516*3600</f>
        <v>2.7505857599999999</v>
      </c>
    </row>
    <row r="849" spans="1:18" x14ac:dyDescent="0.3">
      <c r="A849" t="s">
        <v>340</v>
      </c>
      <c r="B849" s="12">
        <v>7525</v>
      </c>
      <c r="C849" s="12">
        <v>7.3753060000000001</v>
      </c>
      <c r="D849" s="12">
        <v>97.823437999999996</v>
      </c>
      <c r="E849">
        <v>1</v>
      </c>
      <c r="F849">
        <v>1</v>
      </c>
      <c r="G849">
        <v>0</v>
      </c>
      <c r="H849">
        <v>0</v>
      </c>
      <c r="J849" t="s">
        <v>0</v>
      </c>
      <c r="K849" t="s">
        <v>61</v>
      </c>
      <c r="L849">
        <v>0</v>
      </c>
      <c r="M849" t="s">
        <v>52</v>
      </c>
      <c r="N849">
        <v>1</v>
      </c>
      <c r="O849" t="s">
        <v>63</v>
      </c>
      <c r="P849" s="2">
        <v>0.50208333333333333</v>
      </c>
      <c r="Q849">
        <f>-0.0009458696*3600</f>
        <v>-3.4051305599999999</v>
      </c>
      <c r="R849">
        <f>0.0007613052*3600</f>
        <v>2.7406987199999997</v>
      </c>
    </row>
    <row r="850" spans="1:18" x14ac:dyDescent="0.3">
      <c r="A850" t="s">
        <v>340</v>
      </c>
      <c r="B850" s="12">
        <v>7526</v>
      </c>
      <c r="C850" s="12">
        <v>7.3756069999999996</v>
      </c>
      <c r="D850" s="12">
        <v>97.823338000000007</v>
      </c>
      <c r="E850">
        <v>1</v>
      </c>
      <c r="F850">
        <v>1</v>
      </c>
      <c r="G850">
        <v>0</v>
      </c>
      <c r="H850">
        <v>0</v>
      </c>
      <c r="J850" t="s">
        <v>0</v>
      </c>
      <c r="K850" t="s">
        <v>61</v>
      </c>
      <c r="L850">
        <v>0</v>
      </c>
      <c r="M850" t="s">
        <v>52</v>
      </c>
      <c r="N850">
        <v>1</v>
      </c>
      <c r="O850" t="s">
        <v>63</v>
      </c>
      <c r="P850" s="2">
        <v>0.50208333333333333</v>
      </c>
      <c r="Q850">
        <f>-0.0012764818*3600</f>
        <v>-4.59533448</v>
      </c>
      <c r="R850">
        <f>0.0006746658*3600</f>
        <v>2.4287968800000002</v>
      </c>
    </row>
    <row r="851" spans="1:18" x14ac:dyDescent="0.3">
      <c r="A851" t="s">
        <v>340</v>
      </c>
      <c r="B851" s="12">
        <v>7527</v>
      </c>
      <c r="C851" s="12">
        <v>7.3752139999999997</v>
      </c>
      <c r="D851" s="12">
        <v>97.823429000000004</v>
      </c>
      <c r="E851">
        <v>1</v>
      </c>
      <c r="F851">
        <v>1</v>
      </c>
      <c r="G851">
        <v>0</v>
      </c>
      <c r="H851">
        <v>0</v>
      </c>
      <c r="J851" t="s">
        <v>0</v>
      </c>
      <c r="K851" t="s">
        <v>61</v>
      </c>
      <c r="L851">
        <v>0</v>
      </c>
      <c r="M851" t="s">
        <v>52</v>
      </c>
      <c r="N851">
        <v>1</v>
      </c>
      <c r="O851" t="s">
        <v>63</v>
      </c>
      <c r="P851" s="2">
        <v>0.50208333333333333</v>
      </c>
      <c r="Q851">
        <f>-0.0009470741*3600</f>
        <v>-3.4094667599999999</v>
      </c>
      <c r="R851">
        <f>0.0007627295*3600</f>
        <v>2.7458262000000002</v>
      </c>
    </row>
    <row r="852" spans="1:18" x14ac:dyDescent="0.3">
      <c r="A852" t="s">
        <v>340</v>
      </c>
      <c r="B852" s="12">
        <v>7528</v>
      </c>
      <c r="C852" s="12">
        <v>7.3753039999999999</v>
      </c>
      <c r="D852" s="12">
        <v>97.823300000000003</v>
      </c>
      <c r="E852">
        <v>1</v>
      </c>
      <c r="F852">
        <v>1</v>
      </c>
      <c r="G852">
        <v>0</v>
      </c>
      <c r="H852">
        <v>0</v>
      </c>
      <c r="J852" t="s">
        <v>0</v>
      </c>
      <c r="K852" t="s">
        <v>61</v>
      </c>
      <c r="L852">
        <v>0</v>
      </c>
      <c r="M852" t="s">
        <v>52</v>
      </c>
      <c r="N852">
        <v>1</v>
      </c>
      <c r="O852" t="s">
        <v>63</v>
      </c>
      <c r="P852" s="2">
        <v>0.50208333333333333</v>
      </c>
      <c r="Q852">
        <f>-0.0011994588*3600</f>
        <v>-4.3180516799999999</v>
      </c>
      <c r="R852">
        <f>0.0006540533*3600</f>
        <v>2.3545918800000001</v>
      </c>
    </row>
    <row r="853" spans="1:18" x14ac:dyDescent="0.3">
      <c r="A853" t="s">
        <v>340</v>
      </c>
      <c r="B853" s="12">
        <v>7529</v>
      </c>
      <c r="C853" s="12">
        <v>7.3749450000000003</v>
      </c>
      <c r="D853" s="12">
        <v>97.823445000000007</v>
      </c>
      <c r="E853">
        <v>1</v>
      </c>
      <c r="F853">
        <v>1</v>
      </c>
      <c r="G853">
        <v>0</v>
      </c>
      <c r="H853">
        <v>0</v>
      </c>
      <c r="J853" t="s">
        <v>0</v>
      </c>
      <c r="K853" t="s">
        <v>61</v>
      </c>
      <c r="L853">
        <v>0</v>
      </c>
      <c r="M853" t="s">
        <v>52</v>
      </c>
      <c r="N853">
        <v>1</v>
      </c>
      <c r="O853" t="s">
        <v>63</v>
      </c>
      <c r="P853" s="2">
        <v>0.50208333333333333</v>
      </c>
      <c r="Q853">
        <f>-0.0012314858*3600</f>
        <v>-4.4333488800000005</v>
      </c>
      <c r="R853">
        <f>0.0007878881*3600</f>
        <v>2.8363971599999998</v>
      </c>
    </row>
    <row r="854" spans="1:18" x14ac:dyDescent="0.3">
      <c r="A854" t="s">
        <v>340</v>
      </c>
      <c r="B854" s="12">
        <v>7530</v>
      </c>
      <c r="C854" s="12">
        <v>7.3747470000000002</v>
      </c>
      <c r="D854" s="12">
        <v>97.823445000000007</v>
      </c>
      <c r="E854">
        <v>1</v>
      </c>
      <c r="F854">
        <v>1</v>
      </c>
      <c r="G854">
        <v>0</v>
      </c>
      <c r="H854">
        <v>0</v>
      </c>
      <c r="J854" t="s">
        <v>0</v>
      </c>
      <c r="K854" t="s">
        <v>61</v>
      </c>
      <c r="L854">
        <v>0</v>
      </c>
      <c r="M854" t="s">
        <v>52</v>
      </c>
      <c r="N854">
        <v>1</v>
      </c>
      <c r="O854" t="s">
        <v>63</v>
      </c>
      <c r="P854" s="2">
        <v>0.50208333333333333</v>
      </c>
      <c r="Q854">
        <f>-0.0012809747*3600</f>
        <v>-4.6115089200000003</v>
      </c>
      <c r="R854">
        <f>0.0007825227*3600</f>
        <v>2.81708172</v>
      </c>
    </row>
    <row r="855" spans="1:18" x14ac:dyDescent="0.3">
      <c r="A855" t="s">
        <v>340</v>
      </c>
      <c r="B855" s="12">
        <v>7531</v>
      </c>
      <c r="C855" s="12">
        <v>7.3741399999999997</v>
      </c>
      <c r="D855" s="12">
        <v>97.823385000000002</v>
      </c>
      <c r="E855">
        <v>1</v>
      </c>
      <c r="F855">
        <v>1</v>
      </c>
      <c r="G855">
        <v>0</v>
      </c>
      <c r="H855">
        <v>0</v>
      </c>
      <c r="J855" t="s">
        <v>0</v>
      </c>
      <c r="K855" t="s">
        <v>61</v>
      </c>
      <c r="L855">
        <v>0</v>
      </c>
      <c r="M855" t="s">
        <v>52</v>
      </c>
      <c r="N855">
        <v>1</v>
      </c>
      <c r="O855" t="s">
        <v>63</v>
      </c>
      <c r="P855" s="2">
        <v>0.50208333333333333</v>
      </c>
      <c r="Q855">
        <f>-0.0013682999*3600</f>
        <v>-4.9258796399999998</v>
      </c>
      <c r="R855">
        <f>0.000741097*3600</f>
        <v>2.6679492000000002</v>
      </c>
    </row>
    <row r="856" spans="1:18" x14ac:dyDescent="0.3">
      <c r="A856" t="s">
        <v>340</v>
      </c>
      <c r="B856" s="12">
        <v>7532</v>
      </c>
      <c r="C856" s="12">
        <v>7.3742830000000001</v>
      </c>
      <c r="D856" s="12">
        <v>97.823362000000003</v>
      </c>
      <c r="E856">
        <v>1</v>
      </c>
      <c r="F856">
        <v>1</v>
      </c>
      <c r="G856">
        <v>0</v>
      </c>
      <c r="H856">
        <v>0</v>
      </c>
      <c r="J856" t="s">
        <v>0</v>
      </c>
      <c r="K856" t="s">
        <v>61</v>
      </c>
      <c r="L856">
        <v>0</v>
      </c>
      <c r="M856" t="s">
        <v>52</v>
      </c>
      <c r="N856">
        <v>1</v>
      </c>
      <c r="O856" t="s">
        <v>63</v>
      </c>
      <c r="P856" s="2">
        <v>0.50208333333333333</v>
      </c>
      <c r="Q856">
        <f>-0.0012710835*3600</f>
        <v>-4.5759006000000007</v>
      </c>
      <c r="R856">
        <f>0.0007089882*3600</f>
        <v>2.5523575200000002</v>
      </c>
    </row>
    <row r="857" spans="1:18" x14ac:dyDescent="0.3">
      <c r="A857" t="s">
        <v>340</v>
      </c>
      <c r="B857" s="12">
        <v>7533</v>
      </c>
      <c r="C857" s="12">
        <v>7.3743230000000004</v>
      </c>
      <c r="D857" s="12">
        <v>97.823231000000007</v>
      </c>
      <c r="E857">
        <v>1</v>
      </c>
      <c r="F857">
        <v>1</v>
      </c>
      <c r="G857">
        <v>0</v>
      </c>
      <c r="H857">
        <v>0</v>
      </c>
      <c r="J857" t="s">
        <v>0</v>
      </c>
      <c r="K857" t="s">
        <v>61</v>
      </c>
      <c r="L857">
        <v>0</v>
      </c>
      <c r="M857" t="s">
        <v>52</v>
      </c>
      <c r="N857">
        <v>1</v>
      </c>
      <c r="O857" t="s">
        <v>63</v>
      </c>
      <c r="P857" s="2">
        <v>0.50208333333333333</v>
      </c>
      <c r="Q857">
        <f>-0.0014692012*3600</f>
        <v>-5.28912432</v>
      </c>
      <c r="R857">
        <f>0.0005711473*3600</f>
        <v>2.0561302800000001</v>
      </c>
    </row>
    <row r="858" spans="1:18" x14ac:dyDescent="0.3">
      <c r="A858" t="s">
        <v>340</v>
      </c>
      <c r="B858" s="12">
        <v>7534</v>
      </c>
      <c r="C858" s="12">
        <v>7.3740490000000003</v>
      </c>
      <c r="D858" s="12">
        <v>97.823414</v>
      </c>
      <c r="E858">
        <v>1</v>
      </c>
      <c r="F858">
        <v>1</v>
      </c>
      <c r="G858">
        <v>0</v>
      </c>
      <c r="H858">
        <v>0</v>
      </c>
      <c r="J858" t="s">
        <v>0</v>
      </c>
      <c r="K858" t="s">
        <v>61</v>
      </c>
      <c r="L858">
        <v>0</v>
      </c>
      <c r="M858" t="s">
        <v>52</v>
      </c>
      <c r="N858">
        <v>1</v>
      </c>
      <c r="O858" t="s">
        <v>63</v>
      </c>
      <c r="P858" s="2">
        <v>0.50208333333333333</v>
      </c>
      <c r="Q858">
        <f>-0.0013377897*3600</f>
        <v>-4.8160429200000001</v>
      </c>
      <c r="R858">
        <f>0.0007618878*3600</f>
        <v>2.7427960800000002</v>
      </c>
    </row>
    <row r="859" spans="1:18" x14ac:dyDescent="0.3">
      <c r="A859" t="s">
        <v>340</v>
      </c>
      <c r="B859" s="12">
        <v>7535</v>
      </c>
      <c r="C859" s="12">
        <v>7.3734979999999997</v>
      </c>
      <c r="D859" s="12">
        <v>97.823390000000003</v>
      </c>
      <c r="E859">
        <v>1</v>
      </c>
      <c r="F859">
        <v>1</v>
      </c>
      <c r="G859">
        <v>0</v>
      </c>
      <c r="H859">
        <v>0</v>
      </c>
      <c r="J859" t="s">
        <v>0</v>
      </c>
      <c r="K859" t="s">
        <v>61</v>
      </c>
      <c r="L859">
        <v>0</v>
      </c>
      <c r="M859" t="s">
        <v>52</v>
      </c>
      <c r="N859">
        <v>1</v>
      </c>
      <c r="O859" t="s">
        <v>63</v>
      </c>
      <c r="P859" s="2">
        <v>0.50208333333333333</v>
      </c>
      <c r="Q859">
        <f>-0.0014100292*3600</f>
        <v>-5.0761051200000002</v>
      </c>
      <c r="R859">
        <f>0.0007398449*3600</f>
        <v>2.6634416399999998</v>
      </c>
    </row>
    <row r="860" spans="1:18" x14ac:dyDescent="0.3">
      <c r="A860" t="s">
        <v>340</v>
      </c>
      <c r="B860" s="12">
        <v>7536</v>
      </c>
      <c r="C860" s="12">
        <v>7.3737399999999997</v>
      </c>
      <c r="D860" s="12">
        <v>97.823335</v>
      </c>
      <c r="E860">
        <v>1</v>
      </c>
      <c r="F860">
        <v>1</v>
      </c>
      <c r="G860">
        <v>0</v>
      </c>
      <c r="H860">
        <v>0</v>
      </c>
      <c r="J860" t="s">
        <v>0</v>
      </c>
      <c r="K860" t="s">
        <v>61</v>
      </c>
      <c r="L860">
        <v>0</v>
      </c>
      <c r="M860" t="s">
        <v>52</v>
      </c>
      <c r="N860">
        <v>1</v>
      </c>
      <c r="O860" t="s">
        <v>63</v>
      </c>
      <c r="P860" s="2">
        <v>0.50208333333333333</v>
      </c>
      <c r="Q860">
        <f>-0.001301603*3600</f>
        <v>-4.6857707999999993</v>
      </c>
      <c r="R860">
        <f>0.000711077*3600</f>
        <v>2.5598771999999999</v>
      </c>
    </row>
    <row r="861" spans="1:18" x14ac:dyDescent="0.3">
      <c r="A861" t="s">
        <v>340</v>
      </c>
      <c r="B861" s="12">
        <v>7537</v>
      </c>
      <c r="C861" s="12">
        <v>7.3738739999999998</v>
      </c>
      <c r="D861" s="12">
        <v>97.823504999999997</v>
      </c>
      <c r="E861">
        <v>1</v>
      </c>
      <c r="F861">
        <v>1</v>
      </c>
      <c r="G861">
        <v>0</v>
      </c>
      <c r="H861">
        <v>0</v>
      </c>
      <c r="J861" t="s">
        <v>0</v>
      </c>
      <c r="K861" t="s">
        <v>61</v>
      </c>
      <c r="L861">
        <v>0</v>
      </c>
      <c r="M861" t="s">
        <v>52</v>
      </c>
      <c r="N861">
        <v>1</v>
      </c>
      <c r="O861" t="s">
        <v>63</v>
      </c>
      <c r="P861" s="2">
        <v>0.50208333333333333</v>
      </c>
      <c r="Q861">
        <f>-0.0013265481*3600</f>
        <v>-4.7755731599999995</v>
      </c>
      <c r="R861">
        <f>0.0008704926*3600</f>
        <v>3.1337733600000002</v>
      </c>
    </row>
    <row r="862" spans="1:18" x14ac:dyDescent="0.3">
      <c r="A862" t="s">
        <v>340</v>
      </c>
      <c r="B862" s="12">
        <v>7538</v>
      </c>
      <c r="C862" s="12">
        <v>7.3749570000000002</v>
      </c>
      <c r="D862" s="12">
        <v>97.823395000000005</v>
      </c>
      <c r="E862">
        <v>1</v>
      </c>
      <c r="F862">
        <v>1</v>
      </c>
      <c r="G862">
        <v>0</v>
      </c>
      <c r="H862">
        <v>0</v>
      </c>
      <c r="J862" t="s">
        <v>0</v>
      </c>
      <c r="K862" t="s">
        <v>61</v>
      </c>
      <c r="L862">
        <v>0</v>
      </c>
      <c r="M862" t="s">
        <v>52</v>
      </c>
      <c r="N862">
        <v>1</v>
      </c>
      <c r="O862" t="s">
        <v>63</v>
      </c>
      <c r="P862" s="2">
        <v>0.50208333333333333</v>
      </c>
      <c r="Q862">
        <f>-0.001293398*3600</f>
        <v>-4.6562328000000006</v>
      </c>
      <c r="R862">
        <f>0.0007514821*3600</f>
        <v>2.70533556</v>
      </c>
    </row>
    <row r="863" spans="1:18" x14ac:dyDescent="0.3">
      <c r="A863" t="s">
        <v>340</v>
      </c>
      <c r="B863" s="12">
        <v>7539</v>
      </c>
      <c r="C863" s="12">
        <v>7.3759439999999996</v>
      </c>
      <c r="D863" s="12">
        <v>97.823419999999999</v>
      </c>
      <c r="E863">
        <v>1</v>
      </c>
      <c r="F863">
        <v>1</v>
      </c>
      <c r="G863">
        <v>0</v>
      </c>
      <c r="H863">
        <v>0</v>
      </c>
      <c r="J863" t="s">
        <v>0</v>
      </c>
      <c r="K863" t="s">
        <v>61</v>
      </c>
      <c r="L863">
        <v>0</v>
      </c>
      <c r="M863" t="s">
        <v>52</v>
      </c>
      <c r="N863">
        <v>1</v>
      </c>
      <c r="O863" t="s">
        <v>63</v>
      </c>
      <c r="P863" s="2">
        <v>0.50208333333333333</v>
      </c>
      <c r="Q863">
        <f>-0.0011897328*3600</f>
        <v>-4.2830380799999999</v>
      </c>
      <c r="R863">
        <f>0.0007764506*3600</f>
        <v>2.7952221600000002</v>
      </c>
    </row>
    <row r="864" spans="1:18" x14ac:dyDescent="0.3">
      <c r="A864" t="s">
        <v>340</v>
      </c>
      <c r="B864" s="12">
        <v>7540</v>
      </c>
      <c r="C864" s="12">
        <v>7.3762869999999996</v>
      </c>
      <c r="D864" s="12">
        <v>97.823359999999994</v>
      </c>
      <c r="E864">
        <v>1</v>
      </c>
      <c r="F864">
        <v>1</v>
      </c>
      <c r="G864">
        <v>0</v>
      </c>
      <c r="H864">
        <v>0</v>
      </c>
      <c r="J864" t="s">
        <v>0</v>
      </c>
      <c r="K864" t="s">
        <v>61</v>
      </c>
      <c r="L864">
        <v>0</v>
      </c>
      <c r="M864" t="s">
        <v>52</v>
      </c>
      <c r="N864">
        <v>1</v>
      </c>
      <c r="O864" t="s">
        <v>63</v>
      </c>
      <c r="P864" s="2">
        <v>0.50208333333333333</v>
      </c>
      <c r="Q864">
        <f>-0.0012711279*3600</f>
        <v>-4.57606044</v>
      </c>
      <c r="R864">
        <f>0.0007190789*3600</f>
        <v>2.58868404</v>
      </c>
    </row>
    <row r="865" spans="1:18" x14ac:dyDescent="0.3">
      <c r="A865" t="s">
        <v>340</v>
      </c>
      <c r="B865" s="12">
        <v>7541</v>
      </c>
      <c r="C865" s="12">
        <v>7.3769999999999998</v>
      </c>
      <c r="D865" s="12">
        <v>97.823453000000001</v>
      </c>
      <c r="E865">
        <v>1</v>
      </c>
      <c r="F865">
        <v>1</v>
      </c>
      <c r="G865">
        <v>0</v>
      </c>
      <c r="H865">
        <v>0</v>
      </c>
      <c r="J865" t="s">
        <v>0</v>
      </c>
      <c r="K865" t="s">
        <v>61</v>
      </c>
      <c r="L865">
        <v>0</v>
      </c>
      <c r="M865" t="s">
        <v>52</v>
      </c>
      <c r="N865">
        <v>1</v>
      </c>
      <c r="O865" t="s">
        <v>63</v>
      </c>
      <c r="P865" s="2">
        <v>0.50208333333333333</v>
      </c>
      <c r="Q865">
        <f>-0.0010828201*3600</f>
        <v>-3.8981523600000001</v>
      </c>
      <c r="R865">
        <f>0.0008008166*3600</f>
        <v>2.8829397599999997</v>
      </c>
    </row>
    <row r="866" spans="1:18" x14ac:dyDescent="0.3">
      <c r="A866" t="s">
        <v>340</v>
      </c>
      <c r="B866" s="12">
        <v>7542</v>
      </c>
      <c r="C866" s="12">
        <v>7.3791380000000002</v>
      </c>
      <c r="D866" s="12">
        <v>97.823353999999995</v>
      </c>
      <c r="E866">
        <v>1</v>
      </c>
      <c r="F866">
        <v>1</v>
      </c>
      <c r="G866">
        <v>0</v>
      </c>
      <c r="H866">
        <v>0</v>
      </c>
      <c r="J866" t="s">
        <v>0</v>
      </c>
      <c r="K866" t="s">
        <v>61</v>
      </c>
      <c r="L866">
        <v>0</v>
      </c>
      <c r="M866" t="s">
        <v>52</v>
      </c>
      <c r="N866">
        <v>1</v>
      </c>
      <c r="O866" t="s">
        <v>63</v>
      </c>
      <c r="P866" s="2">
        <v>0.50208333333333333</v>
      </c>
      <c r="Q866">
        <f>-0.0012134137*3600</f>
        <v>-4.3682893199999997</v>
      </c>
      <c r="R866">
        <f>0.0007183864*3600</f>
        <v>2.5861910400000001</v>
      </c>
    </row>
    <row r="867" spans="1:18" x14ac:dyDescent="0.3">
      <c r="A867" t="s">
        <v>340</v>
      </c>
      <c r="B867" s="12">
        <v>7543</v>
      </c>
      <c r="C867" s="12">
        <v>7.3765780000000003</v>
      </c>
      <c r="D867" s="12">
        <v>97.823183999999998</v>
      </c>
      <c r="E867">
        <v>1</v>
      </c>
      <c r="F867">
        <v>1</v>
      </c>
      <c r="G867">
        <v>0</v>
      </c>
      <c r="H867">
        <v>0</v>
      </c>
      <c r="J867" t="s">
        <v>0</v>
      </c>
      <c r="K867" t="s">
        <v>61</v>
      </c>
      <c r="L867">
        <v>0</v>
      </c>
      <c r="M867" t="s">
        <v>52</v>
      </c>
      <c r="N867">
        <v>1</v>
      </c>
      <c r="O867" t="s">
        <v>63</v>
      </c>
      <c r="P867" s="2">
        <v>0.50208333333333333</v>
      </c>
      <c r="Q867">
        <f>-0.001354617*3600</f>
        <v>-4.8766211999999998</v>
      </c>
      <c r="R867">
        <f>0.0005496315*3600</f>
        <v>1.9786734000000001</v>
      </c>
    </row>
    <row r="868" spans="1:18" x14ac:dyDescent="0.3">
      <c r="A868" t="s">
        <v>340</v>
      </c>
      <c r="B868" s="12">
        <v>7544</v>
      </c>
      <c r="C868" s="12">
        <v>7.3757539999999997</v>
      </c>
      <c r="D868" s="12">
        <v>97.823324</v>
      </c>
      <c r="E868">
        <v>1</v>
      </c>
      <c r="F868">
        <v>1</v>
      </c>
      <c r="G868">
        <v>0</v>
      </c>
      <c r="H868">
        <v>0</v>
      </c>
      <c r="J868" t="s">
        <v>0</v>
      </c>
      <c r="K868" t="s">
        <v>61</v>
      </c>
      <c r="L868">
        <v>0</v>
      </c>
      <c r="M868" t="s">
        <v>52</v>
      </c>
      <c r="N868">
        <v>1</v>
      </c>
      <c r="O868" t="s">
        <v>63</v>
      </c>
      <c r="P868" s="2">
        <v>0.50208333333333333</v>
      </c>
      <c r="Q868">
        <f>-0.0013727665*3600</f>
        <v>-4.9419594</v>
      </c>
      <c r="R868">
        <f>0.0006794823*3600</f>
        <v>2.4461362800000002</v>
      </c>
    </row>
    <row r="869" spans="1:18" x14ac:dyDescent="0.3">
      <c r="A869" t="s">
        <v>340</v>
      </c>
      <c r="B869" s="12">
        <v>7545</v>
      </c>
      <c r="C869" s="12">
        <v>7.3747429999999996</v>
      </c>
      <c r="D869" s="12">
        <v>97.823318999999998</v>
      </c>
      <c r="E869">
        <v>1</v>
      </c>
      <c r="F869">
        <v>1</v>
      </c>
      <c r="G869">
        <v>0</v>
      </c>
      <c r="H869">
        <v>0</v>
      </c>
      <c r="J869" t="s">
        <v>0</v>
      </c>
      <c r="K869" t="s">
        <v>61</v>
      </c>
      <c r="L869">
        <v>0</v>
      </c>
      <c r="M869" t="s">
        <v>52</v>
      </c>
      <c r="N869">
        <v>1</v>
      </c>
      <c r="O869" t="s">
        <v>63</v>
      </c>
      <c r="P869" s="2">
        <v>0.50208333333333333</v>
      </c>
      <c r="Q869">
        <f>-0.0013890065*3600</f>
        <v>-5.0004234000000007</v>
      </c>
      <c r="R869">
        <f>0.0006675692*3600</f>
        <v>2.4032491199999999</v>
      </c>
    </row>
    <row r="870" spans="1:18" x14ac:dyDescent="0.3">
      <c r="A870" t="s">
        <v>340</v>
      </c>
      <c r="B870" s="12">
        <v>7546</v>
      </c>
      <c r="C870" s="12">
        <v>7.3750289999999996</v>
      </c>
      <c r="D870" s="12">
        <v>97.823207999999994</v>
      </c>
      <c r="E870">
        <v>1</v>
      </c>
      <c r="F870">
        <v>1</v>
      </c>
      <c r="G870">
        <v>0</v>
      </c>
      <c r="H870">
        <v>0</v>
      </c>
      <c r="J870" t="s">
        <v>0</v>
      </c>
      <c r="K870" t="s">
        <v>61</v>
      </c>
      <c r="L870">
        <v>0</v>
      </c>
      <c r="M870" t="s">
        <v>52</v>
      </c>
      <c r="N870">
        <v>1</v>
      </c>
      <c r="O870" t="s">
        <v>63</v>
      </c>
      <c r="P870" s="2">
        <v>0.50208333333333333</v>
      </c>
      <c r="Q870">
        <f>-0.0014094816*3600</f>
        <v>-5.0741337599999996</v>
      </c>
      <c r="R870">
        <f>0.0005809817*3600</f>
        <v>2.0915341199999999</v>
      </c>
    </row>
    <row r="871" spans="1:18" x14ac:dyDescent="0.3">
      <c r="A871" t="s">
        <v>340</v>
      </c>
      <c r="B871" s="12">
        <v>7547</v>
      </c>
      <c r="C871" s="12">
        <v>7.3747340000000001</v>
      </c>
      <c r="D871" s="12">
        <v>97.823363999999998</v>
      </c>
      <c r="E871">
        <v>1</v>
      </c>
      <c r="F871">
        <v>1</v>
      </c>
      <c r="G871">
        <v>0</v>
      </c>
      <c r="H871">
        <v>0</v>
      </c>
      <c r="J871" t="s">
        <v>0</v>
      </c>
      <c r="K871" t="s">
        <v>61</v>
      </c>
      <c r="L871">
        <v>0</v>
      </c>
      <c r="M871" t="s">
        <v>52</v>
      </c>
      <c r="N871">
        <v>1</v>
      </c>
      <c r="O871" t="s">
        <v>63</v>
      </c>
      <c r="P871" s="2">
        <v>0.50208333333333333</v>
      </c>
      <c r="Q871">
        <f>-0.0013721281*3600</f>
        <v>-4.93966116</v>
      </c>
      <c r="R871">
        <f>0.0007164383*3600</f>
        <v>2.57917788</v>
      </c>
    </row>
    <row r="872" spans="1:18" x14ac:dyDescent="0.3">
      <c r="A872" t="s">
        <v>340</v>
      </c>
      <c r="B872" s="12">
        <v>7548</v>
      </c>
      <c r="C872" s="12">
        <v>7.3749399999999996</v>
      </c>
      <c r="D872" s="12">
        <v>97.823269999999994</v>
      </c>
      <c r="E872">
        <v>1</v>
      </c>
      <c r="F872">
        <v>1</v>
      </c>
      <c r="G872">
        <v>0</v>
      </c>
      <c r="H872">
        <v>0</v>
      </c>
      <c r="J872" t="s">
        <v>0</v>
      </c>
      <c r="K872" t="s">
        <v>61</v>
      </c>
      <c r="L872">
        <v>0</v>
      </c>
      <c r="M872" t="s">
        <v>52</v>
      </c>
      <c r="N872">
        <v>1</v>
      </c>
      <c r="O872" t="s">
        <v>63</v>
      </c>
      <c r="P872" s="2">
        <v>0.50208333333333333</v>
      </c>
      <c r="Q872">
        <f>-0.0014905762*3600</f>
        <v>-5.3660743200000001</v>
      </c>
      <c r="R872">
        <f>0.0006223449*3600</f>
        <v>2.2404416400000002</v>
      </c>
    </row>
    <row r="873" spans="1:18" x14ac:dyDescent="0.3">
      <c r="A873" t="s">
        <v>340</v>
      </c>
      <c r="B873" s="12">
        <v>7549</v>
      </c>
      <c r="C873" s="12">
        <v>7.3739330000000001</v>
      </c>
      <c r="D873" s="12">
        <v>97.823291999999995</v>
      </c>
      <c r="E873">
        <v>1</v>
      </c>
      <c r="F873">
        <v>1</v>
      </c>
      <c r="G873">
        <v>0</v>
      </c>
      <c r="H873">
        <v>0</v>
      </c>
      <c r="J873" t="s">
        <v>0</v>
      </c>
      <c r="K873" t="s">
        <v>61</v>
      </c>
      <c r="L873">
        <v>0</v>
      </c>
      <c r="M873" t="s">
        <v>52</v>
      </c>
      <c r="N873">
        <v>1</v>
      </c>
      <c r="O873" t="s">
        <v>63</v>
      </c>
      <c r="P873" s="2">
        <v>0.50208333333333333</v>
      </c>
      <c r="Q873">
        <f>-0.0014199317*3600</f>
        <v>-5.1117541199999996</v>
      </c>
      <c r="R873">
        <f>0.000633595*3600</f>
        <v>2.280942</v>
      </c>
    </row>
    <row r="874" spans="1:18" x14ac:dyDescent="0.3">
      <c r="A874" t="s">
        <v>340</v>
      </c>
      <c r="B874" s="12">
        <v>7550</v>
      </c>
      <c r="C874" s="12">
        <v>7.3729810000000002</v>
      </c>
      <c r="D874" s="12">
        <v>97.823239000000001</v>
      </c>
      <c r="E874">
        <v>1</v>
      </c>
      <c r="F874">
        <v>1</v>
      </c>
      <c r="G874">
        <v>0</v>
      </c>
      <c r="H874">
        <v>0</v>
      </c>
      <c r="J874" t="s">
        <v>0</v>
      </c>
      <c r="K874" t="s">
        <v>61</v>
      </c>
      <c r="L874">
        <v>0</v>
      </c>
      <c r="M874" t="s">
        <v>52</v>
      </c>
      <c r="N874">
        <v>1</v>
      </c>
      <c r="O874" t="s">
        <v>63</v>
      </c>
      <c r="P874" s="2">
        <v>0.50277777777777777</v>
      </c>
      <c r="Q874">
        <f>-0.0012490869*3600</f>
        <v>-4.4967128399999998</v>
      </c>
      <c r="R874">
        <f>0.0006314263*3600</f>
        <v>2.2731346800000001</v>
      </c>
    </row>
    <row r="875" spans="1:18" x14ac:dyDescent="0.3">
      <c r="A875" t="s">
        <v>340</v>
      </c>
      <c r="B875" s="12">
        <v>7551</v>
      </c>
      <c r="C875" s="12">
        <v>7.3731359999999997</v>
      </c>
      <c r="D875" s="12">
        <v>97.823310000000006</v>
      </c>
      <c r="E875">
        <v>1</v>
      </c>
      <c r="F875">
        <v>1</v>
      </c>
      <c r="G875">
        <v>0</v>
      </c>
      <c r="H875">
        <v>0</v>
      </c>
      <c r="J875" t="s">
        <v>0</v>
      </c>
      <c r="K875" t="s">
        <v>61</v>
      </c>
      <c r="L875">
        <v>0</v>
      </c>
      <c r="M875" t="s">
        <v>52</v>
      </c>
      <c r="N875">
        <v>1</v>
      </c>
      <c r="O875" t="s">
        <v>63</v>
      </c>
      <c r="P875" s="2">
        <v>0.50277777777777777</v>
      </c>
      <c r="Q875">
        <f>-0.0012374682*3600</f>
        <v>-4.4548855200000004</v>
      </c>
      <c r="R875">
        <f>0.0006711717*3600</f>
        <v>2.4162181200000004</v>
      </c>
    </row>
    <row r="876" spans="1:18" x14ac:dyDescent="0.3">
      <c r="A876" t="s">
        <v>340</v>
      </c>
      <c r="B876" s="12">
        <v>7552</v>
      </c>
      <c r="C876" s="12">
        <v>7.3731340000000003</v>
      </c>
      <c r="D876" s="12">
        <v>97.823239000000001</v>
      </c>
      <c r="E876">
        <v>1</v>
      </c>
      <c r="F876">
        <v>1</v>
      </c>
      <c r="G876">
        <v>0</v>
      </c>
      <c r="H876">
        <v>0</v>
      </c>
      <c r="J876" t="s">
        <v>0</v>
      </c>
      <c r="K876" t="s">
        <v>61</v>
      </c>
      <c r="L876">
        <v>0</v>
      </c>
      <c r="M876" t="s">
        <v>52</v>
      </c>
      <c r="N876">
        <v>1</v>
      </c>
      <c r="O876" t="s">
        <v>63</v>
      </c>
      <c r="P876" s="2">
        <v>0.50277777777777777</v>
      </c>
      <c r="Q876">
        <f>-0.0010923205*3600</f>
        <v>-3.9323538000000005</v>
      </c>
      <c r="R876">
        <f>0.0006053023*3600</f>
        <v>2.1790882800000002</v>
      </c>
    </row>
    <row r="877" spans="1:18" x14ac:dyDescent="0.3">
      <c r="A877" t="s">
        <v>340</v>
      </c>
      <c r="B877" s="12">
        <v>7553</v>
      </c>
      <c r="C877" s="12">
        <v>7.3735989999999996</v>
      </c>
      <c r="D877" s="12">
        <v>97.823348999999993</v>
      </c>
      <c r="E877">
        <v>1</v>
      </c>
      <c r="F877">
        <v>1</v>
      </c>
      <c r="G877">
        <v>0</v>
      </c>
      <c r="H877">
        <v>0</v>
      </c>
      <c r="J877" t="s">
        <v>0</v>
      </c>
      <c r="K877" t="s">
        <v>61</v>
      </c>
      <c r="L877">
        <v>0</v>
      </c>
      <c r="M877" t="s">
        <v>52</v>
      </c>
      <c r="N877">
        <v>1</v>
      </c>
      <c r="O877" t="s">
        <v>63</v>
      </c>
      <c r="P877" s="2">
        <v>0.50277777777777777</v>
      </c>
      <c r="Q877">
        <f>-0.0012399019*3600</f>
        <v>-4.46364684</v>
      </c>
      <c r="R877">
        <f>0.0007041632*3600</f>
        <v>2.53498752</v>
      </c>
    </row>
    <row r="878" spans="1:18" x14ac:dyDescent="0.3">
      <c r="A878" t="s">
        <v>340</v>
      </c>
      <c r="B878" s="12">
        <v>7554</v>
      </c>
      <c r="C878" s="12">
        <v>7.3736649999999999</v>
      </c>
      <c r="D878" s="12">
        <v>97.823412000000005</v>
      </c>
      <c r="E878">
        <v>1</v>
      </c>
      <c r="F878">
        <v>1</v>
      </c>
      <c r="G878">
        <v>0</v>
      </c>
      <c r="H878">
        <v>0</v>
      </c>
      <c r="J878" t="s">
        <v>0</v>
      </c>
      <c r="K878" t="s">
        <v>61</v>
      </c>
      <c r="L878">
        <v>0</v>
      </c>
      <c r="M878" t="s">
        <v>52</v>
      </c>
      <c r="N878">
        <v>1</v>
      </c>
      <c r="O878" t="s">
        <v>63</v>
      </c>
      <c r="P878" s="2">
        <v>0.50277777777777777</v>
      </c>
      <c r="Q878">
        <f>-0.0013398282*3600</f>
        <v>-4.8233815199999999</v>
      </c>
      <c r="R878">
        <f>0.0007705977*3600</f>
        <v>2.7741517199999999</v>
      </c>
    </row>
    <row r="879" spans="1:18" x14ac:dyDescent="0.3">
      <c r="A879" t="s">
        <v>340</v>
      </c>
      <c r="B879" s="12">
        <v>7555</v>
      </c>
      <c r="C879" s="12">
        <v>7.3744579999999997</v>
      </c>
      <c r="D879" s="12">
        <v>97.823402999999999</v>
      </c>
      <c r="E879">
        <v>1</v>
      </c>
      <c r="F879">
        <v>1</v>
      </c>
      <c r="G879">
        <v>0</v>
      </c>
      <c r="H879">
        <v>0</v>
      </c>
      <c r="J879" t="s">
        <v>0</v>
      </c>
      <c r="K879" t="s">
        <v>61</v>
      </c>
      <c r="L879">
        <v>0</v>
      </c>
      <c r="M879" t="s">
        <v>52</v>
      </c>
      <c r="N879">
        <v>1</v>
      </c>
      <c r="O879" t="s">
        <v>63</v>
      </c>
      <c r="P879" s="2">
        <v>0.50277777777777777</v>
      </c>
      <c r="Q879">
        <f>-0.001232555*3600</f>
        <v>-4.4371979999999995</v>
      </c>
      <c r="R879">
        <f>0.0007593015*3600</f>
        <v>2.7334854000000002</v>
      </c>
    </row>
    <row r="880" spans="1:18" x14ac:dyDescent="0.3">
      <c r="A880" t="s">
        <v>340</v>
      </c>
      <c r="B880" s="12">
        <v>7556</v>
      </c>
      <c r="C880" s="12">
        <v>7.3741190000000003</v>
      </c>
      <c r="D880" s="12">
        <v>97.823380999999998</v>
      </c>
      <c r="E880">
        <v>1</v>
      </c>
      <c r="F880">
        <v>1</v>
      </c>
      <c r="G880">
        <v>0</v>
      </c>
      <c r="H880">
        <v>0</v>
      </c>
      <c r="J880" t="s">
        <v>0</v>
      </c>
      <c r="K880" t="s">
        <v>61</v>
      </c>
      <c r="L880">
        <v>0</v>
      </c>
      <c r="M880" t="s">
        <v>52</v>
      </c>
      <c r="N880">
        <v>1</v>
      </c>
      <c r="O880" t="s">
        <v>63</v>
      </c>
      <c r="P880" s="2">
        <v>0.50277777777777777</v>
      </c>
      <c r="Q880">
        <f>-0.0012855104*3600</f>
        <v>-4.6278374400000004</v>
      </c>
      <c r="R880">
        <f>0.0007539504*3600</f>
        <v>2.7142214400000002</v>
      </c>
    </row>
    <row r="881" spans="1:18" x14ac:dyDescent="0.3">
      <c r="A881" t="s">
        <v>340</v>
      </c>
      <c r="B881" s="12">
        <v>7557</v>
      </c>
      <c r="C881" s="12">
        <v>7.3746539999999996</v>
      </c>
      <c r="D881" s="12">
        <v>97.823336999999995</v>
      </c>
      <c r="E881">
        <v>1</v>
      </c>
      <c r="F881">
        <v>1</v>
      </c>
      <c r="G881">
        <v>0</v>
      </c>
      <c r="H881">
        <v>0</v>
      </c>
      <c r="J881" t="s">
        <v>0</v>
      </c>
      <c r="K881" t="s">
        <v>61</v>
      </c>
      <c r="L881">
        <v>0</v>
      </c>
      <c r="M881" t="s">
        <v>52</v>
      </c>
      <c r="N881">
        <v>1</v>
      </c>
      <c r="O881" t="s">
        <v>63</v>
      </c>
      <c r="P881" s="2">
        <v>0.50277777777777777</v>
      </c>
      <c r="Q881">
        <f>-0.0013697206*3600</f>
        <v>-4.93099416</v>
      </c>
      <c r="R881">
        <f>0.0007006517*3600</f>
        <v>2.5223461199999999</v>
      </c>
    </row>
    <row r="882" spans="1:18" x14ac:dyDescent="0.3">
      <c r="A882" t="s">
        <v>340</v>
      </c>
      <c r="B882" s="12">
        <v>7558</v>
      </c>
      <c r="C882" s="12">
        <v>7.3755569999999997</v>
      </c>
      <c r="D882" s="12">
        <v>97.823265000000006</v>
      </c>
      <c r="E882">
        <v>1</v>
      </c>
      <c r="F882">
        <v>1</v>
      </c>
      <c r="G882">
        <v>0</v>
      </c>
      <c r="H882">
        <v>0</v>
      </c>
      <c r="J882" t="s">
        <v>0</v>
      </c>
      <c r="K882" t="s">
        <v>61</v>
      </c>
      <c r="L882">
        <v>0</v>
      </c>
      <c r="M882" t="s">
        <v>52</v>
      </c>
      <c r="N882">
        <v>1</v>
      </c>
      <c r="O882" t="s">
        <v>63</v>
      </c>
      <c r="P882" s="2">
        <v>0.50277777777777777</v>
      </c>
      <c r="Q882">
        <f>-0.0014554181*3600</f>
        <v>-5.2395051600000002</v>
      </c>
      <c r="R882">
        <f>0.000619502*3600</f>
        <v>2.2302071999999997</v>
      </c>
    </row>
    <row r="883" spans="1:18" x14ac:dyDescent="0.3">
      <c r="A883" t="s">
        <v>340</v>
      </c>
      <c r="B883" s="12">
        <v>7559</v>
      </c>
      <c r="C883" s="12">
        <v>7.3763259999999997</v>
      </c>
      <c r="D883" s="12">
        <v>97.823423000000005</v>
      </c>
      <c r="E883">
        <v>1</v>
      </c>
      <c r="F883">
        <v>1</v>
      </c>
      <c r="G883">
        <v>0</v>
      </c>
      <c r="H883">
        <v>0</v>
      </c>
      <c r="J883" t="s">
        <v>0</v>
      </c>
      <c r="K883" t="s">
        <v>61</v>
      </c>
      <c r="L883">
        <v>0</v>
      </c>
      <c r="M883" t="s">
        <v>52</v>
      </c>
      <c r="N883">
        <v>1</v>
      </c>
      <c r="O883" t="s">
        <v>63</v>
      </c>
      <c r="P883" s="2">
        <v>0.50277777777777777</v>
      </c>
      <c r="Q883">
        <f>-0.0012783623*3600</f>
        <v>-4.6021042799999998</v>
      </c>
      <c r="R883">
        <f>0.0007906852*3600</f>
        <v>2.84646672</v>
      </c>
    </row>
    <row r="884" spans="1:18" x14ac:dyDescent="0.3">
      <c r="A884" t="s">
        <v>340</v>
      </c>
      <c r="B884" s="12">
        <v>7560</v>
      </c>
      <c r="C884" s="12">
        <v>7.3761130000000001</v>
      </c>
      <c r="D884" s="12">
        <v>97.823295999999999</v>
      </c>
      <c r="E884">
        <v>1</v>
      </c>
      <c r="F884">
        <v>1</v>
      </c>
      <c r="G884">
        <v>0</v>
      </c>
      <c r="H884">
        <v>0</v>
      </c>
      <c r="J884" t="s">
        <v>0</v>
      </c>
      <c r="K884" t="s">
        <v>61</v>
      </c>
      <c r="L884">
        <v>0</v>
      </c>
      <c r="M884" t="s">
        <v>52</v>
      </c>
      <c r="N884">
        <v>1</v>
      </c>
      <c r="O884" t="s">
        <v>63</v>
      </c>
      <c r="P884" s="2">
        <v>0.50277777777777777</v>
      </c>
      <c r="Q884">
        <f>-0.001258335*3600</f>
        <v>-4.5300060000000002</v>
      </c>
      <c r="R884">
        <f>0.0006595802*3600</f>
        <v>2.37448872</v>
      </c>
    </row>
    <row r="885" spans="1:18" x14ac:dyDescent="0.3">
      <c r="A885" t="s">
        <v>340</v>
      </c>
      <c r="B885" s="12">
        <v>7561</v>
      </c>
      <c r="C885" s="12">
        <v>7.3759980000000001</v>
      </c>
      <c r="D885" s="12">
        <v>97.823239999999998</v>
      </c>
      <c r="E885">
        <v>1</v>
      </c>
      <c r="F885">
        <v>1</v>
      </c>
      <c r="G885">
        <v>0</v>
      </c>
      <c r="H885">
        <v>0</v>
      </c>
      <c r="J885" t="s">
        <v>0</v>
      </c>
      <c r="K885" t="s">
        <v>61</v>
      </c>
      <c r="L885">
        <v>0</v>
      </c>
      <c r="M885" t="s">
        <v>52</v>
      </c>
      <c r="N885">
        <v>1</v>
      </c>
      <c r="O885" t="s">
        <v>63</v>
      </c>
      <c r="P885" s="2">
        <v>0.50277777777777777</v>
      </c>
      <c r="Q885">
        <f>-0.0012618805*3600</f>
        <v>-4.5427697999999994</v>
      </c>
      <c r="R885">
        <f>0.0006376513*3600</f>
        <v>2.2955446799999999</v>
      </c>
    </row>
    <row r="886" spans="1:18" x14ac:dyDescent="0.3">
      <c r="A886" t="s">
        <v>340</v>
      </c>
      <c r="B886" s="12">
        <v>7562</v>
      </c>
      <c r="C886" s="12">
        <v>7.3751990000000003</v>
      </c>
      <c r="D886" s="12">
        <v>97.823277000000004</v>
      </c>
      <c r="E886">
        <v>1</v>
      </c>
      <c r="F886">
        <v>1</v>
      </c>
      <c r="G886">
        <v>0</v>
      </c>
      <c r="H886">
        <v>0</v>
      </c>
      <c r="J886" t="s">
        <v>0</v>
      </c>
      <c r="K886" t="s">
        <v>61</v>
      </c>
      <c r="L886">
        <v>0</v>
      </c>
      <c r="M886" t="s">
        <v>52</v>
      </c>
      <c r="N886">
        <v>1</v>
      </c>
      <c r="O886" t="s">
        <v>63</v>
      </c>
      <c r="P886" s="2">
        <v>0.50277777777777777</v>
      </c>
      <c r="Q886">
        <f>-0.0014686815*3600</f>
        <v>-5.2872534</v>
      </c>
      <c r="R886">
        <f>0.0006531733*3600</f>
        <v>2.35142388</v>
      </c>
    </row>
    <row r="887" spans="1:18" x14ac:dyDescent="0.3">
      <c r="A887" t="s">
        <v>340</v>
      </c>
      <c r="B887" s="12">
        <v>7563</v>
      </c>
      <c r="C887" s="12">
        <v>7.3745940000000001</v>
      </c>
      <c r="D887" s="12">
        <v>97.823256000000001</v>
      </c>
      <c r="E887">
        <v>1</v>
      </c>
      <c r="F887">
        <v>1</v>
      </c>
      <c r="G887">
        <v>0</v>
      </c>
      <c r="H887">
        <v>0</v>
      </c>
      <c r="J887" t="s">
        <v>0</v>
      </c>
      <c r="K887" t="s">
        <v>61</v>
      </c>
      <c r="L887">
        <v>0</v>
      </c>
      <c r="M887" t="s">
        <v>52</v>
      </c>
      <c r="N887">
        <v>1</v>
      </c>
      <c r="O887" t="s">
        <v>63</v>
      </c>
      <c r="P887" s="2">
        <v>0.50277777777777777</v>
      </c>
      <c r="Q887">
        <f>-0.001582721*3600</f>
        <v>-5.6977956000000001</v>
      </c>
      <c r="R887">
        <f>0.0006121087*3600</f>
        <v>2.2035913200000001</v>
      </c>
    </row>
    <row r="888" spans="1:18" x14ac:dyDescent="0.3">
      <c r="A888" t="s">
        <v>340</v>
      </c>
      <c r="B888" s="12">
        <v>7564</v>
      </c>
      <c r="C888" s="12">
        <v>7.3734999999999999</v>
      </c>
      <c r="D888" s="12">
        <v>97.823244000000003</v>
      </c>
      <c r="E888">
        <v>1</v>
      </c>
      <c r="F888">
        <v>1</v>
      </c>
      <c r="G888">
        <v>0</v>
      </c>
      <c r="H888">
        <v>0</v>
      </c>
      <c r="J888" t="s">
        <v>0</v>
      </c>
      <c r="K888" t="s">
        <v>61</v>
      </c>
      <c r="L888">
        <v>0</v>
      </c>
      <c r="M888" t="s">
        <v>52</v>
      </c>
      <c r="N888">
        <v>1</v>
      </c>
      <c r="O888" t="s">
        <v>63</v>
      </c>
      <c r="P888" s="2">
        <v>0.50277777777777777</v>
      </c>
      <c r="Q888">
        <f>-0.0013444226*3600</f>
        <v>-4.83992136</v>
      </c>
      <c r="R888">
        <f>0.0006148196*3600</f>
        <v>2.2133505600000003</v>
      </c>
    </row>
    <row r="889" spans="1:18" x14ac:dyDescent="0.3">
      <c r="A889" t="s">
        <v>340</v>
      </c>
      <c r="B889" s="12">
        <v>7565</v>
      </c>
      <c r="C889" s="12">
        <v>7.3728309999999997</v>
      </c>
      <c r="D889" s="12">
        <v>97.823229999999995</v>
      </c>
      <c r="E889">
        <v>1</v>
      </c>
      <c r="F889">
        <v>1</v>
      </c>
      <c r="G889">
        <v>0</v>
      </c>
      <c r="H889">
        <v>0</v>
      </c>
      <c r="J889" t="s">
        <v>0</v>
      </c>
      <c r="K889" t="s">
        <v>61</v>
      </c>
      <c r="L889">
        <v>0</v>
      </c>
      <c r="M889" t="s">
        <v>52</v>
      </c>
      <c r="N889">
        <v>1</v>
      </c>
      <c r="O889" t="s">
        <v>63</v>
      </c>
      <c r="P889" s="2">
        <v>0.50277777777777777</v>
      </c>
      <c r="Q889">
        <f>-0.0012709133*3600</f>
        <v>-4.5752878799999994</v>
      </c>
      <c r="R889">
        <f>0.0006074277*3600</f>
        <v>2.1867397200000003</v>
      </c>
    </row>
    <row r="890" spans="1:18" x14ac:dyDescent="0.3">
      <c r="A890" t="s">
        <v>340</v>
      </c>
      <c r="B890" s="12">
        <v>7566</v>
      </c>
      <c r="C890" s="12">
        <v>7.3735480000000004</v>
      </c>
      <c r="D890" s="12">
        <v>97.823245</v>
      </c>
      <c r="E890">
        <v>1</v>
      </c>
      <c r="F890">
        <v>1</v>
      </c>
      <c r="G890">
        <v>0</v>
      </c>
      <c r="H890">
        <v>0</v>
      </c>
      <c r="J890" t="s">
        <v>0</v>
      </c>
      <c r="K890" t="s">
        <v>61</v>
      </c>
      <c r="L890">
        <v>0</v>
      </c>
      <c r="M890" t="s">
        <v>52</v>
      </c>
      <c r="N890">
        <v>1</v>
      </c>
      <c r="O890" t="s">
        <v>63</v>
      </c>
      <c r="P890" s="2">
        <v>0.50277777777777777</v>
      </c>
      <c r="Q890">
        <f>-0.0013278043*3600</f>
        <v>-4.78009548</v>
      </c>
      <c r="R890">
        <f>0.0006204704*3600</f>
        <v>2.2336934399999997</v>
      </c>
    </row>
    <row r="891" spans="1:18" x14ac:dyDescent="0.3">
      <c r="A891" t="s">
        <v>340</v>
      </c>
      <c r="B891" s="12">
        <v>7567</v>
      </c>
      <c r="C891" s="12">
        <v>7.3739860000000004</v>
      </c>
      <c r="D891" s="12">
        <v>97.823310000000006</v>
      </c>
      <c r="E891">
        <v>1</v>
      </c>
      <c r="F891">
        <v>1</v>
      </c>
      <c r="G891">
        <v>0</v>
      </c>
      <c r="H891">
        <v>0</v>
      </c>
      <c r="J891" t="s">
        <v>0</v>
      </c>
      <c r="K891" t="s">
        <v>61</v>
      </c>
      <c r="L891">
        <v>0</v>
      </c>
      <c r="M891" t="s">
        <v>52</v>
      </c>
      <c r="N891">
        <v>1</v>
      </c>
      <c r="O891" t="s">
        <v>63</v>
      </c>
      <c r="P891" s="2">
        <v>0.50277777777777777</v>
      </c>
      <c r="Q891">
        <f>-0.0012287185*3600</f>
        <v>-4.4233865999999997</v>
      </c>
      <c r="R891">
        <f>0.0006870987*3600</f>
        <v>2.47355532</v>
      </c>
    </row>
    <row r="892" spans="1:18" x14ac:dyDescent="0.3">
      <c r="A892" t="s">
        <v>340</v>
      </c>
      <c r="B892" s="12">
        <v>7568</v>
      </c>
      <c r="C892" s="12">
        <v>7.3740110000000003</v>
      </c>
      <c r="D892" s="12">
        <v>97.823241999999993</v>
      </c>
      <c r="E892">
        <v>1</v>
      </c>
      <c r="F892">
        <v>1</v>
      </c>
      <c r="G892">
        <v>0</v>
      </c>
      <c r="H892">
        <v>0</v>
      </c>
      <c r="J892" t="s">
        <v>0</v>
      </c>
      <c r="K892" t="s">
        <v>61</v>
      </c>
      <c r="L892">
        <v>0</v>
      </c>
      <c r="M892" t="s">
        <v>52</v>
      </c>
      <c r="N892">
        <v>1</v>
      </c>
      <c r="O892" t="s">
        <v>63</v>
      </c>
      <c r="P892" s="2">
        <v>0.50277777777777777</v>
      </c>
      <c r="Q892">
        <f>-0.0012159771*3600</f>
        <v>-4.3775175600000003</v>
      </c>
      <c r="R892">
        <f>0.0006270255*3600</f>
        <v>2.2572918</v>
      </c>
    </row>
    <row r="893" spans="1:18" x14ac:dyDescent="0.3">
      <c r="A893" t="s">
        <v>340</v>
      </c>
      <c r="B893" s="12">
        <v>7569</v>
      </c>
      <c r="C893" s="12">
        <v>7.3748110000000002</v>
      </c>
      <c r="D893" s="12">
        <v>97.823301999999998</v>
      </c>
      <c r="E893">
        <v>1</v>
      </c>
      <c r="F893">
        <v>1</v>
      </c>
      <c r="G893">
        <v>0</v>
      </c>
      <c r="H893">
        <v>0</v>
      </c>
      <c r="J893" t="s">
        <v>0</v>
      </c>
      <c r="K893" t="s">
        <v>61</v>
      </c>
      <c r="L893">
        <v>0</v>
      </c>
      <c r="M893" t="s">
        <v>52</v>
      </c>
      <c r="N893">
        <v>1</v>
      </c>
      <c r="O893" t="s">
        <v>63</v>
      </c>
      <c r="P893" s="2">
        <v>0.50277777777777777</v>
      </c>
      <c r="Q893">
        <f>-0.0011246886*3600</f>
        <v>-4.0488789599999997</v>
      </c>
      <c r="R893">
        <f>0.0006945791*3600</f>
        <v>2.50048476</v>
      </c>
    </row>
    <row r="894" spans="1:18" x14ac:dyDescent="0.3">
      <c r="A894" t="s">
        <v>340</v>
      </c>
      <c r="B894" s="12">
        <v>7570</v>
      </c>
      <c r="C894" s="12">
        <v>7.3749750000000001</v>
      </c>
      <c r="D894" s="12">
        <v>97.823335999999998</v>
      </c>
      <c r="E894">
        <v>1</v>
      </c>
      <c r="F894">
        <v>1</v>
      </c>
      <c r="G894">
        <v>0</v>
      </c>
      <c r="H894">
        <v>0</v>
      </c>
      <c r="J894" t="s">
        <v>0</v>
      </c>
      <c r="K894" t="s">
        <v>61</v>
      </c>
      <c r="L894">
        <v>0</v>
      </c>
      <c r="M894" t="s">
        <v>52</v>
      </c>
      <c r="N894">
        <v>1</v>
      </c>
      <c r="O894" t="s">
        <v>63</v>
      </c>
      <c r="P894" s="2">
        <v>0.50277777777777777</v>
      </c>
      <c r="Q894">
        <f>-0.0010403193*3600</f>
        <v>-3.7451494799999998</v>
      </c>
      <c r="R894">
        <f>0.0007089302*3600</f>
        <v>2.5521487200000004</v>
      </c>
    </row>
    <row r="895" spans="1:18" x14ac:dyDescent="0.3">
      <c r="A895" t="s">
        <v>340</v>
      </c>
      <c r="B895" s="12">
        <v>7571</v>
      </c>
      <c r="C895" s="12">
        <v>7.3759490000000003</v>
      </c>
      <c r="D895" s="12">
        <v>97.823302999999996</v>
      </c>
      <c r="E895">
        <v>1</v>
      </c>
      <c r="F895">
        <v>1</v>
      </c>
      <c r="G895">
        <v>0</v>
      </c>
      <c r="H895">
        <v>0</v>
      </c>
      <c r="J895" t="s">
        <v>0</v>
      </c>
      <c r="K895" t="s">
        <v>61</v>
      </c>
      <c r="L895">
        <v>0</v>
      </c>
      <c r="M895" t="s">
        <v>52</v>
      </c>
      <c r="N895">
        <v>1</v>
      </c>
      <c r="O895" t="s">
        <v>63</v>
      </c>
      <c r="P895" s="2">
        <v>0.50277777777777777</v>
      </c>
      <c r="Q895">
        <f>-0.0011712351*3600</f>
        <v>-4.2164463599999999</v>
      </c>
      <c r="R895">
        <f>0.0006864614*3600</f>
        <v>2.4712610399999999</v>
      </c>
    </row>
    <row r="896" spans="1:18" x14ac:dyDescent="0.3">
      <c r="A896" t="s">
        <v>340</v>
      </c>
      <c r="B896" s="12">
        <v>7572</v>
      </c>
      <c r="C896" s="12">
        <v>7.376652</v>
      </c>
      <c r="D896" s="12">
        <v>97.823307999999997</v>
      </c>
      <c r="E896">
        <v>1</v>
      </c>
      <c r="F896">
        <v>1</v>
      </c>
      <c r="G896">
        <v>0</v>
      </c>
      <c r="H896">
        <v>0</v>
      </c>
      <c r="J896" t="s">
        <v>0</v>
      </c>
      <c r="K896" t="s">
        <v>61</v>
      </c>
      <c r="L896">
        <v>0</v>
      </c>
      <c r="M896" t="s">
        <v>52</v>
      </c>
      <c r="N896">
        <v>1</v>
      </c>
      <c r="O896" t="s">
        <v>63</v>
      </c>
      <c r="P896" s="2">
        <v>0.50277777777777777</v>
      </c>
      <c r="Q896">
        <f>-0.0011766752*3600</f>
        <v>-4.2360307199999996</v>
      </c>
      <c r="R896">
        <f>0.0007022185*3600</f>
        <v>2.5279865999999998</v>
      </c>
    </row>
    <row r="897" spans="1:19" x14ac:dyDescent="0.3">
      <c r="A897" t="s">
        <v>340</v>
      </c>
      <c r="B897" s="12">
        <v>7573</v>
      </c>
      <c r="C897" s="12">
        <v>7.3773239999999998</v>
      </c>
      <c r="D897" s="12">
        <v>97.823379000000003</v>
      </c>
      <c r="E897">
        <v>1</v>
      </c>
      <c r="F897">
        <v>1</v>
      </c>
      <c r="G897">
        <v>0</v>
      </c>
      <c r="H897">
        <v>0</v>
      </c>
      <c r="J897" t="s">
        <v>0</v>
      </c>
      <c r="K897" t="s">
        <v>61</v>
      </c>
      <c r="L897">
        <v>0</v>
      </c>
      <c r="M897" t="s">
        <v>52</v>
      </c>
      <c r="N897">
        <v>1</v>
      </c>
      <c r="O897" t="s">
        <v>63</v>
      </c>
      <c r="P897" s="2">
        <v>0.50277777777777777</v>
      </c>
      <c r="Q897">
        <f>-0.0012360344*3600</f>
        <v>-4.4497238399999999</v>
      </c>
      <c r="R897">
        <f>0.000741632*3600</f>
        <v>2.6698751999999999</v>
      </c>
    </row>
    <row r="898" spans="1:19" x14ac:dyDescent="0.3">
      <c r="A898" t="s">
        <v>340</v>
      </c>
      <c r="B898" s="12">
        <v>7574</v>
      </c>
      <c r="C898" s="12">
        <v>7.377148</v>
      </c>
      <c r="D898" s="12">
        <v>97.823340000000002</v>
      </c>
      <c r="E898">
        <v>1</v>
      </c>
      <c r="F898">
        <v>1</v>
      </c>
      <c r="G898">
        <v>0</v>
      </c>
      <c r="H898">
        <v>0</v>
      </c>
      <c r="J898" t="s">
        <v>0</v>
      </c>
      <c r="K898" t="s">
        <v>61</v>
      </c>
      <c r="L898">
        <v>0</v>
      </c>
      <c r="M898" t="s">
        <v>52</v>
      </c>
      <c r="N898">
        <v>1</v>
      </c>
      <c r="O898" t="s">
        <v>63</v>
      </c>
      <c r="P898" s="2">
        <v>0.50277777777777777</v>
      </c>
      <c r="Q898">
        <f>-0.0010823634*3600</f>
        <v>-3.8965082399999997</v>
      </c>
      <c r="R898">
        <f>0.0007196619*3600</f>
        <v>2.5907828400000001</v>
      </c>
    </row>
    <row r="899" spans="1:19" x14ac:dyDescent="0.3">
      <c r="A899" t="s">
        <v>340</v>
      </c>
      <c r="B899" s="12">
        <v>7575</v>
      </c>
      <c r="C899" s="12">
        <v>7.3764710000000004</v>
      </c>
      <c r="D899" s="12">
        <v>97.823206999999996</v>
      </c>
      <c r="E899">
        <v>1</v>
      </c>
      <c r="F899">
        <v>1</v>
      </c>
      <c r="G899">
        <v>0</v>
      </c>
      <c r="H899">
        <v>0</v>
      </c>
      <c r="J899" t="s">
        <v>0</v>
      </c>
      <c r="K899" t="s">
        <v>61</v>
      </c>
      <c r="L899">
        <v>0</v>
      </c>
      <c r="M899" t="s">
        <v>52</v>
      </c>
      <c r="N899">
        <v>1</v>
      </c>
      <c r="O899" t="s">
        <v>63</v>
      </c>
      <c r="P899" s="2">
        <v>0.50277777777777777</v>
      </c>
      <c r="Q899">
        <f>-0.0012649002*3600</f>
        <v>-4.5536407200000006</v>
      </c>
      <c r="R899">
        <f>0.0005724217*3600</f>
        <v>2.0607181199999998</v>
      </c>
    </row>
    <row r="900" spans="1:19" x14ac:dyDescent="0.3">
      <c r="A900" t="s">
        <v>340</v>
      </c>
      <c r="B900" s="12">
        <v>7576</v>
      </c>
      <c r="C900" s="12">
        <v>7.3757710000000003</v>
      </c>
      <c r="D900" s="12">
        <v>97.823273999999998</v>
      </c>
      <c r="E900">
        <v>1</v>
      </c>
      <c r="F900">
        <v>1</v>
      </c>
      <c r="G900">
        <v>0</v>
      </c>
      <c r="H900">
        <v>0</v>
      </c>
      <c r="J900" t="s">
        <v>0</v>
      </c>
      <c r="K900" t="s">
        <v>61</v>
      </c>
      <c r="L900">
        <v>0</v>
      </c>
      <c r="M900" t="s">
        <v>52</v>
      </c>
      <c r="N900">
        <v>1</v>
      </c>
      <c r="O900" t="s">
        <v>63</v>
      </c>
      <c r="P900" s="2">
        <v>0.50277777777777777</v>
      </c>
      <c r="Q900">
        <f>-0.0013995397*3600</f>
        <v>-5.0383429199999998</v>
      </c>
      <c r="R900">
        <f>0.000649705*3600</f>
        <v>2.3389379999999997</v>
      </c>
    </row>
    <row r="901" spans="1:19" x14ac:dyDescent="0.3">
      <c r="A901" t="s">
        <v>340</v>
      </c>
      <c r="B901" s="12">
        <v>7577</v>
      </c>
      <c r="C901" s="12">
        <v>7.3744529999999999</v>
      </c>
      <c r="D901" s="12">
        <v>97.823158000000006</v>
      </c>
      <c r="E901">
        <v>1</v>
      </c>
      <c r="F901">
        <v>1</v>
      </c>
      <c r="G901">
        <v>0</v>
      </c>
      <c r="H901">
        <v>0</v>
      </c>
      <c r="J901" t="s">
        <v>0</v>
      </c>
      <c r="K901" t="s">
        <v>61</v>
      </c>
      <c r="L901">
        <v>0</v>
      </c>
      <c r="M901" t="s">
        <v>52</v>
      </c>
      <c r="N901">
        <v>1</v>
      </c>
      <c r="O901" t="s">
        <v>63</v>
      </c>
      <c r="P901" s="2">
        <v>0.50277777777777777</v>
      </c>
      <c r="Q901">
        <f>-0.001419328*3600</f>
        <v>-5.1095808000000007</v>
      </c>
      <c r="R901">
        <f>0.0005252807*3600</f>
        <v>1.8910105199999998</v>
      </c>
    </row>
    <row r="902" spans="1:19" x14ac:dyDescent="0.3">
      <c r="A902" t="s">
        <v>340</v>
      </c>
      <c r="B902" s="12">
        <v>7578</v>
      </c>
      <c r="C902" s="12">
        <v>7.3748329999999997</v>
      </c>
      <c r="D902" s="12">
        <v>97.823321000000007</v>
      </c>
      <c r="E902">
        <v>1</v>
      </c>
      <c r="F902">
        <v>1</v>
      </c>
      <c r="G902">
        <v>0</v>
      </c>
      <c r="H902">
        <v>0</v>
      </c>
      <c r="J902" t="s">
        <v>0</v>
      </c>
      <c r="K902" t="s">
        <v>61</v>
      </c>
      <c r="L902">
        <v>0</v>
      </c>
      <c r="M902" t="s">
        <v>52</v>
      </c>
      <c r="N902">
        <v>1</v>
      </c>
      <c r="O902" t="s">
        <v>63</v>
      </c>
      <c r="P902" s="2">
        <v>0.50277777777777777</v>
      </c>
      <c r="Q902">
        <f>-0.0014095665*3600</f>
        <v>-5.0744394000000002</v>
      </c>
      <c r="R902">
        <f>0.0006714724*3600</f>
        <v>2.4173006400000001</v>
      </c>
    </row>
    <row r="903" spans="1:19" x14ac:dyDescent="0.3">
      <c r="A903" t="s">
        <v>340</v>
      </c>
      <c r="B903" s="12">
        <v>7579</v>
      </c>
      <c r="C903" s="12">
        <v>7.3745070000000004</v>
      </c>
      <c r="D903" s="12">
        <v>97.823127999999997</v>
      </c>
      <c r="E903">
        <v>1</v>
      </c>
      <c r="F903">
        <v>1</v>
      </c>
      <c r="G903">
        <v>0</v>
      </c>
      <c r="H903">
        <v>0</v>
      </c>
      <c r="J903" t="s">
        <v>0</v>
      </c>
      <c r="K903" t="s">
        <v>61</v>
      </c>
      <c r="L903">
        <v>0</v>
      </c>
      <c r="M903" t="s">
        <v>52</v>
      </c>
      <c r="N903">
        <v>1</v>
      </c>
      <c r="O903" t="s">
        <v>63</v>
      </c>
      <c r="P903" s="2">
        <v>0.50277777777777777</v>
      </c>
      <c r="Q903">
        <f>-0.0014871638*3600</f>
        <v>-5.3537896800000002</v>
      </c>
      <c r="R903">
        <f>0.0005265883*3600</f>
        <v>1.8957178800000001</v>
      </c>
    </row>
    <row r="904" spans="1:19" x14ac:dyDescent="0.3">
      <c r="A904" t="s">
        <v>340</v>
      </c>
      <c r="B904" s="12">
        <v>7580</v>
      </c>
      <c r="C904" s="12">
        <v>7.3748639999999996</v>
      </c>
      <c r="D904" s="12">
        <v>97.823285999999996</v>
      </c>
      <c r="E904">
        <v>1</v>
      </c>
      <c r="F904">
        <v>1</v>
      </c>
      <c r="G904">
        <v>0</v>
      </c>
      <c r="H904">
        <v>0</v>
      </c>
      <c r="J904" t="s">
        <v>0</v>
      </c>
      <c r="K904" t="s">
        <v>61</v>
      </c>
      <c r="L904">
        <v>0</v>
      </c>
      <c r="M904" t="s">
        <v>52</v>
      </c>
      <c r="N904">
        <v>1</v>
      </c>
      <c r="O904" t="s">
        <v>63</v>
      </c>
      <c r="P904" s="2">
        <v>0.50277777777777777</v>
      </c>
      <c r="Q904">
        <f>-0.0012592585*3600</f>
        <v>-4.5333306000000002</v>
      </c>
      <c r="R904">
        <f>0.0006515312*3600</f>
        <v>2.3455123200000001</v>
      </c>
    </row>
    <row r="905" spans="1:19" x14ac:dyDescent="0.3">
      <c r="A905" t="s">
        <v>340</v>
      </c>
      <c r="B905" s="12">
        <v>7581</v>
      </c>
      <c r="C905" s="12">
        <v>7.3734770000000003</v>
      </c>
      <c r="D905" s="12">
        <v>97.823269999999994</v>
      </c>
      <c r="E905">
        <v>1</v>
      </c>
      <c r="F905">
        <v>1</v>
      </c>
      <c r="G905">
        <v>0</v>
      </c>
      <c r="H905">
        <v>0</v>
      </c>
      <c r="J905" t="s">
        <v>0</v>
      </c>
      <c r="K905" t="s">
        <v>61</v>
      </c>
      <c r="L905">
        <v>0</v>
      </c>
      <c r="M905" t="s">
        <v>52</v>
      </c>
      <c r="N905">
        <v>1</v>
      </c>
      <c r="O905" t="s">
        <v>63</v>
      </c>
      <c r="P905" s="2">
        <v>0.50277777777777777</v>
      </c>
      <c r="Q905">
        <f>-0.0014105012*3600</f>
        <v>-5.0778043200000003</v>
      </c>
      <c r="R905">
        <f>0.0006583885*3600</f>
        <v>2.3701986000000002</v>
      </c>
    </row>
    <row r="906" spans="1:19" x14ac:dyDescent="0.3">
      <c r="A906" t="s">
        <v>340</v>
      </c>
      <c r="B906" s="12">
        <v>7582</v>
      </c>
      <c r="C906" s="12">
        <v>7.3737259999999996</v>
      </c>
      <c r="D906" s="12">
        <v>97.823212999999996</v>
      </c>
      <c r="E906">
        <v>1</v>
      </c>
      <c r="F906">
        <v>1</v>
      </c>
      <c r="G906">
        <v>0</v>
      </c>
      <c r="H906">
        <v>0</v>
      </c>
      <c r="J906" t="s">
        <v>0</v>
      </c>
      <c r="K906" t="s">
        <v>61</v>
      </c>
      <c r="L906">
        <v>0</v>
      </c>
      <c r="M906" t="s">
        <v>52</v>
      </c>
      <c r="N906">
        <v>1</v>
      </c>
      <c r="O906" t="s">
        <v>63</v>
      </c>
      <c r="P906" s="2">
        <v>0.50277777777777777</v>
      </c>
      <c r="Q906">
        <f>-0.0012039694*3600</f>
        <v>-4.3342898400000003</v>
      </c>
      <c r="R906">
        <f>0.0005905184*3600</f>
        <v>2.1258662399999997</v>
      </c>
    </row>
    <row r="907" spans="1:19" x14ac:dyDescent="0.3">
      <c r="A907" t="s">
        <v>340</v>
      </c>
      <c r="B907" s="12">
        <v>7583</v>
      </c>
      <c r="C907" s="12">
        <v>7.3747170000000004</v>
      </c>
      <c r="D907" s="12">
        <v>97.823277000000004</v>
      </c>
      <c r="E907">
        <v>1</v>
      </c>
      <c r="F907">
        <v>1</v>
      </c>
      <c r="G907">
        <v>0</v>
      </c>
      <c r="H907">
        <v>0</v>
      </c>
      <c r="J907" t="s">
        <v>0</v>
      </c>
      <c r="K907" t="s">
        <v>61</v>
      </c>
      <c r="L907">
        <v>0</v>
      </c>
      <c r="M907" t="s">
        <v>52</v>
      </c>
      <c r="N907">
        <v>1</v>
      </c>
      <c r="O907" t="s">
        <v>63</v>
      </c>
      <c r="P907" s="2">
        <v>0.50277777777777777</v>
      </c>
      <c r="Q907">
        <f>-0.0012175104*3600</f>
        <v>-4.3830374399999998</v>
      </c>
      <c r="R907">
        <f>0.0006540976*3600</f>
        <v>2.3547513599999998</v>
      </c>
    </row>
    <row r="908" spans="1:19" x14ac:dyDescent="0.3">
      <c r="A908" t="s">
        <v>340</v>
      </c>
      <c r="B908" t="s">
        <v>357</v>
      </c>
      <c r="C908">
        <v>399.99902800000001</v>
      </c>
      <c r="D908">
        <v>98.551456000000002</v>
      </c>
      <c r="E908">
        <v>55.994799999999998</v>
      </c>
      <c r="F908">
        <v>56.0655</v>
      </c>
      <c r="G908">
        <v>0</v>
      </c>
      <c r="H908">
        <v>0</v>
      </c>
      <c r="J908" t="s">
        <v>0</v>
      </c>
      <c r="K908" t="s">
        <v>50</v>
      </c>
      <c r="L908" t="s">
        <v>51</v>
      </c>
      <c r="M908">
        <v>0</v>
      </c>
      <c r="N908" t="s">
        <v>57</v>
      </c>
      <c r="O908">
        <v>1</v>
      </c>
      <c r="P908" t="s">
        <v>53</v>
      </c>
      <c r="Q908" s="2">
        <v>0.50347222222222221</v>
      </c>
      <c r="R908">
        <f>-0.0001378779*3600</f>
        <v>-0.49636043999999996</v>
      </c>
      <c r="S908">
        <f>-0.000110022*3600</f>
        <v>-0.39607920000000002</v>
      </c>
    </row>
    <row r="909" spans="1:19" x14ac:dyDescent="0.3">
      <c r="A909" t="s">
        <v>340</v>
      </c>
      <c r="B909" t="s">
        <v>357</v>
      </c>
      <c r="C909">
        <v>399.99899799999997</v>
      </c>
      <c r="D909">
        <v>98.551242000000002</v>
      </c>
      <c r="E909">
        <v>55.994799999999998</v>
      </c>
      <c r="F909">
        <v>56.0655</v>
      </c>
      <c r="G909">
        <v>0</v>
      </c>
      <c r="H909">
        <v>0</v>
      </c>
      <c r="J909" t="s">
        <v>0</v>
      </c>
      <c r="K909" t="s">
        <v>50</v>
      </c>
      <c r="L909" t="s">
        <v>51</v>
      </c>
      <c r="M909">
        <v>0</v>
      </c>
      <c r="N909" t="s">
        <v>57</v>
      </c>
      <c r="O909">
        <v>1</v>
      </c>
      <c r="P909" t="s">
        <v>53</v>
      </c>
      <c r="Q909" s="2">
        <v>0.50416666666666665</v>
      </c>
      <c r="R909">
        <f>-0.0002720912*3600</f>
        <v>-0.9795283199999999</v>
      </c>
      <c r="S909">
        <f>-0.0002556504*3600</f>
        <v>-0.92034143999999996</v>
      </c>
    </row>
    <row r="910" spans="1:19" x14ac:dyDescent="0.3">
      <c r="A910" t="s">
        <v>340</v>
      </c>
      <c r="B910" t="s">
        <v>357</v>
      </c>
      <c r="C910">
        <v>399.99909200000002</v>
      </c>
      <c r="D910">
        <v>98.551419999999993</v>
      </c>
      <c r="E910">
        <v>55.994599999999998</v>
      </c>
      <c r="F910">
        <v>56.065300000000001</v>
      </c>
      <c r="G910">
        <v>0</v>
      </c>
      <c r="H910">
        <v>0</v>
      </c>
      <c r="J910" t="s">
        <v>0</v>
      </c>
      <c r="K910" t="s">
        <v>50</v>
      </c>
      <c r="L910" t="s">
        <v>51</v>
      </c>
      <c r="M910">
        <v>0</v>
      </c>
      <c r="N910" t="s">
        <v>57</v>
      </c>
      <c r="O910">
        <v>1</v>
      </c>
      <c r="P910" t="s">
        <v>53</v>
      </c>
      <c r="Q910" s="2">
        <v>0.50416666666666665</v>
      </c>
      <c r="R910">
        <f>-0.0001976433*3600</f>
        <v>-0.71151587999999999</v>
      </c>
      <c r="S910">
        <f>-0.0002418643*3600</f>
        <v>-0.87071147999999998</v>
      </c>
    </row>
    <row r="911" spans="1:19" x14ac:dyDescent="0.3">
      <c r="A911" t="s">
        <v>340</v>
      </c>
      <c r="B911" s="7">
        <v>7600</v>
      </c>
      <c r="C911" s="7">
        <v>7.3744529999999999</v>
      </c>
      <c r="D911" s="7">
        <v>98.185119999999998</v>
      </c>
      <c r="E911" s="7">
        <v>2.0417000000000001</v>
      </c>
      <c r="F911" s="7">
        <v>2.044</v>
      </c>
      <c r="G911">
        <v>0</v>
      </c>
      <c r="H911">
        <v>0</v>
      </c>
      <c r="J911" t="s">
        <v>0</v>
      </c>
      <c r="K911" t="s">
        <v>61</v>
      </c>
      <c r="L911">
        <v>3.4000000000000002E-2</v>
      </c>
      <c r="M911" t="s">
        <v>52</v>
      </c>
      <c r="N911">
        <v>1</v>
      </c>
      <c r="O911" t="s">
        <v>53</v>
      </c>
      <c r="P911" s="2">
        <v>0.50486111111111109</v>
      </c>
      <c r="Q911">
        <f>-0.0009276742*3600</f>
        <v>-3.3396271200000003</v>
      </c>
      <c r="R911">
        <f>0.0006049478*3600</f>
        <v>2.1778120800000003</v>
      </c>
    </row>
    <row r="912" spans="1:19" x14ac:dyDescent="0.3">
      <c r="A912" t="s">
        <v>340</v>
      </c>
      <c r="B912" s="4">
        <v>7601</v>
      </c>
      <c r="C912" s="4">
        <v>207.378784</v>
      </c>
      <c r="D912" s="4">
        <v>301.89171800000003</v>
      </c>
      <c r="E912">
        <v>2.0419999999999998</v>
      </c>
      <c r="F912">
        <v>2.0442</v>
      </c>
      <c r="G912">
        <v>0</v>
      </c>
      <c r="H912">
        <v>0</v>
      </c>
      <c r="J912" t="s">
        <v>0</v>
      </c>
      <c r="K912" t="s">
        <v>61</v>
      </c>
      <c r="L912">
        <v>3.4000000000000002E-2</v>
      </c>
      <c r="M912" t="s">
        <v>52</v>
      </c>
      <c r="N912">
        <v>1</v>
      </c>
      <c r="O912" t="s">
        <v>53</v>
      </c>
      <c r="P912" s="2">
        <v>0.50555555555555554</v>
      </c>
      <c r="Q912">
        <f>0.0006108643*3600</f>
        <v>2.19911148</v>
      </c>
      <c r="R912">
        <f>-0.0014520584*3600</f>
        <v>-5.2274102399999993</v>
      </c>
    </row>
    <row r="913" spans="1:18" x14ac:dyDescent="0.3">
      <c r="A913" t="s">
        <v>340</v>
      </c>
      <c r="B913" s="4">
        <v>7602</v>
      </c>
      <c r="C913" s="4">
        <v>207.37740099999999</v>
      </c>
      <c r="D913" s="4">
        <v>302.10206599999998</v>
      </c>
      <c r="E913">
        <v>1</v>
      </c>
      <c r="F913">
        <v>1</v>
      </c>
      <c r="G913">
        <v>0</v>
      </c>
      <c r="H913">
        <v>0</v>
      </c>
      <c r="J913" t="s">
        <v>0</v>
      </c>
      <c r="K913" t="s">
        <v>61</v>
      </c>
      <c r="L913">
        <v>0</v>
      </c>
      <c r="M913" t="s">
        <v>52</v>
      </c>
      <c r="N913">
        <v>1</v>
      </c>
      <c r="O913" t="s">
        <v>63</v>
      </c>
      <c r="P913" s="2">
        <v>0.50555555555555554</v>
      </c>
      <c r="Q913">
        <f>0.0006200293*3600</f>
        <v>2.23210548</v>
      </c>
      <c r="R913">
        <f>-0.0011969226*3600</f>
        <v>-4.3089213600000003</v>
      </c>
    </row>
    <row r="914" spans="1:18" x14ac:dyDescent="0.3">
      <c r="A914" t="s">
        <v>340</v>
      </c>
      <c r="B914" s="4">
        <v>7603</v>
      </c>
      <c r="C914" s="4">
        <v>207.37846500000001</v>
      </c>
      <c r="D914" s="4">
        <v>302.10204099999999</v>
      </c>
      <c r="E914">
        <v>1</v>
      </c>
      <c r="F914">
        <v>1</v>
      </c>
      <c r="G914">
        <v>0</v>
      </c>
      <c r="H914">
        <v>0</v>
      </c>
      <c r="J914" t="s">
        <v>0</v>
      </c>
      <c r="K914" t="s">
        <v>61</v>
      </c>
      <c r="L914">
        <v>0</v>
      </c>
      <c r="M914" t="s">
        <v>52</v>
      </c>
      <c r="N914">
        <v>1</v>
      </c>
      <c r="O914" t="s">
        <v>63</v>
      </c>
      <c r="P914" s="2">
        <v>0.50555555555555554</v>
      </c>
      <c r="Q914">
        <f>0.0007564132*3600</f>
        <v>2.72308752</v>
      </c>
      <c r="R914">
        <f>-0.001222601*3600</f>
        <v>-4.4013635999999998</v>
      </c>
    </row>
    <row r="915" spans="1:18" x14ac:dyDescent="0.3">
      <c r="A915" t="s">
        <v>340</v>
      </c>
      <c r="B915" s="4">
        <v>7604</v>
      </c>
      <c r="C915" s="4">
        <v>207.37814599999999</v>
      </c>
      <c r="D915" s="4">
        <v>302.10211900000002</v>
      </c>
      <c r="E915">
        <v>1</v>
      </c>
      <c r="F915">
        <v>1</v>
      </c>
      <c r="G915">
        <v>0</v>
      </c>
      <c r="H915">
        <v>0</v>
      </c>
      <c r="J915" t="s">
        <v>0</v>
      </c>
      <c r="K915" t="s">
        <v>61</v>
      </c>
      <c r="L915">
        <v>0</v>
      </c>
      <c r="M915" t="s">
        <v>52</v>
      </c>
      <c r="N915">
        <v>1</v>
      </c>
      <c r="O915" t="s">
        <v>63</v>
      </c>
      <c r="P915" s="2">
        <v>0.50555555555555554</v>
      </c>
      <c r="Q915">
        <f>0.000610715*3600</f>
        <v>2.1985739999999998</v>
      </c>
      <c r="R915">
        <f>-0.0011666985*3600</f>
        <v>-4.2001146</v>
      </c>
    </row>
    <row r="916" spans="1:18" x14ac:dyDescent="0.3">
      <c r="A916" t="s">
        <v>340</v>
      </c>
      <c r="B916" s="4">
        <v>7605</v>
      </c>
      <c r="C916" s="4">
        <v>207.37952100000001</v>
      </c>
      <c r="D916" s="4">
        <v>302.10213700000003</v>
      </c>
      <c r="E916">
        <v>1</v>
      </c>
      <c r="F916">
        <v>1</v>
      </c>
      <c r="G916">
        <v>0</v>
      </c>
      <c r="H916">
        <v>0</v>
      </c>
      <c r="J916" t="s">
        <v>0</v>
      </c>
      <c r="K916" t="s">
        <v>61</v>
      </c>
      <c r="L916">
        <v>0</v>
      </c>
      <c r="M916" t="s">
        <v>52</v>
      </c>
      <c r="N916">
        <v>1</v>
      </c>
      <c r="O916" t="s">
        <v>63</v>
      </c>
      <c r="P916" s="2">
        <v>0.50555555555555554</v>
      </c>
      <c r="Q916">
        <f>0.0008306459*3600</f>
        <v>2.9903252399999998</v>
      </c>
      <c r="R916">
        <f>-0.001135453*3600</f>
        <v>-4.0876308000000003</v>
      </c>
    </row>
    <row r="917" spans="1:18" x14ac:dyDescent="0.3">
      <c r="A917" t="s">
        <v>340</v>
      </c>
      <c r="B917" s="4">
        <v>7606</v>
      </c>
      <c r="C917" s="4">
        <v>207.379265</v>
      </c>
      <c r="D917" s="4">
        <v>302.10208599999999</v>
      </c>
      <c r="E917">
        <v>1</v>
      </c>
      <c r="F917">
        <v>1</v>
      </c>
      <c r="G917">
        <v>0</v>
      </c>
      <c r="H917">
        <v>0</v>
      </c>
      <c r="J917" t="s">
        <v>0</v>
      </c>
      <c r="K917" t="s">
        <v>61</v>
      </c>
      <c r="L917">
        <v>0</v>
      </c>
      <c r="M917" t="s">
        <v>52</v>
      </c>
      <c r="N917">
        <v>1</v>
      </c>
      <c r="O917" t="s">
        <v>63</v>
      </c>
      <c r="P917" s="2">
        <v>0.50555555555555554</v>
      </c>
      <c r="Q917">
        <f>0.0007514527*3600</f>
        <v>2.7052297200000002</v>
      </c>
      <c r="R917">
        <f>-0.0011873365*3600</f>
        <v>-4.2744114</v>
      </c>
    </row>
    <row r="918" spans="1:18" x14ac:dyDescent="0.3">
      <c r="A918" t="s">
        <v>340</v>
      </c>
      <c r="B918" s="4">
        <v>7607</v>
      </c>
      <c r="C918" s="4">
        <v>207.377509</v>
      </c>
      <c r="D918" s="4">
        <v>302.10208299999999</v>
      </c>
      <c r="E918">
        <v>1</v>
      </c>
      <c r="F918">
        <v>1</v>
      </c>
      <c r="G918">
        <v>0</v>
      </c>
      <c r="H918">
        <v>0</v>
      </c>
      <c r="J918" t="s">
        <v>0</v>
      </c>
      <c r="K918" t="s">
        <v>61</v>
      </c>
      <c r="L918">
        <v>0</v>
      </c>
      <c r="M918" t="s">
        <v>52</v>
      </c>
      <c r="N918">
        <v>1</v>
      </c>
      <c r="O918" t="s">
        <v>63</v>
      </c>
      <c r="P918" s="2">
        <v>0.50555555555555554</v>
      </c>
      <c r="Q918">
        <f>0.0007363038*3600</f>
        <v>2.6506936799999998</v>
      </c>
      <c r="R918">
        <f>-0.0012026569*3600</f>
        <v>-4.3295648399999997</v>
      </c>
    </row>
    <row r="919" spans="1:18" x14ac:dyDescent="0.3">
      <c r="A919" t="s">
        <v>340</v>
      </c>
      <c r="B919" s="4">
        <v>7608</v>
      </c>
      <c r="C919" s="4">
        <v>207.37798100000001</v>
      </c>
      <c r="D919" s="4">
        <v>302.10206299999999</v>
      </c>
      <c r="E919">
        <v>1</v>
      </c>
      <c r="F919">
        <v>1</v>
      </c>
      <c r="G919">
        <v>0</v>
      </c>
      <c r="H919">
        <v>0</v>
      </c>
      <c r="J919" t="s">
        <v>0</v>
      </c>
      <c r="K919" t="s">
        <v>61</v>
      </c>
      <c r="L919">
        <v>0</v>
      </c>
      <c r="M919" t="s">
        <v>52</v>
      </c>
      <c r="N919">
        <v>1</v>
      </c>
      <c r="O919" t="s">
        <v>63</v>
      </c>
      <c r="P919" s="2">
        <v>0.50555555555555554</v>
      </c>
      <c r="Q919">
        <f>0.000712915*3600</f>
        <v>2.5664939999999996</v>
      </c>
      <c r="R919">
        <f>-0.0012472838*3600</f>
        <v>-4.4902216799999994</v>
      </c>
    </row>
    <row r="920" spans="1:18" x14ac:dyDescent="0.3">
      <c r="A920" t="s">
        <v>340</v>
      </c>
      <c r="B920" s="4">
        <v>7609</v>
      </c>
      <c r="C920" s="4">
        <v>207.37790000000001</v>
      </c>
      <c r="D920" s="4">
        <v>302.10208</v>
      </c>
      <c r="E920">
        <v>1</v>
      </c>
      <c r="F920">
        <v>1</v>
      </c>
      <c r="G920">
        <v>0</v>
      </c>
      <c r="H920">
        <v>0</v>
      </c>
      <c r="J920" t="s">
        <v>0</v>
      </c>
      <c r="K920" t="s">
        <v>61</v>
      </c>
      <c r="L920">
        <v>0</v>
      </c>
      <c r="M920" t="s">
        <v>52</v>
      </c>
      <c r="N920">
        <v>1</v>
      </c>
      <c r="O920" t="s">
        <v>63</v>
      </c>
      <c r="P920" s="2">
        <v>0.50555555555555554</v>
      </c>
      <c r="Q920">
        <f>0.0006743119*3600</f>
        <v>2.42752284</v>
      </c>
      <c r="R920">
        <f>-0.0012407377*3600</f>
        <v>-4.4666557200000003</v>
      </c>
    </row>
    <row r="921" spans="1:18" x14ac:dyDescent="0.3">
      <c r="A921" t="s">
        <v>340</v>
      </c>
      <c r="B921" s="4">
        <v>7610</v>
      </c>
      <c r="C921" s="4">
        <v>207.378432</v>
      </c>
      <c r="D921" s="4">
        <v>302.10220900000002</v>
      </c>
      <c r="E921">
        <v>1</v>
      </c>
      <c r="F921">
        <v>1</v>
      </c>
      <c r="G921">
        <v>0</v>
      </c>
      <c r="H921">
        <v>0</v>
      </c>
      <c r="J921" t="s">
        <v>0</v>
      </c>
      <c r="K921" t="s">
        <v>61</v>
      </c>
      <c r="L921">
        <v>0</v>
      </c>
      <c r="M921" t="s">
        <v>52</v>
      </c>
      <c r="N921">
        <v>1</v>
      </c>
      <c r="O921" t="s">
        <v>63</v>
      </c>
      <c r="P921" s="2">
        <v>0.50555555555555554</v>
      </c>
      <c r="Q921">
        <f>0.0008964537*3600</f>
        <v>3.2272333199999998</v>
      </c>
      <c r="R921">
        <f>-0.0011034078*3600</f>
        <v>-3.9722680800000005</v>
      </c>
    </row>
    <row r="922" spans="1:18" x14ac:dyDescent="0.3">
      <c r="A922" t="s">
        <v>340</v>
      </c>
      <c r="B922" s="4">
        <v>7611</v>
      </c>
      <c r="C922" s="4">
        <v>207.379175</v>
      </c>
      <c r="D922" s="4">
        <v>302.102124</v>
      </c>
      <c r="E922">
        <v>1</v>
      </c>
      <c r="F922">
        <v>1</v>
      </c>
      <c r="G922">
        <v>0</v>
      </c>
      <c r="H922">
        <v>0</v>
      </c>
      <c r="J922" t="s">
        <v>0</v>
      </c>
      <c r="K922" t="s">
        <v>61</v>
      </c>
      <c r="L922">
        <v>0</v>
      </c>
      <c r="M922" t="s">
        <v>52</v>
      </c>
      <c r="N922">
        <v>1</v>
      </c>
      <c r="O922" t="s">
        <v>63</v>
      </c>
      <c r="P922" s="2">
        <v>0.50555555555555554</v>
      </c>
      <c r="Q922">
        <f>0.0007405171*3600</f>
        <v>2.6658615600000002</v>
      </c>
      <c r="R922">
        <f>-0.0011779274*3600</f>
        <v>-4.2405386399999996</v>
      </c>
    </row>
    <row r="923" spans="1:18" x14ac:dyDescent="0.3">
      <c r="A923" t="s">
        <v>340</v>
      </c>
      <c r="B923" s="4">
        <v>7612</v>
      </c>
      <c r="C923" s="4">
        <v>207.37887799999999</v>
      </c>
      <c r="D923" s="4">
        <v>302.11132500000002</v>
      </c>
      <c r="E923">
        <v>1</v>
      </c>
      <c r="F923">
        <v>1</v>
      </c>
      <c r="G923">
        <v>0</v>
      </c>
      <c r="H923">
        <v>0</v>
      </c>
      <c r="J923" t="s">
        <v>0</v>
      </c>
      <c r="K923" t="s">
        <v>61</v>
      </c>
      <c r="L923">
        <v>0</v>
      </c>
      <c r="M923" t="s">
        <v>52</v>
      </c>
      <c r="N923">
        <v>1</v>
      </c>
      <c r="O923" t="s">
        <v>63</v>
      </c>
      <c r="P923" s="2">
        <v>0.50555555555555554</v>
      </c>
      <c r="Q923">
        <f>0.0006181522*3600</f>
        <v>2.2253479199999999</v>
      </c>
      <c r="R923">
        <f>-0.0012341768*3600</f>
        <v>-4.44303648</v>
      </c>
    </row>
    <row r="924" spans="1:18" x14ac:dyDescent="0.3">
      <c r="A924" t="s">
        <v>340</v>
      </c>
      <c r="B924" s="4">
        <v>7613</v>
      </c>
      <c r="C924" s="4">
        <v>207.37858399999999</v>
      </c>
      <c r="D924" s="4">
        <v>302.11138799999998</v>
      </c>
      <c r="E924">
        <v>1</v>
      </c>
      <c r="F924">
        <v>1</v>
      </c>
      <c r="G924">
        <v>0</v>
      </c>
      <c r="H924">
        <v>0</v>
      </c>
      <c r="J924" t="s">
        <v>0</v>
      </c>
      <c r="K924" t="s">
        <v>61</v>
      </c>
      <c r="L924">
        <v>0</v>
      </c>
      <c r="M924" t="s">
        <v>52</v>
      </c>
      <c r="N924">
        <v>1</v>
      </c>
      <c r="O924" t="s">
        <v>63</v>
      </c>
      <c r="P924" s="2">
        <v>0.50555555555555554</v>
      </c>
      <c r="Q924">
        <f>0.0005547903*3600</f>
        <v>1.9972450799999999</v>
      </c>
      <c r="R924">
        <f>-0.0012026403*3600</f>
        <v>-4.3295050799999997</v>
      </c>
    </row>
    <row r="925" spans="1:18" x14ac:dyDescent="0.3">
      <c r="A925" t="s">
        <v>340</v>
      </c>
      <c r="B925" s="4">
        <v>7614</v>
      </c>
      <c r="C925" s="4">
        <v>207.37840700000001</v>
      </c>
      <c r="D925" s="4">
        <v>302.11130400000002</v>
      </c>
      <c r="E925">
        <v>1</v>
      </c>
      <c r="F925">
        <v>1</v>
      </c>
      <c r="G925">
        <v>0</v>
      </c>
      <c r="H925">
        <v>0</v>
      </c>
      <c r="J925" t="s">
        <v>0</v>
      </c>
      <c r="K925" t="s">
        <v>61</v>
      </c>
      <c r="L925">
        <v>0</v>
      </c>
      <c r="M925" t="s">
        <v>52</v>
      </c>
      <c r="N925">
        <v>1</v>
      </c>
      <c r="O925" t="s">
        <v>63</v>
      </c>
      <c r="P925" s="2">
        <v>0.50555555555555554</v>
      </c>
      <c r="Q925">
        <f>0.0005193871*3600</f>
        <v>1.86979356</v>
      </c>
      <c r="R925">
        <f>-0.0013176452*3600</f>
        <v>-4.7435227199999996</v>
      </c>
    </row>
    <row r="926" spans="1:18" x14ac:dyDescent="0.3">
      <c r="A926" t="s">
        <v>340</v>
      </c>
      <c r="B926" s="4">
        <v>7615</v>
      </c>
      <c r="C926" s="4">
        <v>207.37722400000001</v>
      </c>
      <c r="D926" s="4">
        <v>302.11126200000001</v>
      </c>
      <c r="E926">
        <v>1</v>
      </c>
      <c r="F926">
        <v>1</v>
      </c>
      <c r="G926">
        <v>0</v>
      </c>
      <c r="H926">
        <v>0</v>
      </c>
      <c r="J926" t="s">
        <v>0</v>
      </c>
      <c r="K926" t="s">
        <v>61</v>
      </c>
      <c r="L926">
        <v>0</v>
      </c>
      <c r="M926" t="s">
        <v>52</v>
      </c>
      <c r="N926">
        <v>1</v>
      </c>
      <c r="O926" t="s">
        <v>63</v>
      </c>
      <c r="P926" s="2">
        <v>0.50555555555555554</v>
      </c>
      <c r="Q926">
        <f>0.0004233492*3600</f>
        <v>1.5240571200000002</v>
      </c>
      <c r="R926">
        <f>-0.0013326008*3600</f>
        <v>-4.7973628799999997</v>
      </c>
    </row>
    <row r="927" spans="1:18" x14ac:dyDescent="0.3">
      <c r="A927" t="s">
        <v>340</v>
      </c>
      <c r="B927" s="4">
        <v>7616</v>
      </c>
      <c r="C927" s="4">
        <v>207.377949</v>
      </c>
      <c r="D927" s="4">
        <v>302.11151999999998</v>
      </c>
      <c r="E927">
        <v>1</v>
      </c>
      <c r="F927">
        <v>1</v>
      </c>
      <c r="G927">
        <v>0</v>
      </c>
      <c r="H927">
        <v>0</v>
      </c>
      <c r="J927" t="s">
        <v>0</v>
      </c>
      <c r="K927" t="s">
        <v>61</v>
      </c>
      <c r="L927">
        <v>0</v>
      </c>
      <c r="M927" t="s">
        <v>52</v>
      </c>
      <c r="N927">
        <v>1</v>
      </c>
      <c r="O927" t="s">
        <v>63</v>
      </c>
      <c r="P927" s="2">
        <v>0.50555555555555554</v>
      </c>
      <c r="Q927">
        <f>0.0007096599*3600</f>
        <v>2.5547756400000003</v>
      </c>
      <c r="R927">
        <f>-0.0011078525*3600</f>
        <v>-3.9882690000000003</v>
      </c>
    </row>
    <row r="928" spans="1:18" x14ac:dyDescent="0.3">
      <c r="A928" t="s">
        <v>340</v>
      </c>
      <c r="B928" s="4">
        <v>7617</v>
      </c>
      <c r="C928" s="4">
        <v>207.37846400000001</v>
      </c>
      <c r="D928" s="4">
        <v>302.11148400000002</v>
      </c>
      <c r="E928">
        <v>1</v>
      </c>
      <c r="F928">
        <v>1</v>
      </c>
      <c r="G928">
        <v>0</v>
      </c>
      <c r="H928">
        <v>0</v>
      </c>
      <c r="J928" t="s">
        <v>0</v>
      </c>
      <c r="K928" t="s">
        <v>61</v>
      </c>
      <c r="L928">
        <v>0</v>
      </c>
      <c r="M928" t="s">
        <v>52</v>
      </c>
      <c r="N928">
        <v>1</v>
      </c>
      <c r="O928" t="s">
        <v>63</v>
      </c>
      <c r="P928" s="2">
        <v>0.50624999999999998</v>
      </c>
      <c r="Q928">
        <f>0.0005518979*3600</f>
        <v>1.9868324399999999</v>
      </c>
      <c r="R928">
        <f>-0.0011804085*3600</f>
        <v>-4.2494705999999995</v>
      </c>
    </row>
    <row r="929" spans="1:18" x14ac:dyDescent="0.3">
      <c r="A929" t="s">
        <v>340</v>
      </c>
      <c r="B929" s="4">
        <v>7618</v>
      </c>
      <c r="C929" s="4">
        <v>207.37817200000001</v>
      </c>
      <c r="D929" s="4">
        <v>302.11137200000002</v>
      </c>
      <c r="E929">
        <v>1</v>
      </c>
      <c r="F929">
        <v>1</v>
      </c>
      <c r="G929">
        <v>0</v>
      </c>
      <c r="H929">
        <v>0</v>
      </c>
      <c r="J929" t="s">
        <v>0</v>
      </c>
      <c r="K929" t="s">
        <v>61</v>
      </c>
      <c r="L929">
        <v>0</v>
      </c>
      <c r="M929" t="s">
        <v>52</v>
      </c>
      <c r="N929">
        <v>1</v>
      </c>
      <c r="O929" t="s">
        <v>63</v>
      </c>
      <c r="P929" s="2">
        <v>0.50624999999999998</v>
      </c>
      <c r="Q929">
        <f>0.0005740174*3600</f>
        <v>2.0664626400000001</v>
      </c>
      <c r="R929">
        <f>-0.0012960311*3600</f>
        <v>-4.6657119600000003</v>
      </c>
    </row>
    <row r="930" spans="1:18" x14ac:dyDescent="0.3">
      <c r="A930" t="s">
        <v>340</v>
      </c>
      <c r="B930" s="4">
        <v>7619</v>
      </c>
      <c r="C930" s="4">
        <v>207.37820099999999</v>
      </c>
      <c r="D930" s="4">
        <v>302.11139600000001</v>
      </c>
      <c r="E930">
        <v>1</v>
      </c>
      <c r="F930">
        <v>1</v>
      </c>
      <c r="G930">
        <v>0</v>
      </c>
      <c r="H930">
        <v>0</v>
      </c>
      <c r="J930" t="s">
        <v>0</v>
      </c>
      <c r="K930" t="s">
        <v>61</v>
      </c>
      <c r="L930">
        <v>0</v>
      </c>
      <c r="M930" t="s">
        <v>52</v>
      </c>
      <c r="N930">
        <v>1</v>
      </c>
      <c r="O930" t="s">
        <v>63</v>
      </c>
      <c r="P930" s="2">
        <v>0.50624999999999998</v>
      </c>
      <c r="Q930">
        <f>0.0006448674*3600</f>
        <v>2.32152264</v>
      </c>
      <c r="R930">
        <f>-0.0012576272*3600</f>
        <v>-4.5274579199999998</v>
      </c>
    </row>
    <row r="931" spans="1:18" x14ac:dyDescent="0.3">
      <c r="A931" t="s">
        <v>340</v>
      </c>
      <c r="B931" s="4">
        <v>7620</v>
      </c>
      <c r="C931" s="4">
        <v>207.37891500000001</v>
      </c>
      <c r="D931" s="4">
        <v>302.11136800000003</v>
      </c>
      <c r="E931">
        <v>1</v>
      </c>
      <c r="F931">
        <v>1</v>
      </c>
      <c r="G931">
        <v>0</v>
      </c>
      <c r="H931">
        <v>0</v>
      </c>
      <c r="J931" t="s">
        <v>0</v>
      </c>
      <c r="K931" t="s">
        <v>61</v>
      </c>
      <c r="L931">
        <v>0</v>
      </c>
      <c r="M931" t="s">
        <v>52</v>
      </c>
      <c r="N931">
        <v>1</v>
      </c>
      <c r="O931" t="s">
        <v>63</v>
      </c>
      <c r="P931" s="2">
        <v>0.50624999999999998</v>
      </c>
      <c r="Q931">
        <f>0.0006073729*3600</f>
        <v>2.1865424400000002</v>
      </c>
      <c r="R931">
        <f>-0.0012969421*3600</f>
        <v>-4.6689915600000003</v>
      </c>
    </row>
    <row r="932" spans="1:18" x14ac:dyDescent="0.3">
      <c r="A932" t="s">
        <v>340</v>
      </c>
      <c r="B932" s="4">
        <v>7621</v>
      </c>
      <c r="C932" s="4">
        <v>207.37805299999999</v>
      </c>
      <c r="D932" s="4">
        <v>302.111448</v>
      </c>
      <c r="E932">
        <v>1</v>
      </c>
      <c r="F932">
        <v>1</v>
      </c>
      <c r="G932">
        <v>0</v>
      </c>
      <c r="H932">
        <v>0</v>
      </c>
      <c r="J932" t="s">
        <v>0</v>
      </c>
      <c r="K932" t="s">
        <v>61</v>
      </c>
      <c r="L932">
        <v>0</v>
      </c>
      <c r="M932" t="s">
        <v>52</v>
      </c>
      <c r="N932">
        <v>1</v>
      </c>
      <c r="O932" t="s">
        <v>63</v>
      </c>
      <c r="P932" s="2">
        <v>0.50624999999999998</v>
      </c>
      <c r="Q932">
        <f>0.0004978612*3600</f>
        <v>1.7923003200000001</v>
      </c>
      <c r="R932">
        <f>-0.0012448855*3600</f>
        <v>-4.4815877999999998</v>
      </c>
    </row>
    <row r="933" spans="1:18" x14ac:dyDescent="0.3">
      <c r="A933" t="s">
        <v>340</v>
      </c>
      <c r="B933" s="4">
        <v>7622</v>
      </c>
      <c r="C933" s="4">
        <v>207.37863999999999</v>
      </c>
      <c r="D933" s="4">
        <v>302.11148600000001</v>
      </c>
      <c r="E933">
        <v>1</v>
      </c>
      <c r="F933">
        <v>1</v>
      </c>
      <c r="G933">
        <v>0</v>
      </c>
      <c r="H933">
        <v>0</v>
      </c>
      <c r="J933" t="s">
        <v>0</v>
      </c>
      <c r="K933" t="s">
        <v>61</v>
      </c>
      <c r="L933">
        <v>0</v>
      </c>
      <c r="M933" t="s">
        <v>52</v>
      </c>
      <c r="N933">
        <v>1</v>
      </c>
      <c r="O933" t="s">
        <v>63</v>
      </c>
      <c r="P933" s="2">
        <v>0.50624999999999998</v>
      </c>
      <c r="Q933">
        <f>0.0007161411*3600</f>
        <v>2.5781079600000001</v>
      </c>
      <c r="R933">
        <f>-0.0011902982*3600</f>
        <v>-4.2850735200000001</v>
      </c>
    </row>
    <row r="934" spans="1:18" x14ac:dyDescent="0.3">
      <c r="A934" t="s">
        <v>340</v>
      </c>
      <c r="B934" s="4">
        <v>7623</v>
      </c>
      <c r="C934" s="4">
        <v>207.37909200000001</v>
      </c>
      <c r="D934" s="4">
        <v>302.11151000000001</v>
      </c>
      <c r="E934">
        <v>1</v>
      </c>
      <c r="F934">
        <v>1</v>
      </c>
      <c r="G934">
        <v>0</v>
      </c>
      <c r="H934">
        <v>0</v>
      </c>
      <c r="J934" t="s">
        <v>0</v>
      </c>
      <c r="K934" t="s">
        <v>61</v>
      </c>
      <c r="L934">
        <v>0</v>
      </c>
      <c r="M934" t="s">
        <v>52</v>
      </c>
      <c r="N934">
        <v>1</v>
      </c>
      <c r="O934" t="s">
        <v>63</v>
      </c>
      <c r="P934" s="2">
        <v>0.50624999999999998</v>
      </c>
      <c r="Q934">
        <f>0.0007468836*3600</f>
        <v>2.6887809600000003</v>
      </c>
      <c r="R934">
        <f>-0.001195624*3600</f>
        <v>-4.3042464000000002</v>
      </c>
    </row>
    <row r="935" spans="1:18" x14ac:dyDescent="0.3">
      <c r="A935" t="s">
        <v>340</v>
      </c>
      <c r="B935" s="4">
        <v>7624</v>
      </c>
      <c r="C935" s="4">
        <v>207.37949699999999</v>
      </c>
      <c r="D935" s="4">
        <v>302.111512</v>
      </c>
      <c r="E935">
        <v>1</v>
      </c>
      <c r="F935">
        <v>1</v>
      </c>
      <c r="G935">
        <v>0</v>
      </c>
      <c r="H935">
        <v>0</v>
      </c>
      <c r="J935" t="s">
        <v>0</v>
      </c>
      <c r="K935" t="s">
        <v>61</v>
      </c>
      <c r="L935">
        <v>0</v>
      </c>
      <c r="M935" t="s">
        <v>52</v>
      </c>
      <c r="N935">
        <v>1</v>
      </c>
      <c r="O935" t="s">
        <v>63</v>
      </c>
      <c r="P935" s="2">
        <v>0.50624999999999998</v>
      </c>
      <c r="Q935">
        <f>0.0006276434*3600</f>
        <v>2.25951624</v>
      </c>
      <c r="R935">
        <f>-0.0011976346*3600</f>
        <v>-4.3114845599999994</v>
      </c>
    </row>
    <row r="936" spans="1:18" x14ac:dyDescent="0.3">
      <c r="A936" t="s">
        <v>340</v>
      </c>
      <c r="B936" s="4">
        <v>7625</v>
      </c>
      <c r="C936" s="4">
        <v>207.378649</v>
      </c>
      <c r="D936" s="4">
        <v>302.11143399999997</v>
      </c>
      <c r="E936">
        <v>1</v>
      </c>
      <c r="F936">
        <v>1</v>
      </c>
      <c r="G936">
        <v>0</v>
      </c>
      <c r="H936">
        <v>0</v>
      </c>
      <c r="J936" t="s">
        <v>0</v>
      </c>
      <c r="K936" t="s">
        <v>61</v>
      </c>
      <c r="L936">
        <v>0</v>
      </c>
      <c r="M936" t="s">
        <v>52</v>
      </c>
      <c r="N936">
        <v>1</v>
      </c>
      <c r="O936" t="s">
        <v>63</v>
      </c>
      <c r="P936" s="2">
        <v>0.50624999999999998</v>
      </c>
      <c r="Q936">
        <f>0.000629588*3600</f>
        <v>2.2665168000000002</v>
      </c>
      <c r="R936">
        <f>-0.001243531*3600</f>
        <v>-4.4767115999999998</v>
      </c>
    </row>
    <row r="937" spans="1:18" x14ac:dyDescent="0.3">
      <c r="A937" t="s">
        <v>340</v>
      </c>
      <c r="B937" s="4">
        <v>7626</v>
      </c>
      <c r="C937" s="4">
        <v>207.37769299999999</v>
      </c>
      <c r="D937" s="4">
        <v>302.11141400000002</v>
      </c>
      <c r="E937">
        <v>1</v>
      </c>
      <c r="F937">
        <v>1</v>
      </c>
      <c r="G937">
        <v>0</v>
      </c>
      <c r="H937">
        <v>0</v>
      </c>
      <c r="J937" t="s">
        <v>0</v>
      </c>
      <c r="K937" t="s">
        <v>61</v>
      </c>
      <c r="L937">
        <v>0</v>
      </c>
      <c r="M937" t="s">
        <v>52</v>
      </c>
      <c r="N937">
        <v>1</v>
      </c>
      <c r="O937" t="s">
        <v>63</v>
      </c>
      <c r="P937" s="2">
        <v>0.50624999999999998</v>
      </c>
      <c r="Q937">
        <f>0.0005789821*3600</f>
        <v>2.08433556</v>
      </c>
      <c r="R937">
        <f>-0.0012767566*3600</f>
        <v>-4.5963237599999998</v>
      </c>
    </row>
    <row r="938" spans="1:18" x14ac:dyDescent="0.3">
      <c r="A938" t="s">
        <v>340</v>
      </c>
      <c r="B938" s="4">
        <v>7627</v>
      </c>
      <c r="C938" s="4">
        <v>207.377332</v>
      </c>
      <c r="D938" s="4">
        <v>302.10638699999998</v>
      </c>
      <c r="E938">
        <v>1</v>
      </c>
      <c r="F938">
        <v>1</v>
      </c>
      <c r="G938">
        <v>0</v>
      </c>
      <c r="H938">
        <v>0</v>
      </c>
      <c r="J938" t="s">
        <v>0</v>
      </c>
      <c r="K938" t="s">
        <v>61</v>
      </c>
      <c r="L938">
        <v>0</v>
      </c>
      <c r="M938" t="s">
        <v>52</v>
      </c>
      <c r="N938">
        <v>1</v>
      </c>
      <c r="O938" t="s">
        <v>63</v>
      </c>
      <c r="P938" s="2">
        <v>0.50624999999999998</v>
      </c>
      <c r="Q938">
        <f>0.0005650273*3600</f>
        <v>2.0340982799999998</v>
      </c>
      <c r="R938">
        <f>-0.0013506765*3600</f>
        <v>-4.8624353999999999</v>
      </c>
    </row>
    <row r="939" spans="1:18" x14ac:dyDescent="0.3">
      <c r="A939" t="s">
        <v>340</v>
      </c>
      <c r="B939" s="4">
        <v>7628</v>
      </c>
      <c r="C939" s="4">
        <v>207.377838</v>
      </c>
      <c r="D939" s="4">
        <v>302.10647299999999</v>
      </c>
      <c r="E939">
        <v>1</v>
      </c>
      <c r="F939">
        <v>1</v>
      </c>
      <c r="G939">
        <v>0</v>
      </c>
      <c r="H939">
        <v>0</v>
      </c>
      <c r="J939" t="s">
        <v>0</v>
      </c>
      <c r="K939" t="s">
        <v>61</v>
      </c>
      <c r="L939">
        <v>0</v>
      </c>
      <c r="M939" t="s">
        <v>52</v>
      </c>
      <c r="N939">
        <v>1</v>
      </c>
      <c r="O939" t="s">
        <v>63</v>
      </c>
      <c r="P939" s="2">
        <v>0.50624999999999998</v>
      </c>
      <c r="Q939">
        <f>0.0007593879*3600</f>
        <v>2.7337964399999999</v>
      </c>
      <c r="R939">
        <f>-0.0012408316*3600</f>
        <v>-4.4669937600000003</v>
      </c>
    </row>
    <row r="940" spans="1:18" x14ac:dyDescent="0.3">
      <c r="A940" t="s">
        <v>340</v>
      </c>
      <c r="B940" s="4">
        <v>7629</v>
      </c>
      <c r="C940" s="4">
        <v>207.37753799999999</v>
      </c>
      <c r="D940" s="4">
        <v>302.10630900000001</v>
      </c>
      <c r="E940">
        <v>1</v>
      </c>
      <c r="F940">
        <v>1</v>
      </c>
      <c r="G940">
        <v>0</v>
      </c>
      <c r="H940">
        <v>0</v>
      </c>
      <c r="J940" t="s">
        <v>0</v>
      </c>
      <c r="K940" t="s">
        <v>61</v>
      </c>
      <c r="L940">
        <v>0</v>
      </c>
      <c r="M940" t="s">
        <v>52</v>
      </c>
      <c r="N940">
        <v>1</v>
      </c>
      <c r="O940" t="s">
        <v>63</v>
      </c>
      <c r="P940" s="2">
        <v>0.50624999999999998</v>
      </c>
      <c r="Q940">
        <f>0.0004207686*3600</f>
        <v>1.51476696</v>
      </c>
      <c r="R940">
        <f>-0.0013671326*3600</f>
        <v>-4.9216773600000003</v>
      </c>
    </row>
    <row r="941" spans="1:18" x14ac:dyDescent="0.3">
      <c r="A941" t="s">
        <v>340</v>
      </c>
      <c r="B941" s="4">
        <v>7630</v>
      </c>
      <c r="C941" s="4">
        <v>207.37800300000001</v>
      </c>
      <c r="D941" s="4">
        <v>302.10629499999999</v>
      </c>
      <c r="E941">
        <v>1</v>
      </c>
      <c r="F941">
        <v>1</v>
      </c>
      <c r="G941">
        <v>0</v>
      </c>
      <c r="H941">
        <v>0</v>
      </c>
      <c r="J941" t="s">
        <v>0</v>
      </c>
      <c r="K941" t="s">
        <v>61</v>
      </c>
      <c r="L941">
        <v>0</v>
      </c>
      <c r="M941" t="s">
        <v>52</v>
      </c>
      <c r="N941">
        <v>1</v>
      </c>
      <c r="O941" t="s">
        <v>63</v>
      </c>
      <c r="P941" s="2">
        <v>0.50624999999999998</v>
      </c>
      <c r="Q941">
        <f>0.0005015998*3600</f>
        <v>1.80575928</v>
      </c>
      <c r="R941">
        <f>-0.0013842792*3600</f>
        <v>-4.9834051200000005</v>
      </c>
    </row>
    <row r="942" spans="1:18" x14ac:dyDescent="0.3">
      <c r="A942" t="s">
        <v>340</v>
      </c>
      <c r="B942" s="4">
        <v>7631</v>
      </c>
      <c r="C942" s="4">
        <v>207.37732299999999</v>
      </c>
      <c r="D942" s="4">
        <v>302.10641900000002</v>
      </c>
      <c r="E942">
        <v>1</v>
      </c>
      <c r="F942">
        <v>1</v>
      </c>
      <c r="G942">
        <v>0</v>
      </c>
      <c r="H942">
        <v>0</v>
      </c>
      <c r="J942" t="s">
        <v>0</v>
      </c>
      <c r="K942" t="s">
        <v>61</v>
      </c>
      <c r="L942">
        <v>0</v>
      </c>
      <c r="M942" t="s">
        <v>52</v>
      </c>
      <c r="N942">
        <v>1</v>
      </c>
      <c r="O942" t="s">
        <v>63</v>
      </c>
      <c r="P942" s="2">
        <v>0.50624999999999998</v>
      </c>
      <c r="Q942">
        <f>0.000549055*3600</f>
        <v>1.9765980000000001</v>
      </c>
      <c r="R942">
        <f>-0.0012603852*3600</f>
        <v>-4.5373867199999998</v>
      </c>
    </row>
    <row r="943" spans="1:18" x14ac:dyDescent="0.3">
      <c r="A943" t="s">
        <v>340</v>
      </c>
      <c r="B943" s="4">
        <v>7632</v>
      </c>
      <c r="C943" s="4">
        <v>207.37919299999999</v>
      </c>
      <c r="D943" s="4">
        <v>302.106357</v>
      </c>
      <c r="E943">
        <v>1</v>
      </c>
      <c r="F943">
        <v>1</v>
      </c>
      <c r="G943">
        <v>0</v>
      </c>
      <c r="H943">
        <v>0</v>
      </c>
      <c r="J943" t="s">
        <v>0</v>
      </c>
      <c r="K943" t="s">
        <v>61</v>
      </c>
      <c r="L943">
        <v>0</v>
      </c>
      <c r="M943" t="s">
        <v>52</v>
      </c>
      <c r="N943">
        <v>1</v>
      </c>
      <c r="O943" t="s">
        <v>63</v>
      </c>
      <c r="P943" s="2">
        <v>0.50624999999999998</v>
      </c>
      <c r="Q943">
        <f>0.0006340651*3600</f>
        <v>2.2826343599999999</v>
      </c>
      <c r="R943">
        <f>-0.0013203746*3600</f>
        <v>-4.7533485600000001</v>
      </c>
    </row>
    <row r="944" spans="1:18" x14ac:dyDescent="0.3">
      <c r="A944" t="s">
        <v>340</v>
      </c>
      <c r="B944" s="4">
        <v>7633</v>
      </c>
      <c r="C944" s="4">
        <v>207.37917400000001</v>
      </c>
      <c r="D944" s="4">
        <v>302.10638299999999</v>
      </c>
      <c r="E944">
        <v>1</v>
      </c>
      <c r="F944">
        <v>1</v>
      </c>
      <c r="G944">
        <v>0</v>
      </c>
      <c r="H944">
        <v>0</v>
      </c>
      <c r="J944" t="s">
        <v>0</v>
      </c>
      <c r="K944" t="s">
        <v>61</v>
      </c>
      <c r="L944">
        <v>0</v>
      </c>
      <c r="M944" t="s">
        <v>52</v>
      </c>
      <c r="N944">
        <v>1</v>
      </c>
      <c r="O944" t="s">
        <v>63</v>
      </c>
      <c r="P944" s="2">
        <v>0.50624999999999998</v>
      </c>
      <c r="Q944">
        <f>0.0005993462*3600</f>
        <v>2.15764632</v>
      </c>
      <c r="R944">
        <f>-0.0012891081*3600</f>
        <v>-4.6407891599999997</v>
      </c>
    </row>
    <row r="945" spans="1:18" x14ac:dyDescent="0.3">
      <c r="A945" t="s">
        <v>340</v>
      </c>
      <c r="B945" s="4">
        <v>7634</v>
      </c>
      <c r="C945" s="4">
        <v>207.378996</v>
      </c>
      <c r="D945" s="4">
        <v>302.10628500000001</v>
      </c>
      <c r="E945">
        <v>1</v>
      </c>
      <c r="F945">
        <v>1</v>
      </c>
      <c r="G945">
        <v>0</v>
      </c>
      <c r="H945">
        <v>0</v>
      </c>
      <c r="J945" t="s">
        <v>0</v>
      </c>
      <c r="K945" t="s">
        <v>61</v>
      </c>
      <c r="L945">
        <v>0</v>
      </c>
      <c r="M945" t="s">
        <v>52</v>
      </c>
      <c r="N945">
        <v>1</v>
      </c>
      <c r="O945" t="s">
        <v>63</v>
      </c>
      <c r="P945" s="2">
        <v>0.50624999999999998</v>
      </c>
      <c r="Q945">
        <f>0.0005460706*3600</f>
        <v>1.9658541600000001</v>
      </c>
      <c r="R945">
        <f>-0.0013598573*3600</f>
        <v>-4.8954862800000001</v>
      </c>
    </row>
    <row r="946" spans="1:18" x14ac:dyDescent="0.3">
      <c r="A946" t="s">
        <v>340</v>
      </c>
      <c r="B946" s="4">
        <v>7635</v>
      </c>
      <c r="C946" s="4">
        <v>207.37879699999999</v>
      </c>
      <c r="D946" s="4">
        <v>302.10636599999998</v>
      </c>
      <c r="E946">
        <v>1</v>
      </c>
      <c r="F946">
        <v>1</v>
      </c>
      <c r="G946">
        <v>0</v>
      </c>
      <c r="H946">
        <v>0</v>
      </c>
      <c r="J946" t="s">
        <v>0</v>
      </c>
      <c r="K946" t="s">
        <v>61</v>
      </c>
      <c r="L946">
        <v>0</v>
      </c>
      <c r="M946" t="s">
        <v>52</v>
      </c>
      <c r="N946">
        <v>1</v>
      </c>
      <c r="O946" t="s">
        <v>63</v>
      </c>
      <c r="P946" s="2">
        <v>0.50624999999999998</v>
      </c>
      <c r="Q946">
        <f>0.0006181363*3600</f>
        <v>2.2252906800000001</v>
      </c>
      <c r="R946">
        <f>-0.0013127752*3600</f>
        <v>-4.7259907200000004</v>
      </c>
    </row>
    <row r="947" spans="1:18" x14ac:dyDescent="0.3">
      <c r="A947" t="s">
        <v>340</v>
      </c>
      <c r="B947" s="4">
        <v>7636</v>
      </c>
      <c r="C947" s="4">
        <v>207.37775999999999</v>
      </c>
      <c r="D947" s="4">
        <v>302.106268</v>
      </c>
      <c r="E947">
        <v>1</v>
      </c>
      <c r="F947">
        <v>1</v>
      </c>
      <c r="G947">
        <v>0</v>
      </c>
      <c r="H947">
        <v>0</v>
      </c>
      <c r="J947" t="s">
        <v>0</v>
      </c>
      <c r="K947" t="s">
        <v>61</v>
      </c>
      <c r="L947">
        <v>0</v>
      </c>
      <c r="M947" t="s">
        <v>52</v>
      </c>
      <c r="N947">
        <v>1</v>
      </c>
      <c r="O947" t="s">
        <v>63</v>
      </c>
      <c r="P947" s="2">
        <v>0.50624999999999998</v>
      </c>
      <c r="Q947">
        <f>0.0005506929*3600</f>
        <v>1.9824944399999997</v>
      </c>
      <c r="R947">
        <f>-0.001372217*3600</f>
        <v>-4.9399812000000001</v>
      </c>
    </row>
    <row r="948" spans="1:18" x14ac:dyDescent="0.3">
      <c r="A948" t="s">
        <v>340</v>
      </c>
      <c r="B948" s="4">
        <v>7637</v>
      </c>
      <c r="C948" s="4">
        <v>207.37715</v>
      </c>
      <c r="D948" s="4">
        <v>302.10636399999999</v>
      </c>
      <c r="E948">
        <v>1</v>
      </c>
      <c r="F948">
        <v>1</v>
      </c>
      <c r="G948">
        <v>0</v>
      </c>
      <c r="H948">
        <v>0</v>
      </c>
      <c r="J948" t="s">
        <v>0</v>
      </c>
      <c r="K948" t="s">
        <v>61</v>
      </c>
      <c r="L948">
        <v>0</v>
      </c>
      <c r="M948" t="s">
        <v>52</v>
      </c>
      <c r="N948">
        <v>1</v>
      </c>
      <c r="O948" t="s">
        <v>63</v>
      </c>
      <c r="P948" s="2">
        <v>0.50624999999999998</v>
      </c>
      <c r="Q948">
        <f>0.0007428713*3600</f>
        <v>2.6743366800000001</v>
      </c>
      <c r="R948">
        <f>-0.001290161*3600</f>
        <v>-4.6445796000000001</v>
      </c>
    </row>
    <row r="949" spans="1:18" x14ac:dyDescent="0.3">
      <c r="A949" t="s">
        <v>340</v>
      </c>
      <c r="B949" s="4">
        <v>7638</v>
      </c>
      <c r="C949" s="4">
        <v>207.377095</v>
      </c>
      <c r="D949" s="4">
        <v>302.106224</v>
      </c>
      <c r="E949">
        <v>1</v>
      </c>
      <c r="F949">
        <v>1</v>
      </c>
      <c r="G949">
        <v>0</v>
      </c>
      <c r="H949">
        <v>0</v>
      </c>
      <c r="J949" t="s">
        <v>0</v>
      </c>
      <c r="K949" t="s">
        <v>61</v>
      </c>
      <c r="L949">
        <v>0</v>
      </c>
      <c r="M949" t="s">
        <v>52</v>
      </c>
      <c r="N949">
        <v>1</v>
      </c>
      <c r="O949" t="s">
        <v>63</v>
      </c>
      <c r="P949" s="2">
        <v>0.50624999999999998</v>
      </c>
      <c r="Q949">
        <f>0.0005574175*3600</f>
        <v>2.0067029999999999</v>
      </c>
      <c r="R949">
        <f>-0.0014247808*3600</f>
        <v>-5.1292108799999996</v>
      </c>
    </row>
    <row r="950" spans="1:18" x14ac:dyDescent="0.3">
      <c r="A950" t="s">
        <v>340</v>
      </c>
      <c r="B950" s="4">
        <v>7639</v>
      </c>
      <c r="C950" s="4">
        <v>207.37752</v>
      </c>
      <c r="D950" s="4">
        <v>302.10625599999997</v>
      </c>
      <c r="E950">
        <v>1</v>
      </c>
      <c r="F950">
        <v>1</v>
      </c>
      <c r="G950">
        <v>0</v>
      </c>
      <c r="H950">
        <v>0</v>
      </c>
      <c r="J950" t="s">
        <v>0</v>
      </c>
      <c r="K950" t="s">
        <v>61</v>
      </c>
      <c r="L950">
        <v>0</v>
      </c>
      <c r="M950" t="s">
        <v>52</v>
      </c>
      <c r="N950">
        <v>1</v>
      </c>
      <c r="O950" t="s">
        <v>63</v>
      </c>
      <c r="P950" s="2">
        <v>0.50624999999999998</v>
      </c>
      <c r="Q950">
        <f>0.0005509448*3600</f>
        <v>1.98340128</v>
      </c>
      <c r="R950">
        <f>-0.0013920077*3600</f>
        <v>-5.0112277199999999</v>
      </c>
    </row>
    <row r="951" spans="1:18" x14ac:dyDescent="0.3">
      <c r="A951" t="s">
        <v>340</v>
      </c>
      <c r="B951" s="4">
        <v>7640</v>
      </c>
      <c r="C951" s="4">
        <v>207.37783400000001</v>
      </c>
      <c r="D951" s="4">
        <v>302.106379</v>
      </c>
      <c r="E951">
        <v>1</v>
      </c>
      <c r="F951">
        <v>1</v>
      </c>
      <c r="G951">
        <v>0</v>
      </c>
      <c r="H951">
        <v>0</v>
      </c>
      <c r="J951" t="s">
        <v>0</v>
      </c>
      <c r="K951" t="s">
        <v>61</v>
      </c>
      <c r="L951">
        <v>0</v>
      </c>
      <c r="M951" t="s">
        <v>52</v>
      </c>
      <c r="N951">
        <v>1</v>
      </c>
      <c r="O951" t="s">
        <v>63</v>
      </c>
      <c r="P951" s="2">
        <v>0.50624999999999998</v>
      </c>
      <c r="Q951">
        <f>0.00070221*3600</f>
        <v>2.5279560000000001</v>
      </c>
      <c r="R951">
        <f>-0.0012705786*3600</f>
        <v>-4.5740829600000001</v>
      </c>
    </row>
    <row r="952" spans="1:18" x14ac:dyDescent="0.3">
      <c r="A952" t="s">
        <v>340</v>
      </c>
      <c r="B952" s="4">
        <v>7641</v>
      </c>
      <c r="C952" s="4">
        <v>207.37716599999999</v>
      </c>
      <c r="D952" s="4">
        <v>302.10630900000001</v>
      </c>
      <c r="E952">
        <v>1</v>
      </c>
      <c r="F952">
        <v>1</v>
      </c>
      <c r="G952">
        <v>0</v>
      </c>
      <c r="H952">
        <v>0</v>
      </c>
      <c r="J952" t="s">
        <v>0</v>
      </c>
      <c r="K952" t="s">
        <v>61</v>
      </c>
      <c r="L952">
        <v>0</v>
      </c>
      <c r="M952" t="s">
        <v>52</v>
      </c>
      <c r="N952">
        <v>1</v>
      </c>
      <c r="O952" t="s">
        <v>63</v>
      </c>
      <c r="P952" s="2">
        <v>0.50624999999999998</v>
      </c>
      <c r="Q952">
        <f>0.0006159279*3600</f>
        <v>2.2173404400000001</v>
      </c>
      <c r="R952">
        <f>-0.0012993183*3600</f>
        <v>-4.6775458799999994</v>
      </c>
    </row>
    <row r="953" spans="1:18" x14ac:dyDescent="0.3">
      <c r="A953" t="s">
        <v>340</v>
      </c>
      <c r="B953" s="4">
        <v>7642</v>
      </c>
      <c r="C953" s="4">
        <v>207.378579</v>
      </c>
      <c r="D953" s="4">
        <v>302.10633799999999</v>
      </c>
      <c r="E953">
        <v>1</v>
      </c>
      <c r="F953">
        <v>1</v>
      </c>
      <c r="G953">
        <v>0</v>
      </c>
      <c r="H953">
        <v>0</v>
      </c>
      <c r="J953" t="s">
        <v>0</v>
      </c>
      <c r="K953" t="s">
        <v>61</v>
      </c>
      <c r="L953">
        <v>0</v>
      </c>
      <c r="M953" t="s">
        <v>52</v>
      </c>
      <c r="N953">
        <v>1</v>
      </c>
      <c r="O953" t="s">
        <v>63</v>
      </c>
      <c r="P953" s="2">
        <v>0.50624999999999998</v>
      </c>
      <c r="Q953">
        <f>0.0009229916*3600</f>
        <v>3.3227697599999999</v>
      </c>
      <c r="R953">
        <f>-0.0012087646*3600</f>
        <v>-4.35155256</v>
      </c>
    </row>
    <row r="954" spans="1:18" x14ac:dyDescent="0.3">
      <c r="A954" t="s">
        <v>340</v>
      </c>
      <c r="B954" s="4">
        <v>7643</v>
      </c>
      <c r="C954" s="4">
        <v>207.380009</v>
      </c>
      <c r="D954" s="4">
        <v>302.10613799999999</v>
      </c>
      <c r="E954">
        <v>1</v>
      </c>
      <c r="F954">
        <v>1</v>
      </c>
      <c r="G954">
        <v>0</v>
      </c>
      <c r="H954">
        <v>0</v>
      </c>
      <c r="J954" t="s">
        <v>0</v>
      </c>
      <c r="K954" t="s">
        <v>61</v>
      </c>
      <c r="L954">
        <v>0</v>
      </c>
      <c r="M954" t="s">
        <v>52</v>
      </c>
      <c r="N954">
        <v>1</v>
      </c>
      <c r="O954" t="s">
        <v>63</v>
      </c>
      <c r="P954" s="2">
        <v>0.50694444444444442</v>
      </c>
      <c r="Q954">
        <f>0.0005808236*3600</f>
        <v>2.09096496</v>
      </c>
      <c r="R954">
        <f>-0.00141662*3600</f>
        <v>-5.0998320000000001</v>
      </c>
    </row>
    <row r="955" spans="1:18" x14ac:dyDescent="0.3">
      <c r="A955" t="s">
        <v>340</v>
      </c>
      <c r="B955" s="4">
        <v>7644</v>
      </c>
      <c r="C955" s="4">
        <v>207.37907799999999</v>
      </c>
      <c r="D955" s="4">
        <v>302.10627699999998</v>
      </c>
      <c r="E955">
        <v>1</v>
      </c>
      <c r="F955">
        <v>1</v>
      </c>
      <c r="G955">
        <v>0</v>
      </c>
      <c r="H955">
        <v>0</v>
      </c>
      <c r="J955" t="s">
        <v>0</v>
      </c>
      <c r="K955" t="s">
        <v>61</v>
      </c>
      <c r="L955">
        <v>0</v>
      </c>
      <c r="M955" t="s">
        <v>52</v>
      </c>
      <c r="N955">
        <v>1</v>
      </c>
      <c r="O955" t="s">
        <v>63</v>
      </c>
      <c r="P955" s="2">
        <v>0.50694444444444442</v>
      </c>
      <c r="Q955">
        <f>0.0007712828*3600</f>
        <v>2.77661808</v>
      </c>
      <c r="R955">
        <f>-0.0012560209*3600</f>
        <v>-4.5216752399999995</v>
      </c>
    </row>
    <row r="956" spans="1:18" x14ac:dyDescent="0.3">
      <c r="A956" t="s">
        <v>340</v>
      </c>
      <c r="B956" s="4">
        <v>7645</v>
      </c>
      <c r="C956" s="4">
        <v>207.37947199999999</v>
      </c>
      <c r="D956" s="4">
        <v>302.10627799999997</v>
      </c>
      <c r="E956">
        <v>1</v>
      </c>
      <c r="F956">
        <v>1</v>
      </c>
      <c r="G956">
        <v>0</v>
      </c>
      <c r="H956">
        <v>0</v>
      </c>
      <c r="J956" t="s">
        <v>0</v>
      </c>
      <c r="K956" t="s">
        <v>61</v>
      </c>
      <c r="L956">
        <v>0</v>
      </c>
      <c r="M956" t="s">
        <v>52</v>
      </c>
      <c r="N956">
        <v>1</v>
      </c>
      <c r="O956" t="s">
        <v>63</v>
      </c>
      <c r="P956" s="2">
        <v>0.50694444444444442</v>
      </c>
      <c r="Q956">
        <f>0.0006035158*3600</f>
        <v>2.1726568800000003</v>
      </c>
      <c r="R956">
        <f>-0.0012533952*3600</f>
        <v>-4.5122227200000005</v>
      </c>
    </row>
    <row r="957" spans="1:18" x14ac:dyDescent="0.3">
      <c r="A957" t="s">
        <v>340</v>
      </c>
      <c r="B957" s="4">
        <v>7646</v>
      </c>
      <c r="C957" s="4">
        <v>207.37892199999999</v>
      </c>
      <c r="D957" s="4">
        <v>302.10621900000001</v>
      </c>
      <c r="E957">
        <v>1</v>
      </c>
      <c r="F957">
        <v>1</v>
      </c>
      <c r="G957">
        <v>0</v>
      </c>
      <c r="H957">
        <v>0</v>
      </c>
      <c r="J957" t="s">
        <v>0</v>
      </c>
      <c r="K957" t="s">
        <v>61</v>
      </c>
      <c r="L957">
        <v>0</v>
      </c>
      <c r="M957" t="s">
        <v>52</v>
      </c>
      <c r="N957">
        <v>1</v>
      </c>
      <c r="O957" t="s">
        <v>63</v>
      </c>
      <c r="P957" s="2">
        <v>0.50694444444444442</v>
      </c>
      <c r="Q957">
        <f>0.0006663094*3600</f>
        <v>2.3987138400000001</v>
      </c>
      <c r="R957">
        <f>-0.0013177704*3600</f>
        <v>-4.7439734399999995</v>
      </c>
    </row>
    <row r="958" spans="1:18" x14ac:dyDescent="0.3">
      <c r="A958" t="s">
        <v>340</v>
      </c>
      <c r="B958" s="4">
        <v>7647</v>
      </c>
      <c r="C958" s="4">
        <v>207.3792</v>
      </c>
      <c r="D958" s="4">
        <v>302.106337</v>
      </c>
      <c r="E958">
        <v>1</v>
      </c>
      <c r="F958">
        <v>1</v>
      </c>
      <c r="G958">
        <v>0</v>
      </c>
      <c r="H958">
        <v>0</v>
      </c>
      <c r="J958" t="s">
        <v>0</v>
      </c>
      <c r="K958" t="s">
        <v>61</v>
      </c>
      <c r="L958">
        <v>0</v>
      </c>
      <c r="M958" t="s">
        <v>52</v>
      </c>
      <c r="N958">
        <v>1</v>
      </c>
      <c r="O958" t="s">
        <v>63</v>
      </c>
      <c r="P958" s="2">
        <v>0.50694444444444442</v>
      </c>
      <c r="Q958">
        <f>0.0008255981*3600</f>
        <v>2.97215316</v>
      </c>
      <c r="R958">
        <f>-0.0011890457*3600</f>
        <v>-4.2805645199999995</v>
      </c>
    </row>
    <row r="959" spans="1:18" x14ac:dyDescent="0.3">
      <c r="A959" t="s">
        <v>340</v>
      </c>
      <c r="B959" s="4">
        <v>7648</v>
      </c>
      <c r="C959" s="4">
        <v>207.379097</v>
      </c>
      <c r="D959" s="4">
        <v>302.10615799999999</v>
      </c>
      <c r="E959">
        <v>1</v>
      </c>
      <c r="F959">
        <v>1</v>
      </c>
      <c r="G959">
        <v>0</v>
      </c>
      <c r="H959">
        <v>0</v>
      </c>
      <c r="J959" t="s">
        <v>0</v>
      </c>
      <c r="K959" t="s">
        <v>61</v>
      </c>
      <c r="L959">
        <v>0</v>
      </c>
      <c r="M959" t="s">
        <v>52</v>
      </c>
      <c r="N959">
        <v>1</v>
      </c>
      <c r="O959" t="s">
        <v>63</v>
      </c>
      <c r="P959" s="2">
        <v>0.50694444444444442</v>
      </c>
      <c r="Q959">
        <f>0.0005807863*3600</f>
        <v>2.0908306799999998</v>
      </c>
      <c r="R959">
        <f>-0.0013507946*3600</f>
        <v>-4.8628605599999997</v>
      </c>
    </row>
    <row r="960" spans="1:18" x14ac:dyDescent="0.3">
      <c r="A960" t="s">
        <v>340</v>
      </c>
      <c r="B960" s="4">
        <v>7649</v>
      </c>
      <c r="C960" s="4">
        <v>207.37818799999999</v>
      </c>
      <c r="D960" s="4">
        <v>302.10613499999999</v>
      </c>
      <c r="E960">
        <v>1</v>
      </c>
      <c r="F960">
        <v>1</v>
      </c>
      <c r="G960">
        <v>0</v>
      </c>
      <c r="H960">
        <v>0</v>
      </c>
      <c r="J960" t="s">
        <v>0</v>
      </c>
      <c r="K960" t="s">
        <v>61</v>
      </c>
      <c r="L960">
        <v>0</v>
      </c>
      <c r="M960" t="s">
        <v>52</v>
      </c>
      <c r="N960">
        <v>1</v>
      </c>
      <c r="O960" t="s">
        <v>63</v>
      </c>
      <c r="P960" s="2">
        <v>0.50694444444444442</v>
      </c>
      <c r="Q960">
        <f>0.0004888794*3600</f>
        <v>1.7599658400000002</v>
      </c>
      <c r="R960">
        <f>-0.001374273*3600</f>
        <v>-4.9473828000000006</v>
      </c>
    </row>
    <row r="961" spans="1:18" x14ac:dyDescent="0.3">
      <c r="A961" t="s">
        <v>340</v>
      </c>
      <c r="B961" s="4">
        <v>7650</v>
      </c>
      <c r="C961" s="4">
        <v>207.37867600000001</v>
      </c>
      <c r="D961" s="4">
        <v>302.10616800000003</v>
      </c>
      <c r="E961">
        <v>1</v>
      </c>
      <c r="F961">
        <v>1</v>
      </c>
      <c r="G961">
        <v>0</v>
      </c>
      <c r="H961">
        <v>0</v>
      </c>
      <c r="J961" t="s">
        <v>0</v>
      </c>
      <c r="K961" t="s">
        <v>61</v>
      </c>
      <c r="L961">
        <v>0</v>
      </c>
      <c r="M961" t="s">
        <v>52</v>
      </c>
      <c r="N961">
        <v>1</v>
      </c>
      <c r="O961" t="s">
        <v>63</v>
      </c>
      <c r="P961" s="2">
        <v>0.50694444444444442</v>
      </c>
      <c r="Q961">
        <f>0.0005222112*3600</f>
        <v>1.8799603200000001</v>
      </c>
      <c r="R961">
        <f>-0.0013616665*3600</f>
        <v>-4.9019994000000002</v>
      </c>
    </row>
    <row r="962" spans="1:18" x14ac:dyDescent="0.3">
      <c r="A962" t="s">
        <v>340</v>
      </c>
      <c r="B962" s="4">
        <v>7651</v>
      </c>
      <c r="C962" s="4">
        <v>207.378197</v>
      </c>
      <c r="D962" s="4">
        <v>302.10611599999999</v>
      </c>
      <c r="E962">
        <v>1</v>
      </c>
      <c r="F962">
        <v>1</v>
      </c>
      <c r="G962">
        <v>0</v>
      </c>
      <c r="H962">
        <v>0</v>
      </c>
      <c r="J962" t="s">
        <v>0</v>
      </c>
      <c r="K962" t="s">
        <v>61</v>
      </c>
      <c r="L962">
        <v>0</v>
      </c>
      <c r="M962" t="s">
        <v>52</v>
      </c>
      <c r="N962">
        <v>1</v>
      </c>
      <c r="O962" t="s">
        <v>63</v>
      </c>
      <c r="P962" s="2">
        <v>0.50694444444444442</v>
      </c>
      <c r="Q962">
        <f>0.0005268361*3600</f>
        <v>1.8966099599999999</v>
      </c>
      <c r="R962">
        <f>-0.0013890227*3600</f>
        <v>-5.0004817199999998</v>
      </c>
    </row>
    <row r="963" spans="1:18" x14ac:dyDescent="0.3">
      <c r="A963" t="s">
        <v>340</v>
      </c>
      <c r="B963" s="4">
        <v>7652</v>
      </c>
      <c r="C963" s="4">
        <v>207.37729400000001</v>
      </c>
      <c r="D963" s="4">
        <v>302.10614800000002</v>
      </c>
      <c r="E963">
        <v>1</v>
      </c>
      <c r="F963">
        <v>1</v>
      </c>
      <c r="G963">
        <v>0</v>
      </c>
      <c r="H963">
        <v>0</v>
      </c>
      <c r="J963" t="s">
        <v>0</v>
      </c>
      <c r="K963" t="s">
        <v>61</v>
      </c>
      <c r="L963">
        <v>0</v>
      </c>
      <c r="M963" t="s">
        <v>52</v>
      </c>
      <c r="N963">
        <v>1</v>
      </c>
      <c r="O963" t="s">
        <v>63</v>
      </c>
      <c r="P963" s="2">
        <v>0.50694444444444442</v>
      </c>
      <c r="Q963">
        <f>0.0006401434*3600</f>
        <v>2.3045162399999999</v>
      </c>
      <c r="R963">
        <f>-0.0013461691*3600</f>
        <v>-4.8462087599999997</v>
      </c>
    </row>
    <row r="964" spans="1:18" x14ac:dyDescent="0.3">
      <c r="A964" t="s">
        <v>340</v>
      </c>
      <c r="B964" s="4">
        <v>7653</v>
      </c>
      <c r="C964" s="4">
        <v>207.37838099999999</v>
      </c>
      <c r="D964" s="4">
        <v>302.106245</v>
      </c>
      <c r="E964">
        <v>1</v>
      </c>
      <c r="F964">
        <v>1</v>
      </c>
      <c r="G964">
        <v>0</v>
      </c>
      <c r="H964">
        <v>0</v>
      </c>
      <c r="J964" t="s">
        <v>0</v>
      </c>
      <c r="K964" t="s">
        <v>61</v>
      </c>
      <c r="L964">
        <v>0</v>
      </c>
      <c r="M964" t="s">
        <v>52</v>
      </c>
      <c r="N964">
        <v>1</v>
      </c>
      <c r="O964" t="s">
        <v>63</v>
      </c>
      <c r="P964" s="2">
        <v>0.50694444444444442</v>
      </c>
      <c r="Q964">
        <f>0.0006555358*3600</f>
        <v>2.35992888</v>
      </c>
      <c r="R964">
        <f>-0.0012341649*3600</f>
        <v>-4.4429936400000001</v>
      </c>
    </row>
    <row r="965" spans="1:18" x14ac:dyDescent="0.3">
      <c r="A965" t="s">
        <v>340</v>
      </c>
      <c r="B965" s="4">
        <v>7654</v>
      </c>
      <c r="C965" s="4">
        <v>207.377047</v>
      </c>
      <c r="D965" s="4">
        <v>302.10617500000001</v>
      </c>
      <c r="E965">
        <v>1</v>
      </c>
      <c r="F965">
        <v>1</v>
      </c>
      <c r="G965">
        <v>0</v>
      </c>
      <c r="H965">
        <v>0</v>
      </c>
      <c r="J965" t="s">
        <v>0</v>
      </c>
      <c r="K965" t="s">
        <v>61</v>
      </c>
      <c r="L965">
        <v>0</v>
      </c>
      <c r="M965" t="s">
        <v>52</v>
      </c>
      <c r="N965">
        <v>1</v>
      </c>
      <c r="O965" t="s">
        <v>63</v>
      </c>
      <c r="P965" s="2">
        <v>0.50694444444444442</v>
      </c>
      <c r="Q965">
        <f>0.0005518462*3600</f>
        <v>1.98664632</v>
      </c>
      <c r="R965">
        <f>-0.001307124*3600</f>
        <v>-4.7056464</v>
      </c>
    </row>
    <row r="966" spans="1:18" x14ac:dyDescent="0.3">
      <c r="A966" t="s">
        <v>340</v>
      </c>
      <c r="B966" s="4">
        <v>7655</v>
      </c>
      <c r="C966" s="4">
        <v>207.376406</v>
      </c>
      <c r="D966" s="4">
        <v>302.10616800000003</v>
      </c>
      <c r="E966">
        <v>1</v>
      </c>
      <c r="F966">
        <v>1</v>
      </c>
      <c r="G966">
        <v>0</v>
      </c>
      <c r="H966">
        <v>0</v>
      </c>
      <c r="J966" t="s">
        <v>0</v>
      </c>
      <c r="K966" t="s">
        <v>61</v>
      </c>
      <c r="L966">
        <v>0</v>
      </c>
      <c r="M966" t="s">
        <v>52</v>
      </c>
      <c r="N966">
        <v>1</v>
      </c>
      <c r="O966" t="s">
        <v>63</v>
      </c>
      <c r="P966" s="2">
        <v>0.50694444444444442</v>
      </c>
      <c r="Q966">
        <f>0.0005193425*3600</f>
        <v>1.8696329999999999</v>
      </c>
      <c r="R966">
        <f>-0.0013036948*3600</f>
        <v>-4.69330128</v>
      </c>
    </row>
    <row r="967" spans="1:18" x14ac:dyDescent="0.3">
      <c r="A967" t="s">
        <v>340</v>
      </c>
      <c r="B967" s="4">
        <v>7656</v>
      </c>
      <c r="C967" s="4">
        <v>207.37568200000001</v>
      </c>
      <c r="D967" s="4">
        <v>302.10618599999998</v>
      </c>
      <c r="E967">
        <v>1</v>
      </c>
      <c r="F967">
        <v>1</v>
      </c>
      <c r="G967">
        <v>0</v>
      </c>
      <c r="H967">
        <v>0</v>
      </c>
      <c r="J967" t="s">
        <v>0</v>
      </c>
      <c r="K967" t="s">
        <v>61</v>
      </c>
      <c r="L967">
        <v>0</v>
      </c>
      <c r="M967" t="s">
        <v>52</v>
      </c>
      <c r="N967">
        <v>1</v>
      </c>
      <c r="O967" t="s">
        <v>63</v>
      </c>
      <c r="P967" s="2">
        <v>0.50694444444444442</v>
      </c>
      <c r="Q967">
        <f>0.000434588*3600</f>
        <v>1.5645168</v>
      </c>
      <c r="R967">
        <f>-0.0013037636*3600</f>
        <v>-4.6935489600000002</v>
      </c>
    </row>
    <row r="968" spans="1:18" x14ac:dyDescent="0.3">
      <c r="A968" t="s">
        <v>340</v>
      </c>
      <c r="B968" s="4">
        <v>7657</v>
      </c>
      <c r="C968" s="4">
        <v>207.37695299999999</v>
      </c>
      <c r="D968" s="4">
        <v>302.10623299999997</v>
      </c>
      <c r="E968">
        <v>1</v>
      </c>
      <c r="F968">
        <v>1</v>
      </c>
      <c r="G968">
        <v>0</v>
      </c>
      <c r="H968">
        <v>0</v>
      </c>
      <c r="J968" t="s">
        <v>0</v>
      </c>
      <c r="K968" t="s">
        <v>61</v>
      </c>
      <c r="L968">
        <v>0</v>
      </c>
      <c r="M968" t="s">
        <v>52</v>
      </c>
      <c r="N968">
        <v>1</v>
      </c>
      <c r="O968" t="s">
        <v>63</v>
      </c>
      <c r="P968" s="2">
        <v>0.50694444444444442</v>
      </c>
      <c r="Q968">
        <f>0.0006439785*3600</f>
        <v>2.3183226000000001</v>
      </c>
      <c r="R968">
        <f>-0.0012552332*3600</f>
        <v>-4.5188395200000002</v>
      </c>
    </row>
    <row r="969" spans="1:18" x14ac:dyDescent="0.3">
      <c r="A969" t="s">
        <v>340</v>
      </c>
      <c r="B969" s="4">
        <v>7658</v>
      </c>
      <c r="C969" s="4">
        <v>207.377971</v>
      </c>
      <c r="D969" s="4">
        <v>302.10622599999999</v>
      </c>
      <c r="E969">
        <v>1</v>
      </c>
      <c r="F969">
        <v>1</v>
      </c>
      <c r="G969">
        <v>0</v>
      </c>
      <c r="H969">
        <v>0</v>
      </c>
      <c r="J969" t="s">
        <v>0</v>
      </c>
      <c r="K969" t="s">
        <v>61</v>
      </c>
      <c r="L969">
        <v>0</v>
      </c>
      <c r="M969" t="s">
        <v>52</v>
      </c>
      <c r="N969">
        <v>1</v>
      </c>
      <c r="O969" t="s">
        <v>63</v>
      </c>
      <c r="P969" s="2">
        <v>0.50694444444444442</v>
      </c>
      <c r="Q969">
        <f>0.0006041658*3600</f>
        <v>2.1749968800000001</v>
      </c>
      <c r="R969">
        <f>-0.0012729212*3600</f>
        <v>-4.5825163199999999</v>
      </c>
    </row>
    <row r="970" spans="1:18" x14ac:dyDescent="0.3">
      <c r="A970" t="s">
        <v>340</v>
      </c>
      <c r="B970" s="4">
        <v>7659</v>
      </c>
      <c r="C970" s="4">
        <v>207.37970899999999</v>
      </c>
      <c r="D970" s="4">
        <v>302.10626200000002</v>
      </c>
      <c r="E970">
        <v>1</v>
      </c>
      <c r="F970">
        <v>1</v>
      </c>
      <c r="G970">
        <v>0</v>
      </c>
      <c r="H970">
        <v>0</v>
      </c>
      <c r="J970" t="s">
        <v>0</v>
      </c>
      <c r="K970" t="s">
        <v>61</v>
      </c>
      <c r="L970">
        <v>0</v>
      </c>
      <c r="M970" t="s">
        <v>52</v>
      </c>
      <c r="N970">
        <v>1</v>
      </c>
      <c r="O970" t="s">
        <v>63</v>
      </c>
      <c r="P970" s="2">
        <v>0.50694444444444442</v>
      </c>
      <c r="Q970">
        <f>0.000742659*3600</f>
        <v>2.6735723999999998</v>
      </c>
      <c r="R970">
        <f>-0.0012388249*3600</f>
        <v>-4.4597696400000002</v>
      </c>
    </row>
    <row r="971" spans="1:18" x14ac:dyDescent="0.3">
      <c r="A971" t="s">
        <v>340</v>
      </c>
      <c r="B971" s="4">
        <v>7660</v>
      </c>
      <c r="C971" s="4">
        <v>207.37756099999999</v>
      </c>
      <c r="D971" s="4">
        <v>302.10618499999998</v>
      </c>
      <c r="E971">
        <v>1</v>
      </c>
      <c r="F971">
        <v>1</v>
      </c>
      <c r="G971">
        <v>0</v>
      </c>
      <c r="H971">
        <v>0</v>
      </c>
      <c r="J971" t="s">
        <v>0</v>
      </c>
      <c r="K971" t="s">
        <v>61</v>
      </c>
      <c r="L971">
        <v>0</v>
      </c>
      <c r="M971" t="s">
        <v>52</v>
      </c>
      <c r="N971">
        <v>1</v>
      </c>
      <c r="O971" t="s">
        <v>63</v>
      </c>
      <c r="P971" s="2">
        <v>0.50694444444444442</v>
      </c>
      <c r="Q971">
        <f>0.0005711781*3600</f>
        <v>2.0562411599999999</v>
      </c>
      <c r="R971">
        <f>-0.0013035707*3600</f>
        <v>-4.69285452</v>
      </c>
    </row>
    <row r="972" spans="1:18" x14ac:dyDescent="0.3">
      <c r="A972" t="s">
        <v>340</v>
      </c>
      <c r="B972" s="4">
        <v>7661</v>
      </c>
      <c r="C972" s="4">
        <v>207.376901</v>
      </c>
      <c r="D972" s="4">
        <v>302.10617200000002</v>
      </c>
      <c r="E972">
        <v>1</v>
      </c>
      <c r="F972">
        <v>1</v>
      </c>
      <c r="G972">
        <v>0</v>
      </c>
      <c r="H972">
        <v>0</v>
      </c>
      <c r="J972" t="s">
        <v>0</v>
      </c>
      <c r="K972" t="s">
        <v>61</v>
      </c>
      <c r="L972">
        <v>0</v>
      </c>
      <c r="M972" t="s">
        <v>52</v>
      </c>
      <c r="N972">
        <v>1</v>
      </c>
      <c r="O972" t="s">
        <v>63</v>
      </c>
      <c r="P972" s="2">
        <v>0.50694444444444442</v>
      </c>
      <c r="Q972">
        <f>0.0004096634*3600</f>
        <v>1.4747882400000001</v>
      </c>
      <c r="R972">
        <f>-0.0013227988*3600</f>
        <v>-4.7620756800000006</v>
      </c>
    </row>
    <row r="973" spans="1:18" x14ac:dyDescent="0.3">
      <c r="A973" t="s">
        <v>340</v>
      </c>
      <c r="B973" s="4">
        <v>7662</v>
      </c>
      <c r="C973" s="4">
        <v>207.377599</v>
      </c>
      <c r="D973" s="4">
        <v>302.10633999999999</v>
      </c>
      <c r="E973">
        <v>1</v>
      </c>
      <c r="F973">
        <v>1</v>
      </c>
      <c r="G973">
        <v>0</v>
      </c>
      <c r="H973">
        <v>0</v>
      </c>
      <c r="J973" t="s">
        <v>0</v>
      </c>
      <c r="K973" t="s">
        <v>61</v>
      </c>
      <c r="L973">
        <v>0</v>
      </c>
      <c r="M973" t="s">
        <v>52</v>
      </c>
      <c r="N973">
        <v>1</v>
      </c>
      <c r="O973" t="s">
        <v>63</v>
      </c>
      <c r="P973" s="2">
        <v>0.50694444444444442</v>
      </c>
      <c r="Q973">
        <f>0.0007572067*3600</f>
        <v>2.7259441199999999</v>
      </c>
      <c r="R973">
        <f>-0.0011390514*3600</f>
        <v>-4.1005850400000003</v>
      </c>
    </row>
    <row r="974" spans="1:18" x14ac:dyDescent="0.3">
      <c r="A974" t="s">
        <v>340</v>
      </c>
      <c r="B974" s="4">
        <v>7663</v>
      </c>
      <c r="C974" s="4">
        <v>207.37776700000001</v>
      </c>
      <c r="D974" s="4">
        <v>302.10617200000002</v>
      </c>
      <c r="E974">
        <v>1</v>
      </c>
      <c r="F974">
        <v>1</v>
      </c>
      <c r="G974">
        <v>0</v>
      </c>
      <c r="H974">
        <v>0</v>
      </c>
      <c r="J974" t="s">
        <v>0</v>
      </c>
      <c r="K974" t="s">
        <v>61</v>
      </c>
      <c r="L974">
        <v>0</v>
      </c>
      <c r="M974" t="s">
        <v>52</v>
      </c>
      <c r="N974">
        <v>1</v>
      </c>
      <c r="O974" t="s">
        <v>63</v>
      </c>
      <c r="P974" s="2">
        <v>0.50694444444444442</v>
      </c>
      <c r="Q974">
        <f>0.0005265956*3600</f>
        <v>1.89574416</v>
      </c>
      <c r="R974">
        <f>-0.0012879058*3600</f>
        <v>-4.6364608800000005</v>
      </c>
    </row>
    <row r="975" spans="1:18" x14ac:dyDescent="0.3">
      <c r="A975" t="s">
        <v>340</v>
      </c>
      <c r="B975" s="4">
        <v>7664</v>
      </c>
      <c r="C975" s="4">
        <v>207.379167</v>
      </c>
      <c r="D975" s="4">
        <v>302.10617000000002</v>
      </c>
      <c r="E975">
        <v>1</v>
      </c>
      <c r="F975">
        <v>1</v>
      </c>
      <c r="G975">
        <v>0</v>
      </c>
      <c r="H975">
        <v>0</v>
      </c>
      <c r="J975" t="s">
        <v>0</v>
      </c>
      <c r="K975" t="s">
        <v>61</v>
      </c>
      <c r="L975">
        <v>0</v>
      </c>
      <c r="M975" t="s">
        <v>52</v>
      </c>
      <c r="N975">
        <v>1</v>
      </c>
      <c r="O975" t="s">
        <v>63</v>
      </c>
      <c r="P975" s="2">
        <v>0.50694444444444442</v>
      </c>
      <c r="Q975">
        <f>0.0005630507*3600</f>
        <v>2.0269825199999998</v>
      </c>
      <c r="R975">
        <f>-0.0013089777*3600</f>
        <v>-4.71231972</v>
      </c>
    </row>
    <row r="976" spans="1:18" x14ac:dyDescent="0.3">
      <c r="A976" t="s">
        <v>340</v>
      </c>
      <c r="B976" s="4">
        <v>7665</v>
      </c>
      <c r="C976" s="4">
        <v>207.38057699999999</v>
      </c>
      <c r="D976" s="4">
        <v>302.10633300000001</v>
      </c>
      <c r="E976">
        <v>1</v>
      </c>
      <c r="F976">
        <v>1</v>
      </c>
      <c r="G976">
        <v>0</v>
      </c>
      <c r="H976">
        <v>0</v>
      </c>
      <c r="J976" t="s">
        <v>0</v>
      </c>
      <c r="K976" t="s">
        <v>61</v>
      </c>
      <c r="L976">
        <v>0</v>
      </c>
      <c r="M976" t="s">
        <v>52</v>
      </c>
      <c r="N976">
        <v>1</v>
      </c>
      <c r="O976" t="s">
        <v>63</v>
      </c>
      <c r="P976" s="2">
        <v>0.50694444444444442</v>
      </c>
      <c r="Q976">
        <f>0.0007806936*3600</f>
        <v>2.81049696</v>
      </c>
      <c r="R976">
        <f>-0.0011253486*3600</f>
        <v>-4.0512549599999996</v>
      </c>
    </row>
    <row r="977" spans="1:18" x14ac:dyDescent="0.3">
      <c r="A977" t="s">
        <v>340</v>
      </c>
      <c r="B977" s="4">
        <v>7666</v>
      </c>
      <c r="C977" s="4">
        <v>207.380178</v>
      </c>
      <c r="D977" s="4">
        <v>302.10617999999999</v>
      </c>
      <c r="E977">
        <v>1</v>
      </c>
      <c r="F977">
        <v>1</v>
      </c>
      <c r="G977">
        <v>0</v>
      </c>
      <c r="H977">
        <v>0</v>
      </c>
      <c r="J977" t="s">
        <v>0</v>
      </c>
      <c r="K977" t="s">
        <v>61</v>
      </c>
      <c r="L977">
        <v>0</v>
      </c>
      <c r="M977" t="s">
        <v>52</v>
      </c>
      <c r="N977">
        <v>1</v>
      </c>
      <c r="O977" t="s">
        <v>63</v>
      </c>
      <c r="P977" s="2">
        <v>0.50694444444444442</v>
      </c>
      <c r="Q977">
        <f>0.0006145201*3600</f>
        <v>2.21227236</v>
      </c>
      <c r="R977">
        <f>-0.0012918958*3600</f>
        <v>-4.6508248800000001</v>
      </c>
    </row>
    <row r="978" spans="1:18" x14ac:dyDescent="0.3">
      <c r="A978" t="s">
        <v>340</v>
      </c>
      <c r="B978" s="4">
        <v>7667</v>
      </c>
      <c r="C978" s="4">
        <v>207.379445</v>
      </c>
      <c r="D978" s="4">
        <v>302.106291</v>
      </c>
      <c r="E978">
        <v>1</v>
      </c>
      <c r="F978">
        <v>1</v>
      </c>
      <c r="G978">
        <v>0</v>
      </c>
      <c r="H978">
        <v>0</v>
      </c>
      <c r="J978" t="s">
        <v>0</v>
      </c>
      <c r="K978" t="s">
        <v>61</v>
      </c>
      <c r="L978">
        <v>0</v>
      </c>
      <c r="M978" t="s">
        <v>52</v>
      </c>
      <c r="N978">
        <v>1</v>
      </c>
      <c r="O978" t="s">
        <v>63</v>
      </c>
      <c r="P978" s="2">
        <v>0.50763888888888886</v>
      </c>
      <c r="Q978">
        <f>0.0006463425*3600</f>
        <v>2.3268330000000002</v>
      </c>
      <c r="R978">
        <f>-0.001200989*3600</f>
        <v>-4.3235603999999999</v>
      </c>
    </row>
    <row r="979" spans="1:18" x14ac:dyDescent="0.3">
      <c r="A979" t="s">
        <v>340</v>
      </c>
      <c r="B979" s="4">
        <v>7668</v>
      </c>
      <c r="C979" s="4">
        <v>207.37942699999999</v>
      </c>
      <c r="D979" s="4">
        <v>302.10612400000002</v>
      </c>
      <c r="E979">
        <v>1</v>
      </c>
      <c r="F979">
        <v>1</v>
      </c>
      <c r="G979">
        <v>0</v>
      </c>
      <c r="H979">
        <v>0</v>
      </c>
      <c r="J979" t="s">
        <v>0</v>
      </c>
      <c r="K979" t="s">
        <v>61</v>
      </c>
      <c r="L979">
        <v>0</v>
      </c>
      <c r="M979" t="s">
        <v>52</v>
      </c>
      <c r="N979">
        <v>1</v>
      </c>
      <c r="O979" t="s">
        <v>63</v>
      </c>
      <c r="P979" s="2">
        <v>0.50763888888888886</v>
      </c>
      <c r="Q979">
        <f>0.000478211*3600</f>
        <v>1.7215596</v>
      </c>
      <c r="R979">
        <f>-0.0013633167*3600</f>
        <v>-4.9079401200000001</v>
      </c>
    </row>
    <row r="980" spans="1:18" x14ac:dyDescent="0.3">
      <c r="A980" t="s">
        <v>340</v>
      </c>
      <c r="B980" s="4">
        <v>7669</v>
      </c>
      <c r="C980" s="4">
        <v>207.378469</v>
      </c>
      <c r="D980" s="4">
        <v>302.106313</v>
      </c>
      <c r="E980">
        <v>1</v>
      </c>
      <c r="F980">
        <v>1</v>
      </c>
      <c r="G980">
        <v>0</v>
      </c>
      <c r="H980">
        <v>0</v>
      </c>
      <c r="J980" t="s">
        <v>0</v>
      </c>
      <c r="K980" t="s">
        <v>61</v>
      </c>
      <c r="L980">
        <v>0</v>
      </c>
      <c r="M980" t="s">
        <v>52</v>
      </c>
      <c r="N980">
        <v>1</v>
      </c>
      <c r="O980" t="s">
        <v>63</v>
      </c>
      <c r="P980" s="2">
        <v>0.50763888888888886</v>
      </c>
      <c r="Q980">
        <f>0.0006284389*3600</f>
        <v>2.26238004</v>
      </c>
      <c r="R980">
        <f>-0.0011599293*3600</f>
        <v>-4.1757454799999998</v>
      </c>
    </row>
    <row r="981" spans="1:18" x14ac:dyDescent="0.3">
      <c r="A981" t="s">
        <v>340</v>
      </c>
      <c r="B981" s="4">
        <v>7670</v>
      </c>
      <c r="C981" s="4">
        <v>207.37878699999999</v>
      </c>
      <c r="D981" s="4">
        <v>302.10622499999999</v>
      </c>
      <c r="E981">
        <v>1</v>
      </c>
      <c r="F981">
        <v>1</v>
      </c>
      <c r="G981">
        <v>0</v>
      </c>
      <c r="H981">
        <v>0</v>
      </c>
      <c r="J981" t="s">
        <v>0</v>
      </c>
      <c r="K981" t="s">
        <v>61</v>
      </c>
      <c r="L981">
        <v>0</v>
      </c>
      <c r="M981" t="s">
        <v>52</v>
      </c>
      <c r="N981">
        <v>1</v>
      </c>
      <c r="O981" t="s">
        <v>63</v>
      </c>
      <c r="P981" s="2">
        <v>0.50763888888888886</v>
      </c>
      <c r="Q981">
        <f>0.0005840726*3600</f>
        <v>2.1026613599999999</v>
      </c>
      <c r="R981">
        <f>-0.0012445207*3600</f>
        <v>-4.48027452</v>
      </c>
    </row>
    <row r="982" spans="1:18" x14ac:dyDescent="0.3">
      <c r="A982" t="s">
        <v>340</v>
      </c>
      <c r="B982" s="4">
        <v>7671</v>
      </c>
      <c r="C982" s="4">
        <v>207.37837999999999</v>
      </c>
      <c r="D982" s="4">
        <v>302.10616399999998</v>
      </c>
      <c r="E982">
        <v>1</v>
      </c>
      <c r="F982">
        <v>1</v>
      </c>
      <c r="G982">
        <v>0</v>
      </c>
      <c r="H982">
        <v>0</v>
      </c>
      <c r="J982" t="s">
        <v>0</v>
      </c>
      <c r="K982" t="s">
        <v>61</v>
      </c>
      <c r="L982">
        <v>0</v>
      </c>
      <c r="M982" t="s">
        <v>52</v>
      </c>
      <c r="N982">
        <v>1</v>
      </c>
      <c r="O982" t="s">
        <v>63</v>
      </c>
      <c r="P982" s="2">
        <v>0.50763888888888886</v>
      </c>
      <c r="Q982">
        <f>0.0005019614*3600</f>
        <v>1.80706104</v>
      </c>
      <c r="R982">
        <f>-0.0013265836*3600</f>
        <v>-4.77570096</v>
      </c>
    </row>
    <row r="983" spans="1:18" x14ac:dyDescent="0.3">
      <c r="A983" t="s">
        <v>340</v>
      </c>
      <c r="B983" s="4">
        <v>7672</v>
      </c>
      <c r="C983" s="4">
        <v>207.38018500000001</v>
      </c>
      <c r="D983" s="4">
        <v>302.10628600000001</v>
      </c>
      <c r="E983">
        <v>1</v>
      </c>
      <c r="F983">
        <v>1</v>
      </c>
      <c r="G983">
        <v>0</v>
      </c>
      <c r="H983">
        <v>0</v>
      </c>
      <c r="J983" t="s">
        <v>0</v>
      </c>
      <c r="K983" t="s">
        <v>61</v>
      </c>
      <c r="L983">
        <v>0</v>
      </c>
      <c r="M983" t="s">
        <v>52</v>
      </c>
      <c r="N983">
        <v>1</v>
      </c>
      <c r="O983" t="s">
        <v>63</v>
      </c>
      <c r="P983" s="2">
        <v>0.50763888888888886</v>
      </c>
      <c r="Q983">
        <f>0.0007489206*3600</f>
        <v>2.69611416</v>
      </c>
      <c r="R983">
        <f>-0.0011931594*3600</f>
        <v>-4.2953738399999999</v>
      </c>
    </row>
    <row r="984" spans="1:18" x14ac:dyDescent="0.3">
      <c r="A984" t="s">
        <v>340</v>
      </c>
      <c r="B984" s="4">
        <v>7673</v>
      </c>
      <c r="C984" s="4">
        <v>207.37932599999999</v>
      </c>
      <c r="D984" s="4">
        <v>302.10616299999998</v>
      </c>
      <c r="E984">
        <v>1</v>
      </c>
      <c r="F984">
        <v>1</v>
      </c>
      <c r="G984">
        <v>0</v>
      </c>
      <c r="H984">
        <v>0</v>
      </c>
      <c r="J984" t="s">
        <v>0</v>
      </c>
      <c r="K984" t="s">
        <v>61</v>
      </c>
      <c r="L984">
        <v>0</v>
      </c>
      <c r="M984" t="s">
        <v>52</v>
      </c>
      <c r="N984">
        <v>1</v>
      </c>
      <c r="O984" t="s">
        <v>63</v>
      </c>
      <c r="P984" s="2">
        <v>0.50763888888888886</v>
      </c>
      <c r="Q984">
        <f>0.0005332601*3600</f>
        <v>1.9197363599999999</v>
      </c>
      <c r="R984">
        <f>-0.0013052094*3600</f>
        <v>-4.6987538400000002</v>
      </c>
    </row>
    <row r="985" spans="1:18" x14ac:dyDescent="0.3">
      <c r="A985" t="s">
        <v>340</v>
      </c>
      <c r="B985" s="4">
        <v>7674</v>
      </c>
      <c r="C985" s="4">
        <v>207.37855500000001</v>
      </c>
      <c r="D985" s="4">
        <v>302.10618399999998</v>
      </c>
      <c r="E985">
        <v>1</v>
      </c>
      <c r="F985">
        <v>1</v>
      </c>
      <c r="G985">
        <v>0</v>
      </c>
      <c r="H985">
        <v>0</v>
      </c>
      <c r="J985" t="s">
        <v>0</v>
      </c>
      <c r="K985" t="s">
        <v>61</v>
      </c>
      <c r="L985">
        <v>0</v>
      </c>
      <c r="M985" t="s">
        <v>52</v>
      </c>
      <c r="N985">
        <v>1</v>
      </c>
      <c r="O985" t="s">
        <v>63</v>
      </c>
      <c r="P985" s="2">
        <v>0.50763888888888886</v>
      </c>
      <c r="Q985">
        <f>0.0005125012*3600</f>
        <v>1.8450043200000001</v>
      </c>
      <c r="R985">
        <f>-0.001302338*3600</f>
        <v>-4.6884168000000006</v>
      </c>
    </row>
    <row r="986" spans="1:18" x14ac:dyDescent="0.3">
      <c r="A986" t="s">
        <v>340</v>
      </c>
      <c r="B986" s="4">
        <v>7675</v>
      </c>
      <c r="C986" s="4">
        <v>207.377928</v>
      </c>
      <c r="D986" s="4">
        <v>302.10611699999998</v>
      </c>
      <c r="E986">
        <v>1</v>
      </c>
      <c r="F986">
        <v>1</v>
      </c>
      <c r="G986">
        <v>0</v>
      </c>
      <c r="H986">
        <v>0</v>
      </c>
      <c r="J986" t="s">
        <v>0</v>
      </c>
      <c r="K986" t="s">
        <v>61</v>
      </c>
      <c r="L986">
        <v>0</v>
      </c>
      <c r="M986" t="s">
        <v>52</v>
      </c>
      <c r="N986">
        <v>1</v>
      </c>
      <c r="O986" t="s">
        <v>63</v>
      </c>
      <c r="P986" s="2">
        <v>0.50763888888888886</v>
      </c>
      <c r="Q986">
        <f>0.0005061573*3600</f>
        <v>1.82216628</v>
      </c>
      <c r="R986">
        <f>-0.0013552629*3600</f>
        <v>-4.87894644</v>
      </c>
    </row>
    <row r="987" spans="1:18" x14ac:dyDescent="0.3">
      <c r="A987" t="s">
        <v>340</v>
      </c>
      <c r="B987" s="4">
        <v>7676</v>
      </c>
      <c r="C987" s="4">
        <v>207.37857500000001</v>
      </c>
      <c r="D987" s="4">
        <v>302.106178</v>
      </c>
      <c r="E987">
        <v>1</v>
      </c>
      <c r="F987">
        <v>1</v>
      </c>
      <c r="G987">
        <v>0</v>
      </c>
      <c r="H987">
        <v>0</v>
      </c>
      <c r="J987" t="s">
        <v>0</v>
      </c>
      <c r="K987" t="s">
        <v>61</v>
      </c>
      <c r="L987">
        <v>0</v>
      </c>
      <c r="M987" t="s">
        <v>52</v>
      </c>
      <c r="N987">
        <v>1</v>
      </c>
      <c r="O987" t="s">
        <v>63</v>
      </c>
      <c r="P987" s="2">
        <v>0.50763888888888886</v>
      </c>
      <c r="Q987">
        <f>0.0005942305*3600</f>
        <v>2.1392297999999998</v>
      </c>
      <c r="R987">
        <f>-0.0013071744*3600</f>
        <v>-4.7058278400000004</v>
      </c>
    </row>
    <row r="988" spans="1:18" x14ac:dyDescent="0.3">
      <c r="A988" t="s">
        <v>340</v>
      </c>
      <c r="B988" s="4">
        <v>7677</v>
      </c>
      <c r="C988" s="4">
        <v>207.37979799999999</v>
      </c>
      <c r="D988" s="4">
        <v>302.10627699999998</v>
      </c>
      <c r="E988">
        <v>1</v>
      </c>
      <c r="F988">
        <v>1</v>
      </c>
      <c r="G988">
        <v>0</v>
      </c>
      <c r="H988">
        <v>0</v>
      </c>
      <c r="J988" t="s">
        <v>0</v>
      </c>
      <c r="K988" t="s">
        <v>61</v>
      </c>
      <c r="L988">
        <v>0</v>
      </c>
      <c r="M988" t="s">
        <v>52</v>
      </c>
      <c r="N988">
        <v>1</v>
      </c>
      <c r="O988" t="s">
        <v>63</v>
      </c>
      <c r="P988" s="2">
        <v>0.50763888888888886</v>
      </c>
      <c r="Q988">
        <f>0.0007829656*3600</f>
        <v>2.8186761600000003</v>
      </c>
      <c r="R988">
        <f>-0.0012280233*3600</f>
        <v>-4.4208838799999999</v>
      </c>
    </row>
    <row r="989" spans="1:18" x14ac:dyDescent="0.3">
      <c r="A989" t="s">
        <v>340</v>
      </c>
      <c r="B989" s="4">
        <v>7678</v>
      </c>
      <c r="C989" s="4">
        <v>207.37887900000001</v>
      </c>
      <c r="D989" s="4">
        <v>302.106247</v>
      </c>
      <c r="E989">
        <v>1</v>
      </c>
      <c r="F989">
        <v>1</v>
      </c>
      <c r="G989">
        <v>0</v>
      </c>
      <c r="H989">
        <v>0</v>
      </c>
      <c r="J989" t="s">
        <v>0</v>
      </c>
      <c r="K989" t="s">
        <v>61</v>
      </c>
      <c r="L989">
        <v>0</v>
      </c>
      <c r="M989" t="s">
        <v>52</v>
      </c>
      <c r="N989">
        <v>1</v>
      </c>
      <c r="O989" t="s">
        <v>63</v>
      </c>
      <c r="P989" s="2">
        <v>0.50763888888888886</v>
      </c>
      <c r="Q989">
        <f>0.000670443*3600</f>
        <v>2.4135947999999998</v>
      </c>
      <c r="R989">
        <f>-0.0012378135*3600</f>
        <v>-4.4561286000000004</v>
      </c>
    </row>
    <row r="990" spans="1:18" x14ac:dyDescent="0.3">
      <c r="A990" t="s">
        <v>340</v>
      </c>
      <c r="B990" s="4">
        <v>7679</v>
      </c>
      <c r="C990" s="4">
        <v>207.37839399999999</v>
      </c>
      <c r="D990" s="4">
        <v>302.10633899999999</v>
      </c>
      <c r="E990">
        <v>1</v>
      </c>
      <c r="F990">
        <v>1</v>
      </c>
      <c r="G990">
        <v>0</v>
      </c>
      <c r="H990">
        <v>0</v>
      </c>
      <c r="J990" t="s">
        <v>0</v>
      </c>
      <c r="K990" t="s">
        <v>61</v>
      </c>
      <c r="L990">
        <v>0</v>
      </c>
      <c r="M990" t="s">
        <v>52</v>
      </c>
      <c r="N990">
        <v>1</v>
      </c>
      <c r="O990" t="s">
        <v>63</v>
      </c>
      <c r="P990" s="2">
        <v>0.50763888888888886</v>
      </c>
      <c r="Q990">
        <f>0.0007407395*3600</f>
        <v>2.6666621999999998</v>
      </c>
      <c r="R990">
        <f>-0.0011452662*3600</f>
        <v>-4.1229583200000004</v>
      </c>
    </row>
    <row r="991" spans="1:18" x14ac:dyDescent="0.3">
      <c r="A991" t="s">
        <v>340</v>
      </c>
      <c r="B991" s="4">
        <v>7680</v>
      </c>
      <c r="C991" s="4">
        <v>207.38037</v>
      </c>
      <c r="D991" s="4">
        <v>302.10623700000002</v>
      </c>
      <c r="E991">
        <v>1</v>
      </c>
      <c r="F991">
        <v>1</v>
      </c>
      <c r="G991">
        <v>0</v>
      </c>
      <c r="H991">
        <v>0</v>
      </c>
      <c r="J991" t="s">
        <v>0</v>
      </c>
      <c r="K991" t="s">
        <v>61</v>
      </c>
      <c r="L991">
        <v>0</v>
      </c>
      <c r="M991" t="s">
        <v>52</v>
      </c>
      <c r="N991">
        <v>1</v>
      </c>
      <c r="O991" t="s">
        <v>63</v>
      </c>
      <c r="P991" s="2">
        <v>0.50763888888888886</v>
      </c>
      <c r="Q991">
        <f>0.0008280669*3600</f>
        <v>2.9810408399999999</v>
      </c>
      <c r="R991">
        <f>-0.0012571206*3600</f>
        <v>-4.5256341600000001</v>
      </c>
    </row>
    <row r="992" spans="1:18" x14ac:dyDescent="0.3">
      <c r="A992" t="s">
        <v>340</v>
      </c>
      <c r="B992" s="4">
        <v>7681</v>
      </c>
      <c r="C992" s="4">
        <v>207.379751</v>
      </c>
      <c r="D992" s="4">
        <v>302.10614700000002</v>
      </c>
      <c r="E992">
        <v>1</v>
      </c>
      <c r="F992">
        <v>1</v>
      </c>
      <c r="G992">
        <v>0</v>
      </c>
      <c r="H992">
        <v>0</v>
      </c>
      <c r="J992" t="s">
        <v>0</v>
      </c>
      <c r="K992" t="s">
        <v>61</v>
      </c>
      <c r="L992">
        <v>0</v>
      </c>
      <c r="M992" t="s">
        <v>52</v>
      </c>
      <c r="N992">
        <v>1</v>
      </c>
      <c r="O992" t="s">
        <v>63</v>
      </c>
      <c r="P992" s="2">
        <v>0.50763888888888886</v>
      </c>
      <c r="Q992">
        <f>0.0006239606*3600</f>
        <v>2.24625816</v>
      </c>
      <c r="R992">
        <f>-0.0013354397*3600</f>
        <v>-4.8075829199999998</v>
      </c>
    </row>
    <row r="993" spans="1:18" x14ac:dyDescent="0.3">
      <c r="A993" t="s">
        <v>340</v>
      </c>
      <c r="B993" s="4">
        <v>7682</v>
      </c>
      <c r="C993" s="4">
        <v>207.378252</v>
      </c>
      <c r="D993" s="4">
        <v>302.10632299999997</v>
      </c>
      <c r="E993">
        <v>1</v>
      </c>
      <c r="F993">
        <v>1</v>
      </c>
      <c r="G993">
        <v>0</v>
      </c>
      <c r="H993">
        <v>0</v>
      </c>
      <c r="J993" t="s">
        <v>0</v>
      </c>
      <c r="K993" t="s">
        <v>61</v>
      </c>
      <c r="L993">
        <v>0</v>
      </c>
      <c r="M993" t="s">
        <v>52</v>
      </c>
      <c r="N993">
        <v>1</v>
      </c>
      <c r="O993" t="s">
        <v>63</v>
      </c>
      <c r="P993" s="2">
        <v>0.50763888888888886</v>
      </c>
      <c r="Q993">
        <f>0.0005938859*3600</f>
        <v>2.13798924</v>
      </c>
      <c r="R993">
        <f>-0.0011548639*3600</f>
        <v>-4.15751004</v>
      </c>
    </row>
    <row r="994" spans="1:18" x14ac:dyDescent="0.3">
      <c r="A994" t="s">
        <v>340</v>
      </c>
      <c r="B994" s="4">
        <v>7683</v>
      </c>
      <c r="C994" s="4">
        <v>207.37897799999999</v>
      </c>
      <c r="D994" s="4">
        <v>302.10627699999998</v>
      </c>
      <c r="E994">
        <v>1</v>
      </c>
      <c r="F994">
        <v>1</v>
      </c>
      <c r="G994">
        <v>0</v>
      </c>
      <c r="H994">
        <v>0</v>
      </c>
      <c r="J994" t="s">
        <v>0</v>
      </c>
      <c r="K994" t="s">
        <v>61</v>
      </c>
      <c r="L994">
        <v>0</v>
      </c>
      <c r="M994" t="s">
        <v>52</v>
      </c>
      <c r="N994">
        <v>1</v>
      </c>
      <c r="O994" t="s">
        <v>63</v>
      </c>
      <c r="P994" s="2">
        <v>0.50763888888888886</v>
      </c>
      <c r="Q994">
        <f>0.0006814085*3600</f>
        <v>2.4530706000000002</v>
      </c>
      <c r="R994">
        <f>-0.001193622*3600</f>
        <v>-4.2970392000000004</v>
      </c>
    </row>
    <row r="995" spans="1:18" s="7" customFormat="1" x14ac:dyDescent="0.3">
      <c r="A995" s="7" t="s">
        <v>340</v>
      </c>
      <c r="B995" s="14">
        <v>7684</v>
      </c>
      <c r="C995" s="14">
        <v>207.37786299999999</v>
      </c>
      <c r="D995" s="14">
        <v>302.10616599999997</v>
      </c>
      <c r="E995" s="7">
        <v>1</v>
      </c>
      <c r="F995" s="7">
        <v>1</v>
      </c>
      <c r="G995" s="7">
        <v>0</v>
      </c>
      <c r="H995" s="7">
        <v>0</v>
      </c>
      <c r="J995" s="7" t="s">
        <v>0</v>
      </c>
      <c r="K995" s="7" t="s">
        <v>61</v>
      </c>
      <c r="L995" s="7">
        <v>0</v>
      </c>
      <c r="M995" s="7" t="s">
        <v>52</v>
      </c>
      <c r="N995" s="7">
        <v>1</v>
      </c>
      <c r="O995" s="7" t="s">
        <v>63</v>
      </c>
      <c r="P995" s="8">
        <v>0.50763888888888886</v>
      </c>
      <c r="Q995" s="7">
        <f>0.0005894267*3600</f>
        <v>2.12193612</v>
      </c>
      <c r="R995" s="7">
        <f>-0.0012915326*3600</f>
        <v>-4.6495173599999999</v>
      </c>
    </row>
    <row r="996" spans="1:18" s="7" customFormat="1" x14ac:dyDescent="0.3">
      <c r="A996" s="7" t="s">
        <v>340</v>
      </c>
      <c r="B996" s="15">
        <v>8600</v>
      </c>
      <c r="C996" s="15">
        <v>207.464978</v>
      </c>
      <c r="D996" s="15">
        <v>300.78269899999998</v>
      </c>
      <c r="E996" s="7">
        <v>1</v>
      </c>
      <c r="F996" s="7">
        <v>1</v>
      </c>
      <c r="G996" s="7">
        <v>0</v>
      </c>
      <c r="H996" s="7">
        <v>0</v>
      </c>
      <c r="J996" s="7" t="s">
        <v>0</v>
      </c>
      <c r="K996" s="7" t="s">
        <v>61</v>
      </c>
      <c r="L996" s="7">
        <v>0</v>
      </c>
      <c r="M996" s="7" t="s">
        <v>52</v>
      </c>
      <c r="N996" s="7">
        <v>1</v>
      </c>
      <c r="O996" s="7" t="s">
        <v>63</v>
      </c>
      <c r="P996" s="8">
        <v>0.50902777777777775</v>
      </c>
      <c r="Q996" s="7">
        <f>0.0009136637*3600</f>
        <v>3.2891893200000002</v>
      </c>
      <c r="R996" s="7">
        <f>-0.0010871299*3600</f>
        <v>-3.9136676399999999</v>
      </c>
    </row>
    <row r="997" spans="1:18" x14ac:dyDescent="0.3">
      <c r="A997" t="s">
        <v>340</v>
      </c>
      <c r="B997" s="12">
        <v>8601</v>
      </c>
      <c r="C997" s="12">
        <v>207.46383399999999</v>
      </c>
      <c r="D997" s="12">
        <v>300.78250700000001</v>
      </c>
      <c r="E997">
        <v>1</v>
      </c>
      <c r="F997">
        <v>1</v>
      </c>
      <c r="G997">
        <v>0</v>
      </c>
      <c r="H997">
        <v>0</v>
      </c>
      <c r="J997" t="s">
        <v>0</v>
      </c>
      <c r="K997" t="s">
        <v>61</v>
      </c>
      <c r="L997">
        <v>0</v>
      </c>
      <c r="M997" t="s">
        <v>52</v>
      </c>
      <c r="N997">
        <v>1</v>
      </c>
      <c r="O997" t="s">
        <v>63</v>
      </c>
      <c r="P997" s="2">
        <v>0.50902777777777775</v>
      </c>
      <c r="Q997">
        <f>0.0006148523*3600</f>
        <v>2.2134682800000003</v>
      </c>
      <c r="R997">
        <f>-0.0012633545*3600</f>
        <v>-4.5480761999999997</v>
      </c>
    </row>
    <row r="998" spans="1:18" x14ac:dyDescent="0.3">
      <c r="A998" t="s">
        <v>340</v>
      </c>
      <c r="B998" s="12">
        <v>8602</v>
      </c>
      <c r="C998" s="12">
        <v>207.463573</v>
      </c>
      <c r="D998" s="12">
        <v>300.78257100000002</v>
      </c>
      <c r="E998">
        <v>1</v>
      </c>
      <c r="F998">
        <v>1</v>
      </c>
      <c r="G998">
        <v>0</v>
      </c>
      <c r="H998">
        <v>0</v>
      </c>
      <c r="J998" t="s">
        <v>0</v>
      </c>
      <c r="K998" t="s">
        <v>61</v>
      </c>
      <c r="L998">
        <v>0</v>
      </c>
      <c r="M998" t="s">
        <v>52</v>
      </c>
      <c r="N998">
        <v>1</v>
      </c>
      <c r="O998" t="s">
        <v>63</v>
      </c>
      <c r="P998" s="2">
        <v>0.50902777777777775</v>
      </c>
      <c r="Q998">
        <f>0.0006031998*3600</f>
        <v>2.1715192800000001</v>
      </c>
      <c r="R998">
        <f>-0.0012233254*3600</f>
        <v>-4.4039714400000003</v>
      </c>
    </row>
    <row r="999" spans="1:18" x14ac:dyDescent="0.3">
      <c r="A999" t="s">
        <v>340</v>
      </c>
      <c r="B999" s="12">
        <v>8603</v>
      </c>
      <c r="C999" s="12">
        <v>207.463819</v>
      </c>
      <c r="D999" s="12">
        <v>300.78271999999998</v>
      </c>
      <c r="E999">
        <v>1</v>
      </c>
      <c r="F999">
        <v>1</v>
      </c>
      <c r="G999">
        <v>0</v>
      </c>
      <c r="H999">
        <v>0</v>
      </c>
      <c r="J999" t="s">
        <v>0</v>
      </c>
      <c r="K999" t="s">
        <v>61</v>
      </c>
      <c r="L999">
        <v>0</v>
      </c>
      <c r="M999" t="s">
        <v>52</v>
      </c>
      <c r="N999">
        <v>1</v>
      </c>
      <c r="O999" t="s">
        <v>63</v>
      </c>
      <c r="P999" s="2">
        <v>0.50902777777777775</v>
      </c>
      <c r="Q999">
        <f>0.0008602606*3600</f>
        <v>3.0969381600000001</v>
      </c>
      <c r="R999">
        <f>-0.0010792886*3600</f>
        <v>-3.8854389600000001</v>
      </c>
    </row>
    <row r="1000" spans="1:18" x14ac:dyDescent="0.3">
      <c r="A1000" t="s">
        <v>340</v>
      </c>
      <c r="B1000" s="12">
        <v>8604</v>
      </c>
      <c r="C1000" s="12">
        <v>207.463977</v>
      </c>
      <c r="D1000" s="12">
        <v>300.782579</v>
      </c>
      <c r="E1000">
        <v>1</v>
      </c>
      <c r="F1000">
        <v>1</v>
      </c>
      <c r="G1000">
        <v>0</v>
      </c>
      <c r="H1000">
        <v>0</v>
      </c>
      <c r="J1000" t="s">
        <v>0</v>
      </c>
      <c r="K1000" t="s">
        <v>61</v>
      </c>
      <c r="L1000">
        <v>0</v>
      </c>
      <c r="M1000" t="s">
        <v>52</v>
      </c>
      <c r="N1000">
        <v>1</v>
      </c>
      <c r="O1000" t="s">
        <v>63</v>
      </c>
      <c r="P1000" s="2">
        <v>0.50902777777777775</v>
      </c>
      <c r="Q1000">
        <f>0.000675151*3600</f>
        <v>2.4305436</v>
      </c>
      <c r="R1000">
        <f>-0.0012017011*3600</f>
        <v>-4.3261239599999994</v>
      </c>
    </row>
    <row r="1001" spans="1:18" x14ac:dyDescent="0.3">
      <c r="A1001" t="s">
        <v>340</v>
      </c>
      <c r="B1001" s="12">
        <v>8605</v>
      </c>
      <c r="C1001" s="12">
        <v>207.463573</v>
      </c>
      <c r="D1001" s="12">
        <v>300.78271699999999</v>
      </c>
      <c r="E1001">
        <v>1</v>
      </c>
      <c r="F1001">
        <v>1</v>
      </c>
      <c r="G1001">
        <v>0</v>
      </c>
      <c r="H1001">
        <v>0</v>
      </c>
      <c r="J1001" t="s">
        <v>0</v>
      </c>
      <c r="K1001" t="s">
        <v>61</v>
      </c>
      <c r="L1001">
        <v>0</v>
      </c>
      <c r="M1001" t="s">
        <v>52</v>
      </c>
      <c r="N1001">
        <v>1</v>
      </c>
      <c r="O1001" t="s">
        <v>63</v>
      </c>
      <c r="P1001" s="2">
        <v>0.50902777777777775</v>
      </c>
      <c r="Q1001">
        <f>0.0009265678*3600</f>
        <v>3.3356440800000002</v>
      </c>
      <c r="R1001">
        <f>-0.0010605216*3600</f>
        <v>-3.81787776</v>
      </c>
    </row>
    <row r="1002" spans="1:18" x14ac:dyDescent="0.3">
      <c r="A1002" t="s">
        <v>340</v>
      </c>
      <c r="B1002" s="12">
        <v>8606</v>
      </c>
      <c r="C1002" s="12">
        <v>207.46393900000001</v>
      </c>
      <c r="D1002" s="12">
        <v>300.78262999999998</v>
      </c>
      <c r="E1002">
        <v>1</v>
      </c>
      <c r="F1002">
        <v>1</v>
      </c>
      <c r="G1002">
        <v>0</v>
      </c>
      <c r="H1002">
        <v>0</v>
      </c>
      <c r="J1002" t="s">
        <v>0</v>
      </c>
      <c r="K1002" t="s">
        <v>61</v>
      </c>
      <c r="L1002">
        <v>0</v>
      </c>
      <c r="M1002" t="s">
        <v>52</v>
      </c>
      <c r="N1002">
        <v>1</v>
      </c>
      <c r="O1002" t="s">
        <v>63</v>
      </c>
      <c r="P1002" s="2">
        <v>0.50902777777777775</v>
      </c>
      <c r="Q1002">
        <f>0.0008626292*3600</f>
        <v>3.1054651200000003</v>
      </c>
      <c r="R1002">
        <f>-0.0011479165*3600</f>
        <v>-4.1324994000000004</v>
      </c>
    </row>
    <row r="1003" spans="1:18" x14ac:dyDescent="0.3">
      <c r="A1003" t="s">
        <v>340</v>
      </c>
      <c r="B1003" s="12">
        <v>8607</v>
      </c>
      <c r="C1003" s="12">
        <v>207.46415500000001</v>
      </c>
      <c r="D1003" s="12">
        <v>300.782735</v>
      </c>
      <c r="E1003">
        <v>1</v>
      </c>
      <c r="F1003">
        <v>1</v>
      </c>
      <c r="G1003">
        <v>0</v>
      </c>
      <c r="H1003">
        <v>0</v>
      </c>
      <c r="J1003" t="s">
        <v>0</v>
      </c>
      <c r="K1003" t="s">
        <v>61</v>
      </c>
      <c r="L1003">
        <v>0</v>
      </c>
      <c r="M1003" t="s">
        <v>52</v>
      </c>
      <c r="N1003">
        <v>1</v>
      </c>
      <c r="O1003" t="s">
        <v>63</v>
      </c>
      <c r="P1003" s="2">
        <v>0.50902777777777775</v>
      </c>
      <c r="Q1003">
        <f>0.000712246*3600</f>
        <v>2.5640856000000003</v>
      </c>
      <c r="R1003">
        <f>-0.001058614*3600</f>
        <v>-3.8110104000000002</v>
      </c>
    </row>
    <row r="1004" spans="1:18" x14ac:dyDescent="0.3">
      <c r="A1004" t="s">
        <v>340</v>
      </c>
      <c r="B1004" s="12">
        <v>8608</v>
      </c>
      <c r="C1004" s="12">
        <v>207.463831</v>
      </c>
      <c r="D1004" s="12">
        <v>300.78256199999998</v>
      </c>
      <c r="E1004">
        <v>1</v>
      </c>
      <c r="F1004">
        <v>1</v>
      </c>
      <c r="G1004">
        <v>0</v>
      </c>
      <c r="H1004">
        <v>0</v>
      </c>
      <c r="J1004" t="s">
        <v>0</v>
      </c>
      <c r="K1004" t="s">
        <v>61</v>
      </c>
      <c r="L1004">
        <v>0</v>
      </c>
      <c r="M1004" t="s">
        <v>52</v>
      </c>
      <c r="N1004">
        <v>1</v>
      </c>
      <c r="O1004" t="s">
        <v>63</v>
      </c>
      <c r="P1004" s="2">
        <v>0.50902777777777775</v>
      </c>
      <c r="Q1004">
        <f>0.0006706455*3600</f>
        <v>2.4143238</v>
      </c>
      <c r="R1004">
        <f>-0.0012376656*3600</f>
        <v>-4.4555961599999998</v>
      </c>
    </row>
    <row r="1005" spans="1:18" x14ac:dyDescent="0.3">
      <c r="A1005" t="s">
        <v>340</v>
      </c>
      <c r="B1005" s="12">
        <v>8609</v>
      </c>
      <c r="C1005" s="12">
        <v>207.46365499999999</v>
      </c>
      <c r="D1005" s="12">
        <v>300.78270300000003</v>
      </c>
      <c r="E1005">
        <v>1</v>
      </c>
      <c r="F1005">
        <v>1</v>
      </c>
      <c r="G1005">
        <v>0</v>
      </c>
      <c r="H1005">
        <v>0</v>
      </c>
      <c r="J1005" t="s">
        <v>0</v>
      </c>
      <c r="K1005" t="s">
        <v>61</v>
      </c>
      <c r="L1005">
        <v>0</v>
      </c>
      <c r="M1005" t="s">
        <v>52</v>
      </c>
      <c r="N1005">
        <v>1</v>
      </c>
      <c r="O1005" t="s">
        <v>63</v>
      </c>
      <c r="P1005" s="2">
        <v>0.50902777777777775</v>
      </c>
      <c r="Q1005">
        <f>0.0008681992*3600</f>
        <v>3.12551712</v>
      </c>
      <c r="R1005">
        <f>-0.0010741918*3600</f>
        <v>-3.8670904799999999</v>
      </c>
    </row>
    <row r="1006" spans="1:18" x14ac:dyDescent="0.3">
      <c r="A1006" t="s">
        <v>340</v>
      </c>
      <c r="B1006" s="12">
        <v>8610</v>
      </c>
      <c r="C1006" s="12">
        <v>207.46490900000001</v>
      </c>
      <c r="D1006" s="12">
        <v>300.782715</v>
      </c>
      <c r="E1006">
        <v>1</v>
      </c>
      <c r="F1006">
        <v>1</v>
      </c>
      <c r="G1006">
        <v>0</v>
      </c>
      <c r="H1006">
        <v>0</v>
      </c>
      <c r="J1006" t="s">
        <v>0</v>
      </c>
      <c r="K1006" t="s">
        <v>61</v>
      </c>
      <c r="L1006">
        <v>0</v>
      </c>
      <c r="M1006" t="s">
        <v>52</v>
      </c>
      <c r="N1006">
        <v>1</v>
      </c>
      <c r="O1006" t="s">
        <v>63</v>
      </c>
      <c r="P1006" s="2">
        <v>0.50902777777777775</v>
      </c>
      <c r="Q1006">
        <f>0.0007734363*3600</f>
        <v>2.7843706799999999</v>
      </c>
      <c r="R1006">
        <f>-0.0010905751*3600</f>
        <v>-3.9260703599999998</v>
      </c>
    </row>
    <row r="1007" spans="1:18" x14ac:dyDescent="0.3">
      <c r="A1007" t="s">
        <v>340</v>
      </c>
      <c r="B1007" s="12">
        <v>8611</v>
      </c>
      <c r="C1007" s="12">
        <v>207.463256</v>
      </c>
      <c r="D1007" s="12">
        <v>300.78259200000002</v>
      </c>
      <c r="E1007">
        <v>1</v>
      </c>
      <c r="F1007">
        <v>1</v>
      </c>
      <c r="G1007">
        <v>0</v>
      </c>
      <c r="H1007">
        <v>0</v>
      </c>
      <c r="J1007" t="s">
        <v>0</v>
      </c>
      <c r="K1007" t="s">
        <v>61</v>
      </c>
      <c r="L1007">
        <v>0</v>
      </c>
      <c r="M1007" t="s">
        <v>52</v>
      </c>
      <c r="N1007">
        <v>1</v>
      </c>
      <c r="O1007" t="s">
        <v>63</v>
      </c>
      <c r="P1007" s="2">
        <v>0.50902777777777775</v>
      </c>
      <c r="Q1007">
        <f>0.000642321*3600</f>
        <v>2.3123555999999996</v>
      </c>
      <c r="R1007">
        <f>-0.0012136913*3600</f>
        <v>-4.3692886799999995</v>
      </c>
    </row>
    <row r="1008" spans="1:18" x14ac:dyDescent="0.3">
      <c r="A1008" t="s">
        <v>340</v>
      </c>
      <c r="B1008" s="12">
        <v>8612</v>
      </c>
      <c r="C1008" s="12">
        <v>207.462975</v>
      </c>
      <c r="D1008" s="12">
        <v>300.78264799999999</v>
      </c>
      <c r="E1008">
        <v>1</v>
      </c>
      <c r="F1008">
        <v>1</v>
      </c>
      <c r="G1008">
        <v>0</v>
      </c>
      <c r="H1008">
        <v>0</v>
      </c>
      <c r="J1008" t="s">
        <v>0</v>
      </c>
      <c r="K1008" t="s">
        <v>61</v>
      </c>
      <c r="L1008">
        <v>0</v>
      </c>
      <c r="M1008" t="s">
        <v>52</v>
      </c>
      <c r="N1008">
        <v>1</v>
      </c>
      <c r="O1008" t="s">
        <v>63</v>
      </c>
      <c r="P1008" s="2">
        <v>0.50902777777777775</v>
      </c>
      <c r="Q1008">
        <f>0.0005445239*3600</f>
        <v>1.96028604</v>
      </c>
      <c r="R1008">
        <f>-0.0011396646*3600</f>
        <v>-4.1027925600000001</v>
      </c>
    </row>
    <row r="1009" spans="1:18" x14ac:dyDescent="0.3">
      <c r="A1009" t="s">
        <v>340</v>
      </c>
      <c r="B1009" s="12">
        <v>8613</v>
      </c>
      <c r="C1009" s="12">
        <v>207.46278100000001</v>
      </c>
      <c r="D1009" s="12">
        <v>300.78253100000001</v>
      </c>
      <c r="E1009">
        <v>1</v>
      </c>
      <c r="F1009">
        <v>1</v>
      </c>
      <c r="G1009">
        <v>0</v>
      </c>
      <c r="H1009">
        <v>0</v>
      </c>
      <c r="J1009" t="s">
        <v>0</v>
      </c>
      <c r="K1009" t="s">
        <v>61</v>
      </c>
      <c r="L1009">
        <v>0</v>
      </c>
      <c r="M1009" t="s">
        <v>52</v>
      </c>
      <c r="N1009">
        <v>1</v>
      </c>
      <c r="O1009" t="s">
        <v>63</v>
      </c>
      <c r="P1009" s="2">
        <v>0.50902777777777775</v>
      </c>
      <c r="Q1009">
        <f>0.0004274782*3600</f>
        <v>1.5389215199999999</v>
      </c>
      <c r="R1009">
        <f>-0.0012893051*3600</f>
        <v>-4.6414983599999999</v>
      </c>
    </row>
    <row r="1010" spans="1:18" x14ac:dyDescent="0.3">
      <c r="A1010" t="s">
        <v>340</v>
      </c>
      <c r="B1010" s="12">
        <v>8614</v>
      </c>
      <c r="C1010" s="12">
        <v>207.46288200000001</v>
      </c>
      <c r="D1010" s="12">
        <v>300.78265399999998</v>
      </c>
      <c r="E1010">
        <v>1</v>
      </c>
      <c r="F1010">
        <v>1</v>
      </c>
      <c r="G1010">
        <v>0</v>
      </c>
      <c r="H1010">
        <v>0</v>
      </c>
      <c r="J1010" t="s">
        <v>0</v>
      </c>
      <c r="K1010" t="s">
        <v>61</v>
      </c>
      <c r="L1010">
        <v>0</v>
      </c>
      <c r="M1010" t="s">
        <v>52</v>
      </c>
      <c r="N1010">
        <v>1</v>
      </c>
      <c r="O1010" t="s">
        <v>63</v>
      </c>
      <c r="P1010" s="2">
        <v>0.50902777777777775</v>
      </c>
      <c r="Q1010">
        <f>0.0006671569*3600</f>
        <v>2.4017648399999998</v>
      </c>
      <c r="R1010">
        <f>-0.0011660383*3600</f>
        <v>-4.19773788</v>
      </c>
    </row>
    <row r="1011" spans="1:18" x14ac:dyDescent="0.3">
      <c r="A1011" t="s">
        <v>340</v>
      </c>
      <c r="B1011" s="12">
        <v>8615</v>
      </c>
      <c r="C1011" s="12">
        <v>207.46419599999999</v>
      </c>
      <c r="D1011" s="12">
        <v>300.78267599999998</v>
      </c>
      <c r="E1011">
        <v>1</v>
      </c>
      <c r="F1011">
        <v>1</v>
      </c>
      <c r="G1011">
        <v>0</v>
      </c>
      <c r="H1011">
        <v>0</v>
      </c>
      <c r="J1011" t="s">
        <v>0</v>
      </c>
      <c r="K1011" t="s">
        <v>61</v>
      </c>
      <c r="L1011">
        <v>0</v>
      </c>
      <c r="M1011" t="s">
        <v>52</v>
      </c>
      <c r="N1011">
        <v>1</v>
      </c>
      <c r="O1011" t="s">
        <v>63</v>
      </c>
      <c r="P1011" s="2">
        <v>0.50902777777777775</v>
      </c>
      <c r="Q1011">
        <f>0.000788652*3600</f>
        <v>2.8391472000000002</v>
      </c>
      <c r="R1011">
        <f>-0.0011384553*3600</f>
        <v>-4.0984390799999995</v>
      </c>
    </row>
    <row r="1012" spans="1:18" x14ac:dyDescent="0.3">
      <c r="A1012" t="s">
        <v>340</v>
      </c>
      <c r="B1012" s="12">
        <v>8616</v>
      </c>
      <c r="C1012" s="12">
        <v>207.46436</v>
      </c>
      <c r="D1012" s="12">
        <v>300.78268500000001</v>
      </c>
      <c r="E1012">
        <v>1</v>
      </c>
      <c r="F1012">
        <v>1</v>
      </c>
      <c r="G1012">
        <v>0</v>
      </c>
      <c r="H1012">
        <v>0</v>
      </c>
      <c r="J1012" t="s">
        <v>0</v>
      </c>
      <c r="K1012" t="s">
        <v>61</v>
      </c>
      <c r="L1012">
        <v>0</v>
      </c>
      <c r="M1012" t="s">
        <v>52</v>
      </c>
      <c r="N1012">
        <v>1</v>
      </c>
      <c r="O1012" t="s">
        <v>63</v>
      </c>
      <c r="P1012" s="2">
        <v>0.50902777777777775</v>
      </c>
      <c r="Q1012">
        <f>0.0007531043*3600</f>
        <v>2.7111754800000001</v>
      </c>
      <c r="R1012">
        <f>-0.0011320594*3600</f>
        <v>-4.0754138400000004</v>
      </c>
    </row>
    <row r="1013" spans="1:18" x14ac:dyDescent="0.3">
      <c r="A1013" t="s">
        <v>340</v>
      </c>
      <c r="B1013" s="12">
        <v>8617</v>
      </c>
      <c r="C1013" s="12">
        <v>207.46356700000001</v>
      </c>
      <c r="D1013" s="12">
        <v>300.78259600000001</v>
      </c>
      <c r="E1013">
        <v>1</v>
      </c>
      <c r="F1013">
        <v>1</v>
      </c>
      <c r="G1013">
        <v>0</v>
      </c>
      <c r="H1013">
        <v>0</v>
      </c>
      <c r="J1013" t="s">
        <v>0</v>
      </c>
      <c r="K1013" t="s">
        <v>61</v>
      </c>
      <c r="L1013">
        <v>0</v>
      </c>
      <c r="M1013" t="s">
        <v>52</v>
      </c>
      <c r="N1013">
        <v>1</v>
      </c>
      <c r="O1013" t="s">
        <v>63</v>
      </c>
      <c r="P1013" s="2">
        <v>0.50902777777777775</v>
      </c>
      <c r="Q1013">
        <f>0.0006803345*3600</f>
        <v>2.4492041999999996</v>
      </c>
      <c r="R1013">
        <f>-0.0012201415*3600</f>
        <v>-4.3925093999999998</v>
      </c>
    </row>
    <row r="1014" spans="1:18" x14ac:dyDescent="0.3">
      <c r="A1014" t="s">
        <v>340</v>
      </c>
      <c r="B1014" s="12">
        <v>8618</v>
      </c>
      <c r="C1014" s="12">
        <v>207.463381</v>
      </c>
      <c r="D1014" s="12">
        <v>300.78260499999999</v>
      </c>
      <c r="E1014">
        <v>1</v>
      </c>
      <c r="F1014">
        <v>1</v>
      </c>
      <c r="G1014">
        <v>0</v>
      </c>
      <c r="H1014">
        <v>0</v>
      </c>
      <c r="J1014" t="s">
        <v>0</v>
      </c>
      <c r="K1014" t="s">
        <v>61</v>
      </c>
      <c r="L1014">
        <v>0</v>
      </c>
      <c r="M1014" t="s">
        <v>52</v>
      </c>
      <c r="N1014">
        <v>1</v>
      </c>
      <c r="O1014" t="s">
        <v>63</v>
      </c>
      <c r="P1014" s="2">
        <v>0.50902777777777775</v>
      </c>
      <c r="Q1014">
        <f>0.0006716291*3600</f>
        <v>2.4178647600000001</v>
      </c>
      <c r="R1014">
        <f>-0.001210583*3600</f>
        <v>-4.3580988000000005</v>
      </c>
    </row>
    <row r="1015" spans="1:18" x14ac:dyDescent="0.3">
      <c r="A1015" t="s">
        <v>340</v>
      </c>
      <c r="B1015" s="12">
        <v>8619</v>
      </c>
      <c r="C1015" s="12">
        <v>207.46291400000001</v>
      </c>
      <c r="D1015" s="12">
        <v>300.78259400000002</v>
      </c>
      <c r="E1015">
        <v>1</v>
      </c>
      <c r="F1015">
        <v>1</v>
      </c>
      <c r="G1015">
        <v>0</v>
      </c>
      <c r="H1015">
        <v>0</v>
      </c>
      <c r="J1015" t="s">
        <v>0</v>
      </c>
      <c r="K1015" t="s">
        <v>61</v>
      </c>
      <c r="L1015">
        <v>0</v>
      </c>
      <c r="M1015" t="s">
        <v>52</v>
      </c>
      <c r="N1015">
        <v>1</v>
      </c>
      <c r="O1015" t="s">
        <v>63</v>
      </c>
      <c r="P1015" s="2">
        <v>0.50972222222222219</v>
      </c>
      <c r="Q1015">
        <f>0.0004842955*3600</f>
        <v>1.7434638</v>
      </c>
      <c r="R1015">
        <f>-0.0012103633*3600</f>
        <v>-4.3573078799999996</v>
      </c>
    </row>
    <row r="1016" spans="1:18" x14ac:dyDescent="0.3">
      <c r="A1016" t="s">
        <v>340</v>
      </c>
      <c r="B1016" s="12">
        <v>8620</v>
      </c>
      <c r="C1016" s="12">
        <v>207.46358599999999</v>
      </c>
      <c r="D1016" s="12">
        <v>300.782689</v>
      </c>
      <c r="E1016">
        <v>1</v>
      </c>
      <c r="F1016">
        <v>1</v>
      </c>
      <c r="G1016">
        <v>0</v>
      </c>
      <c r="H1016">
        <v>0</v>
      </c>
      <c r="J1016" t="s">
        <v>0</v>
      </c>
      <c r="K1016" t="s">
        <v>61</v>
      </c>
      <c r="L1016">
        <v>0</v>
      </c>
      <c r="M1016" t="s">
        <v>52</v>
      </c>
      <c r="N1016">
        <v>1</v>
      </c>
      <c r="O1016" t="s">
        <v>63</v>
      </c>
      <c r="P1016" s="2">
        <v>0.50972222222222219</v>
      </c>
      <c r="Q1016">
        <f>0.00058748*3600</f>
        <v>2.1149279999999999</v>
      </c>
      <c r="R1016">
        <f>-0.0011203917*3600</f>
        <v>-4.0334101199999992</v>
      </c>
    </row>
    <row r="1017" spans="1:18" x14ac:dyDescent="0.3">
      <c r="A1017" t="s">
        <v>340</v>
      </c>
      <c r="B1017" s="12">
        <v>8621</v>
      </c>
      <c r="C1017" s="12">
        <v>207.46459100000001</v>
      </c>
      <c r="D1017" s="12">
        <v>300.78256900000002</v>
      </c>
      <c r="E1017">
        <v>1</v>
      </c>
      <c r="F1017">
        <v>1</v>
      </c>
      <c r="G1017">
        <v>0</v>
      </c>
      <c r="H1017">
        <v>0</v>
      </c>
      <c r="J1017" t="s">
        <v>0</v>
      </c>
      <c r="K1017" t="s">
        <v>61</v>
      </c>
      <c r="L1017">
        <v>0</v>
      </c>
      <c r="M1017" t="s">
        <v>52</v>
      </c>
      <c r="N1017">
        <v>1</v>
      </c>
      <c r="O1017" t="s">
        <v>63</v>
      </c>
      <c r="P1017" s="2">
        <v>0.50972222222222219</v>
      </c>
      <c r="Q1017">
        <f>0.0004943608*3600</f>
        <v>1.7796988799999998</v>
      </c>
      <c r="R1017">
        <f>-0.00124116*3600</f>
        <v>-4.4681760000000006</v>
      </c>
    </row>
    <row r="1018" spans="1:18" x14ac:dyDescent="0.3">
      <c r="A1018" t="s">
        <v>340</v>
      </c>
      <c r="B1018" s="12">
        <v>8622</v>
      </c>
      <c r="C1018" s="12">
        <v>207.46436399999999</v>
      </c>
      <c r="D1018" s="12">
        <v>300.78277500000002</v>
      </c>
      <c r="E1018">
        <v>1</v>
      </c>
      <c r="F1018">
        <v>1</v>
      </c>
      <c r="G1018">
        <v>0</v>
      </c>
      <c r="H1018">
        <v>0</v>
      </c>
      <c r="J1018" t="s">
        <v>0</v>
      </c>
      <c r="K1018" t="s">
        <v>61</v>
      </c>
      <c r="L1018">
        <v>0</v>
      </c>
      <c r="M1018" t="s">
        <v>52</v>
      </c>
      <c r="N1018">
        <v>1</v>
      </c>
      <c r="O1018" t="s">
        <v>63</v>
      </c>
      <c r="P1018" s="2">
        <v>0.50972222222222219</v>
      </c>
      <c r="Q1018">
        <f>0.0007241933*3600</f>
        <v>2.6070958800000001</v>
      </c>
      <c r="R1018">
        <f>-0.0010315051*3600</f>
        <v>-3.7134183600000004</v>
      </c>
    </row>
    <row r="1019" spans="1:18" x14ac:dyDescent="0.3">
      <c r="A1019" t="s">
        <v>340</v>
      </c>
      <c r="B1019" s="12">
        <v>8623</v>
      </c>
      <c r="C1019" s="12">
        <v>207.463933</v>
      </c>
      <c r="D1019" s="12">
        <v>300.76350300000001</v>
      </c>
      <c r="E1019">
        <v>1</v>
      </c>
      <c r="F1019">
        <v>1</v>
      </c>
      <c r="G1019">
        <v>0</v>
      </c>
      <c r="H1019">
        <v>0</v>
      </c>
      <c r="J1019" t="s">
        <v>0</v>
      </c>
      <c r="K1019" t="s">
        <v>61</v>
      </c>
      <c r="L1019">
        <v>0</v>
      </c>
      <c r="M1019" t="s">
        <v>52</v>
      </c>
      <c r="N1019">
        <v>1</v>
      </c>
      <c r="O1019" t="s">
        <v>63</v>
      </c>
      <c r="P1019" s="2">
        <v>0.51041666666666663</v>
      </c>
      <c r="Q1019">
        <f>0.0005575142*3600</f>
        <v>2.0070511199999999</v>
      </c>
      <c r="R1019">
        <f>-0.0013550945*3600</f>
        <v>-4.8783402000000002</v>
      </c>
    </row>
    <row r="1020" spans="1:18" x14ac:dyDescent="0.3">
      <c r="A1020" t="s">
        <v>340</v>
      </c>
      <c r="B1020" s="12">
        <v>8624</v>
      </c>
      <c r="C1020" s="12">
        <v>207.46401700000001</v>
      </c>
      <c r="D1020" s="12">
        <v>300.76357300000001</v>
      </c>
      <c r="E1020">
        <v>1</v>
      </c>
      <c r="F1020">
        <v>1</v>
      </c>
      <c r="G1020">
        <v>0</v>
      </c>
      <c r="H1020">
        <v>0</v>
      </c>
      <c r="J1020" t="s">
        <v>0</v>
      </c>
      <c r="K1020" t="s">
        <v>61</v>
      </c>
      <c r="L1020">
        <v>0</v>
      </c>
      <c r="M1020" t="s">
        <v>52</v>
      </c>
      <c r="N1020">
        <v>1</v>
      </c>
      <c r="O1020" t="s">
        <v>63</v>
      </c>
      <c r="P1020" s="2">
        <v>0.51041666666666663</v>
      </c>
      <c r="Q1020">
        <f>0.0006927565*3600</f>
        <v>2.4939233999999999</v>
      </c>
      <c r="R1020">
        <f>-0.0012544794*3600</f>
        <v>-4.5161258399999999</v>
      </c>
    </row>
    <row r="1021" spans="1:18" x14ac:dyDescent="0.3">
      <c r="A1021" t="s">
        <v>340</v>
      </c>
      <c r="B1021" s="12">
        <v>8625</v>
      </c>
      <c r="C1021" s="12">
        <v>207.463874</v>
      </c>
      <c r="D1021" s="12">
        <v>300.76357200000001</v>
      </c>
      <c r="E1021">
        <v>1</v>
      </c>
      <c r="F1021">
        <v>1</v>
      </c>
      <c r="G1021">
        <v>0</v>
      </c>
      <c r="H1021">
        <v>0</v>
      </c>
      <c r="J1021" t="s">
        <v>0</v>
      </c>
      <c r="K1021" t="s">
        <v>61</v>
      </c>
      <c r="L1021">
        <v>0</v>
      </c>
      <c r="M1021" t="s">
        <v>52</v>
      </c>
      <c r="N1021">
        <v>1</v>
      </c>
      <c r="O1021" t="s">
        <v>63</v>
      </c>
      <c r="P1021" s="2">
        <v>0.51041666666666663</v>
      </c>
      <c r="Q1021">
        <f>0.0006169384*3600</f>
        <v>2.22097824</v>
      </c>
      <c r="R1021">
        <f>-0.0012881656*3600</f>
        <v>-4.6373961599999998</v>
      </c>
    </row>
    <row r="1022" spans="1:18" x14ac:dyDescent="0.3">
      <c r="A1022" t="s">
        <v>340</v>
      </c>
      <c r="B1022" s="12">
        <v>8626</v>
      </c>
      <c r="C1022" s="12">
        <v>207.46554800000001</v>
      </c>
      <c r="D1022" s="12">
        <v>300.76367499999998</v>
      </c>
      <c r="E1022">
        <v>1</v>
      </c>
      <c r="F1022">
        <v>1</v>
      </c>
      <c r="G1022">
        <v>0</v>
      </c>
      <c r="H1022">
        <v>0</v>
      </c>
      <c r="J1022" t="s">
        <v>0</v>
      </c>
      <c r="K1022" t="s">
        <v>61</v>
      </c>
      <c r="L1022">
        <v>0</v>
      </c>
      <c r="M1022" t="s">
        <v>52</v>
      </c>
      <c r="N1022">
        <v>1</v>
      </c>
      <c r="O1022" t="s">
        <v>63</v>
      </c>
      <c r="P1022" s="2">
        <v>0.51041666666666663</v>
      </c>
      <c r="Q1022">
        <f>0.000784938*3600</f>
        <v>2.8257767999999999</v>
      </c>
      <c r="R1022">
        <f>-0.0011708999*3600</f>
        <v>-4.2152396400000001</v>
      </c>
    </row>
    <row r="1023" spans="1:18" x14ac:dyDescent="0.3">
      <c r="A1023" t="s">
        <v>340</v>
      </c>
      <c r="B1023" s="12">
        <v>8627</v>
      </c>
      <c r="C1023" s="12">
        <v>207.46394799999999</v>
      </c>
      <c r="D1023" s="12">
        <v>300.76357899999999</v>
      </c>
      <c r="E1023">
        <v>1</v>
      </c>
      <c r="F1023">
        <v>1</v>
      </c>
      <c r="G1023">
        <v>0</v>
      </c>
      <c r="H1023">
        <v>0</v>
      </c>
      <c r="J1023" t="s">
        <v>0</v>
      </c>
      <c r="K1023" t="s">
        <v>61</v>
      </c>
      <c r="L1023">
        <v>0</v>
      </c>
      <c r="M1023" t="s">
        <v>52</v>
      </c>
      <c r="N1023">
        <v>1</v>
      </c>
      <c r="O1023" t="s">
        <v>63</v>
      </c>
      <c r="P1023" s="2">
        <v>0.51041666666666663</v>
      </c>
      <c r="Q1023">
        <f>0.0007068467*3600</f>
        <v>2.5446481200000002</v>
      </c>
      <c r="R1023">
        <f>-0.0012612693*3600</f>
        <v>-4.5405694800000003</v>
      </c>
    </row>
    <row r="1024" spans="1:18" x14ac:dyDescent="0.3">
      <c r="A1024" t="s">
        <v>340</v>
      </c>
      <c r="B1024" s="12">
        <v>8628</v>
      </c>
      <c r="C1024" s="12">
        <v>207.462885</v>
      </c>
      <c r="D1024" s="12">
        <v>300.76349099999999</v>
      </c>
      <c r="E1024">
        <v>1</v>
      </c>
      <c r="F1024">
        <v>1</v>
      </c>
      <c r="G1024">
        <v>0</v>
      </c>
      <c r="H1024">
        <v>0</v>
      </c>
      <c r="J1024" t="s">
        <v>0</v>
      </c>
      <c r="K1024" t="s">
        <v>61</v>
      </c>
      <c r="L1024">
        <v>0</v>
      </c>
      <c r="M1024" t="s">
        <v>52</v>
      </c>
      <c r="N1024">
        <v>1</v>
      </c>
      <c r="O1024" t="s">
        <v>63</v>
      </c>
      <c r="P1024" s="2">
        <v>0.51041666666666663</v>
      </c>
      <c r="Q1024">
        <f>0.0006173223*3600</f>
        <v>2.2223602800000002</v>
      </c>
      <c r="R1024">
        <f>-0.0013555446*3600</f>
        <v>-4.8799605599999998</v>
      </c>
    </row>
    <row r="1025" spans="1:18" x14ac:dyDescent="0.3">
      <c r="A1025" t="s">
        <v>340</v>
      </c>
      <c r="B1025" s="12">
        <v>8629</v>
      </c>
      <c r="C1025" s="12">
        <v>207.464234</v>
      </c>
      <c r="D1025" s="12">
        <v>300.7636</v>
      </c>
      <c r="E1025">
        <v>1</v>
      </c>
      <c r="F1025">
        <v>1</v>
      </c>
      <c r="G1025">
        <v>0</v>
      </c>
      <c r="H1025">
        <v>0</v>
      </c>
      <c r="J1025" t="s">
        <v>0</v>
      </c>
      <c r="K1025" t="s">
        <v>61</v>
      </c>
      <c r="L1025">
        <v>0</v>
      </c>
      <c r="M1025" t="s">
        <v>52</v>
      </c>
      <c r="N1025">
        <v>1</v>
      </c>
      <c r="O1025" t="s">
        <v>63</v>
      </c>
      <c r="P1025" s="2">
        <v>0.51041666666666663</v>
      </c>
      <c r="Q1025">
        <f>0.0007555092*3600</f>
        <v>2.7198331200000001</v>
      </c>
      <c r="R1025">
        <f>-0.0012532109*3600</f>
        <v>-4.5115592399999995</v>
      </c>
    </row>
    <row r="1026" spans="1:18" x14ac:dyDescent="0.3">
      <c r="A1026" t="s">
        <v>340</v>
      </c>
      <c r="B1026" s="12">
        <v>8630</v>
      </c>
      <c r="C1026" s="12">
        <v>207.46478400000001</v>
      </c>
      <c r="D1026" s="12">
        <v>300.76357899999999</v>
      </c>
      <c r="E1026">
        <v>1</v>
      </c>
      <c r="F1026">
        <v>1</v>
      </c>
      <c r="G1026">
        <v>0</v>
      </c>
      <c r="H1026">
        <v>0</v>
      </c>
      <c r="J1026" t="s">
        <v>0</v>
      </c>
      <c r="K1026" t="s">
        <v>61</v>
      </c>
      <c r="L1026">
        <v>0</v>
      </c>
      <c r="M1026" t="s">
        <v>52</v>
      </c>
      <c r="N1026">
        <v>1</v>
      </c>
      <c r="O1026" t="s">
        <v>63</v>
      </c>
      <c r="P1026" s="2">
        <v>0.51041666666666663</v>
      </c>
      <c r="Q1026">
        <f>0.0005689755*3600</f>
        <v>2.0483118</v>
      </c>
      <c r="R1026">
        <f>-0.0012589498*3600</f>
        <v>-4.5322192799999996</v>
      </c>
    </row>
    <row r="1027" spans="1:18" x14ac:dyDescent="0.3">
      <c r="A1027" t="s">
        <v>340</v>
      </c>
      <c r="B1027" s="12">
        <v>8631</v>
      </c>
      <c r="C1027" s="12">
        <v>207.46481499999999</v>
      </c>
      <c r="D1027" s="12">
        <v>300.76352500000002</v>
      </c>
      <c r="E1027">
        <v>1</v>
      </c>
      <c r="F1027">
        <v>1</v>
      </c>
      <c r="G1027">
        <v>0</v>
      </c>
      <c r="H1027">
        <v>0</v>
      </c>
      <c r="J1027" t="s">
        <v>0</v>
      </c>
      <c r="K1027" t="s">
        <v>61</v>
      </c>
      <c r="L1027">
        <v>0</v>
      </c>
      <c r="M1027" t="s">
        <v>52</v>
      </c>
      <c r="N1027">
        <v>1</v>
      </c>
      <c r="O1027" t="s">
        <v>63</v>
      </c>
      <c r="P1027" s="2">
        <v>0.51041666666666663</v>
      </c>
      <c r="Q1027">
        <f>0.0006392323*3600</f>
        <v>2.3012362799999999</v>
      </c>
      <c r="R1027">
        <f>-0.0013037696*3600</f>
        <v>-4.6935705599999995</v>
      </c>
    </row>
    <row r="1028" spans="1:18" x14ac:dyDescent="0.3">
      <c r="A1028" t="s">
        <v>340</v>
      </c>
      <c r="B1028" s="12">
        <v>8632</v>
      </c>
      <c r="C1028" s="12">
        <v>207.463425</v>
      </c>
      <c r="D1028" s="12">
        <v>300.763576</v>
      </c>
      <c r="E1028">
        <v>1</v>
      </c>
      <c r="F1028">
        <v>1</v>
      </c>
      <c r="G1028">
        <v>0</v>
      </c>
      <c r="H1028">
        <v>0</v>
      </c>
      <c r="J1028" t="s">
        <v>0</v>
      </c>
      <c r="K1028" t="s">
        <v>61</v>
      </c>
      <c r="L1028">
        <v>0</v>
      </c>
      <c r="M1028" t="s">
        <v>52</v>
      </c>
      <c r="N1028">
        <v>1</v>
      </c>
      <c r="O1028" t="s">
        <v>63</v>
      </c>
      <c r="P1028" s="2">
        <v>0.51041666666666663</v>
      </c>
      <c r="Q1028">
        <f>0.0005883931*3600</f>
        <v>2.1182151600000001</v>
      </c>
      <c r="R1028">
        <f>-0.0012654809*3600</f>
        <v>-4.5557312400000001</v>
      </c>
    </row>
    <row r="1029" spans="1:18" x14ac:dyDescent="0.3">
      <c r="A1029" t="s">
        <v>340</v>
      </c>
      <c r="B1029" s="12">
        <v>8633</v>
      </c>
      <c r="C1029" s="12">
        <v>207.46343400000001</v>
      </c>
      <c r="D1029" s="12">
        <v>300.76362899999998</v>
      </c>
      <c r="E1029">
        <v>1</v>
      </c>
      <c r="F1029">
        <v>1</v>
      </c>
      <c r="G1029">
        <v>0</v>
      </c>
      <c r="H1029">
        <v>0</v>
      </c>
      <c r="J1029" t="s">
        <v>0</v>
      </c>
      <c r="K1029" t="s">
        <v>61</v>
      </c>
      <c r="L1029">
        <v>0</v>
      </c>
      <c r="M1029" t="s">
        <v>52</v>
      </c>
      <c r="N1029">
        <v>1</v>
      </c>
      <c r="O1029" t="s">
        <v>63</v>
      </c>
      <c r="P1029" s="2">
        <v>0.51041666666666663</v>
      </c>
      <c r="Q1029">
        <f>0.0007049288*3600</f>
        <v>2.5377436800000002</v>
      </c>
      <c r="R1029">
        <f>-0.001212666*3600</f>
        <v>-4.3655976000000001</v>
      </c>
    </row>
    <row r="1030" spans="1:18" x14ac:dyDescent="0.3">
      <c r="A1030" t="s">
        <v>340</v>
      </c>
      <c r="B1030" s="12">
        <v>8634</v>
      </c>
      <c r="C1030" s="12">
        <v>207.46307300000001</v>
      </c>
      <c r="D1030" s="12">
        <v>300.76355100000001</v>
      </c>
      <c r="E1030">
        <v>1</v>
      </c>
      <c r="F1030">
        <v>1</v>
      </c>
      <c r="G1030">
        <v>0</v>
      </c>
      <c r="H1030">
        <v>0</v>
      </c>
      <c r="J1030" t="s">
        <v>0</v>
      </c>
      <c r="K1030" t="s">
        <v>61</v>
      </c>
      <c r="L1030">
        <v>0</v>
      </c>
      <c r="M1030" t="s">
        <v>52</v>
      </c>
      <c r="N1030">
        <v>1</v>
      </c>
      <c r="O1030" t="s">
        <v>63</v>
      </c>
      <c r="P1030" s="2">
        <v>0.51041666666666663</v>
      </c>
      <c r="Q1030">
        <f>0.0005490238*3600</f>
        <v>1.9764856799999999</v>
      </c>
      <c r="R1030">
        <f>-0.0012944594*3600</f>
        <v>-4.6600538399999998</v>
      </c>
    </row>
    <row r="1031" spans="1:18" x14ac:dyDescent="0.3">
      <c r="A1031" t="s">
        <v>340</v>
      </c>
      <c r="B1031" s="12">
        <v>8635</v>
      </c>
      <c r="C1031" s="12">
        <v>207.46306300000001</v>
      </c>
      <c r="D1031" s="12">
        <v>300.76366200000001</v>
      </c>
      <c r="E1031">
        <v>1</v>
      </c>
      <c r="F1031">
        <v>1</v>
      </c>
      <c r="G1031">
        <v>0</v>
      </c>
      <c r="H1031">
        <v>0</v>
      </c>
      <c r="J1031" t="s">
        <v>0</v>
      </c>
      <c r="K1031" t="s">
        <v>61</v>
      </c>
      <c r="L1031">
        <v>0</v>
      </c>
      <c r="M1031" t="s">
        <v>52</v>
      </c>
      <c r="N1031">
        <v>1</v>
      </c>
      <c r="O1031" t="s">
        <v>63</v>
      </c>
      <c r="P1031" s="2">
        <v>0.51041666666666663</v>
      </c>
      <c r="Q1031">
        <f>0.0006417857*3600</f>
        <v>2.3104285199999999</v>
      </c>
      <c r="R1031">
        <f>-0.0011781145*3600</f>
        <v>-4.2412121999999997</v>
      </c>
    </row>
    <row r="1032" spans="1:18" x14ac:dyDescent="0.3">
      <c r="A1032" t="s">
        <v>340</v>
      </c>
      <c r="B1032" s="12">
        <v>8636</v>
      </c>
      <c r="C1032" s="12">
        <v>207.46313799999999</v>
      </c>
      <c r="D1032" s="12">
        <v>300.76367499999998</v>
      </c>
      <c r="E1032">
        <v>1</v>
      </c>
      <c r="F1032">
        <v>1</v>
      </c>
      <c r="G1032">
        <v>0</v>
      </c>
      <c r="H1032">
        <v>0</v>
      </c>
      <c r="J1032" t="s">
        <v>0</v>
      </c>
      <c r="K1032" t="s">
        <v>61</v>
      </c>
      <c r="L1032">
        <v>0</v>
      </c>
      <c r="M1032" t="s">
        <v>52</v>
      </c>
      <c r="N1032">
        <v>1</v>
      </c>
      <c r="O1032" t="s">
        <v>63</v>
      </c>
      <c r="P1032" s="2">
        <v>0.51041666666666663</v>
      </c>
      <c r="Q1032">
        <f>0.0007765925*3600</f>
        <v>2.7957329999999998</v>
      </c>
      <c r="R1032">
        <f>-0.0011581458*3600</f>
        <v>-4.1693248800000005</v>
      </c>
    </row>
    <row r="1033" spans="1:18" x14ac:dyDescent="0.3">
      <c r="A1033" t="s">
        <v>340</v>
      </c>
      <c r="B1033" s="12">
        <v>8637</v>
      </c>
      <c r="C1033" s="12">
        <v>207.46385900000001</v>
      </c>
      <c r="D1033" s="12">
        <v>300.763621</v>
      </c>
      <c r="E1033">
        <v>1</v>
      </c>
      <c r="F1033">
        <v>1</v>
      </c>
      <c r="G1033">
        <v>0</v>
      </c>
      <c r="H1033">
        <v>0</v>
      </c>
      <c r="J1033" t="s">
        <v>0</v>
      </c>
      <c r="K1033" t="s">
        <v>61</v>
      </c>
      <c r="L1033">
        <v>0</v>
      </c>
      <c r="M1033" t="s">
        <v>52</v>
      </c>
      <c r="N1033">
        <v>1</v>
      </c>
      <c r="O1033" t="s">
        <v>63</v>
      </c>
      <c r="P1033" s="2">
        <v>0.51041666666666663</v>
      </c>
      <c r="Q1033">
        <f>0.0007240274*3600</f>
        <v>2.6064986400000003</v>
      </c>
      <c r="R1033">
        <f>-0.0012017739*3600</f>
        <v>-4.32638604</v>
      </c>
    </row>
    <row r="1034" spans="1:18" x14ac:dyDescent="0.3">
      <c r="A1034" t="s">
        <v>340</v>
      </c>
      <c r="B1034" s="12">
        <v>8638</v>
      </c>
      <c r="C1034" s="12">
        <v>207.46355800000001</v>
      </c>
      <c r="D1034" s="12">
        <v>300.76354800000001</v>
      </c>
      <c r="E1034">
        <v>1</v>
      </c>
      <c r="F1034">
        <v>1</v>
      </c>
      <c r="G1034">
        <v>0</v>
      </c>
      <c r="H1034">
        <v>0</v>
      </c>
      <c r="J1034" t="s">
        <v>0</v>
      </c>
      <c r="K1034" t="s">
        <v>61</v>
      </c>
      <c r="L1034">
        <v>0</v>
      </c>
      <c r="M1034" t="s">
        <v>52</v>
      </c>
      <c r="N1034">
        <v>1</v>
      </c>
      <c r="O1034" t="s">
        <v>63</v>
      </c>
      <c r="P1034" s="2">
        <v>0.51041666666666663</v>
      </c>
      <c r="Q1034">
        <f>0.0005977844*3600</f>
        <v>2.15202384</v>
      </c>
      <c r="R1034">
        <f>-0.0012711364*3600</f>
        <v>-4.5760910400000006</v>
      </c>
    </row>
    <row r="1035" spans="1:18" x14ac:dyDescent="0.3">
      <c r="A1035" t="s">
        <v>340</v>
      </c>
      <c r="B1035" s="12">
        <v>8639</v>
      </c>
      <c r="C1035" s="12">
        <v>207.46512300000001</v>
      </c>
      <c r="D1035" s="12">
        <v>300.76349599999998</v>
      </c>
      <c r="E1035">
        <v>1</v>
      </c>
      <c r="F1035">
        <v>1</v>
      </c>
      <c r="G1035">
        <v>0</v>
      </c>
      <c r="H1035">
        <v>0</v>
      </c>
      <c r="J1035" t="s">
        <v>0</v>
      </c>
      <c r="K1035" t="s">
        <v>61</v>
      </c>
      <c r="L1035">
        <v>0</v>
      </c>
      <c r="M1035" t="s">
        <v>52</v>
      </c>
      <c r="N1035">
        <v>1</v>
      </c>
      <c r="O1035" t="s">
        <v>63</v>
      </c>
      <c r="P1035" s="2">
        <v>0.51041666666666663</v>
      </c>
      <c r="Q1035">
        <f>0.0004905989*3600</f>
        <v>1.7661560399999998</v>
      </c>
      <c r="R1035">
        <f>-0.0013404155*3600</f>
        <v>-4.8254957999999997</v>
      </c>
    </row>
    <row r="1036" spans="1:18" x14ac:dyDescent="0.3">
      <c r="A1036" t="s">
        <v>340</v>
      </c>
      <c r="B1036" s="12">
        <v>8640</v>
      </c>
      <c r="C1036" s="12">
        <v>207.46367699999999</v>
      </c>
      <c r="D1036" s="12">
        <v>300.76353499999999</v>
      </c>
      <c r="E1036">
        <v>1</v>
      </c>
      <c r="F1036">
        <v>1</v>
      </c>
      <c r="G1036">
        <v>0</v>
      </c>
      <c r="H1036">
        <v>0</v>
      </c>
      <c r="J1036" t="s">
        <v>0</v>
      </c>
      <c r="K1036" t="s">
        <v>61</v>
      </c>
      <c r="L1036">
        <v>0</v>
      </c>
      <c r="M1036" t="s">
        <v>52</v>
      </c>
      <c r="N1036">
        <v>1</v>
      </c>
      <c r="O1036" t="s">
        <v>63</v>
      </c>
      <c r="P1036" s="2">
        <v>0.51041666666666663</v>
      </c>
      <c r="Q1036">
        <f>0.0004756675*3600</f>
        <v>1.7124029999999999</v>
      </c>
      <c r="R1036">
        <f>-0.0013183924*3600</f>
        <v>-4.7462126399999995</v>
      </c>
    </row>
    <row r="1037" spans="1:18" x14ac:dyDescent="0.3">
      <c r="A1037" t="s">
        <v>340</v>
      </c>
      <c r="B1037" s="12">
        <v>8641</v>
      </c>
      <c r="C1037" s="12">
        <v>207.46368100000001</v>
      </c>
      <c r="D1037" s="12">
        <v>300.76356800000002</v>
      </c>
      <c r="E1037">
        <v>1</v>
      </c>
      <c r="F1037">
        <v>1</v>
      </c>
      <c r="G1037">
        <v>0</v>
      </c>
      <c r="H1037">
        <v>0</v>
      </c>
      <c r="J1037" t="s">
        <v>0</v>
      </c>
      <c r="K1037" t="s">
        <v>61</v>
      </c>
      <c r="L1037">
        <v>0</v>
      </c>
      <c r="M1037" t="s">
        <v>52</v>
      </c>
      <c r="N1037">
        <v>1</v>
      </c>
      <c r="O1037" t="s">
        <v>63</v>
      </c>
      <c r="P1037" s="2">
        <v>0.51041666666666663</v>
      </c>
      <c r="Q1037">
        <f>0.0005088001*3600</f>
        <v>1.8316803600000002</v>
      </c>
      <c r="R1037">
        <f>-0.0012748959*3600</f>
        <v>-4.5896252400000002</v>
      </c>
    </row>
    <row r="1038" spans="1:18" x14ac:dyDescent="0.3">
      <c r="A1038" t="s">
        <v>340</v>
      </c>
      <c r="B1038" s="12">
        <v>8642</v>
      </c>
      <c r="C1038" s="12">
        <v>207.46295900000001</v>
      </c>
      <c r="D1038" s="12">
        <v>300.76351099999999</v>
      </c>
      <c r="E1038">
        <v>1</v>
      </c>
      <c r="F1038">
        <v>1</v>
      </c>
      <c r="G1038">
        <v>0</v>
      </c>
      <c r="H1038">
        <v>0</v>
      </c>
      <c r="J1038" t="s">
        <v>0</v>
      </c>
      <c r="K1038" t="s">
        <v>61</v>
      </c>
      <c r="L1038">
        <v>0</v>
      </c>
      <c r="M1038" t="s">
        <v>52</v>
      </c>
      <c r="N1038">
        <v>1</v>
      </c>
      <c r="O1038" t="s">
        <v>63</v>
      </c>
      <c r="P1038" s="2">
        <v>0.51041666666666663</v>
      </c>
      <c r="Q1038">
        <f>0.0005895247*3600</f>
        <v>2.1222889200000004</v>
      </c>
      <c r="R1038">
        <f>-0.0013258335*3600</f>
        <v>-4.7730005999999996</v>
      </c>
    </row>
    <row r="1039" spans="1:18" x14ac:dyDescent="0.3">
      <c r="A1039" t="s">
        <v>340</v>
      </c>
      <c r="B1039" s="12">
        <v>8643</v>
      </c>
      <c r="C1039" s="12">
        <v>207.46430000000001</v>
      </c>
      <c r="D1039" s="12">
        <v>300.76357400000001</v>
      </c>
      <c r="E1039">
        <v>1</v>
      </c>
      <c r="F1039">
        <v>1</v>
      </c>
      <c r="G1039">
        <v>0</v>
      </c>
      <c r="H1039">
        <v>0</v>
      </c>
      <c r="J1039" t="s">
        <v>0</v>
      </c>
      <c r="K1039" t="s">
        <v>61</v>
      </c>
      <c r="L1039">
        <v>0</v>
      </c>
      <c r="M1039" t="s">
        <v>52</v>
      </c>
      <c r="N1039">
        <v>1</v>
      </c>
      <c r="O1039" t="s">
        <v>63</v>
      </c>
      <c r="P1039" s="2">
        <v>0.51111111111111118</v>
      </c>
      <c r="Q1039">
        <f>0.0005644597*3600</f>
        <v>2.0320549200000002</v>
      </c>
      <c r="R1039">
        <f>-0.0012653201*3600</f>
        <v>-4.5551523600000001</v>
      </c>
    </row>
    <row r="1040" spans="1:18" x14ac:dyDescent="0.3">
      <c r="A1040" t="s">
        <v>340</v>
      </c>
      <c r="B1040" s="12">
        <v>8644</v>
      </c>
      <c r="C1040" s="12">
        <v>207.46327500000001</v>
      </c>
      <c r="D1040" s="12">
        <v>300.76363199999997</v>
      </c>
      <c r="E1040">
        <v>1</v>
      </c>
      <c r="F1040">
        <v>1</v>
      </c>
      <c r="G1040">
        <v>0</v>
      </c>
      <c r="H1040">
        <v>0</v>
      </c>
      <c r="J1040" t="s">
        <v>0</v>
      </c>
      <c r="K1040" t="s">
        <v>61</v>
      </c>
      <c r="L1040">
        <v>0</v>
      </c>
      <c r="M1040" t="s">
        <v>52</v>
      </c>
      <c r="N1040">
        <v>1</v>
      </c>
      <c r="O1040" t="s">
        <v>63</v>
      </c>
      <c r="P1040" s="2">
        <v>0.51111111111111118</v>
      </c>
      <c r="Q1040">
        <f>0.0007329079*3600</f>
        <v>2.63846844</v>
      </c>
      <c r="R1040">
        <f>-0.0012047343*3600</f>
        <v>-4.3370434800000002</v>
      </c>
    </row>
    <row r="1041" spans="1:18" x14ac:dyDescent="0.3">
      <c r="A1041" t="s">
        <v>340</v>
      </c>
      <c r="B1041" s="12">
        <v>8645</v>
      </c>
      <c r="C1041" s="12">
        <v>207.46407099999999</v>
      </c>
      <c r="D1041" s="12">
        <v>300.76358800000003</v>
      </c>
      <c r="E1041">
        <v>1</v>
      </c>
      <c r="F1041">
        <v>1</v>
      </c>
      <c r="G1041">
        <v>0</v>
      </c>
      <c r="H1041">
        <v>0</v>
      </c>
      <c r="J1041" t="s">
        <v>0</v>
      </c>
      <c r="K1041" t="s">
        <v>61</v>
      </c>
      <c r="L1041">
        <v>0</v>
      </c>
      <c r="M1041" t="s">
        <v>52</v>
      </c>
      <c r="N1041">
        <v>1</v>
      </c>
      <c r="O1041" t="s">
        <v>63</v>
      </c>
      <c r="P1041" s="2">
        <v>0.51111111111111118</v>
      </c>
      <c r="Q1041">
        <f>0.0006632634*3600</f>
        <v>2.3877482400000001</v>
      </c>
      <c r="R1041">
        <f>-0.0012760066*3600</f>
        <v>-4.5936237600000007</v>
      </c>
    </row>
    <row r="1042" spans="1:18" x14ac:dyDescent="0.3">
      <c r="A1042" t="s">
        <v>340</v>
      </c>
      <c r="B1042" s="12">
        <v>8646</v>
      </c>
      <c r="C1042" s="12">
        <v>207.46375900000001</v>
      </c>
      <c r="D1042" s="12">
        <v>300.76349800000003</v>
      </c>
      <c r="E1042">
        <v>1</v>
      </c>
      <c r="F1042">
        <v>1</v>
      </c>
      <c r="G1042">
        <v>0</v>
      </c>
      <c r="H1042">
        <v>0</v>
      </c>
      <c r="J1042" t="s">
        <v>0</v>
      </c>
      <c r="K1042" t="s">
        <v>61</v>
      </c>
      <c r="L1042">
        <v>0</v>
      </c>
      <c r="M1042" t="s">
        <v>52</v>
      </c>
      <c r="N1042">
        <v>1</v>
      </c>
      <c r="O1042" t="s">
        <v>63</v>
      </c>
      <c r="P1042" s="2">
        <v>0.51111111111111118</v>
      </c>
      <c r="Q1042">
        <f>0.0005158835*3600</f>
        <v>1.8571806000000002</v>
      </c>
      <c r="R1042">
        <f>-0.0013447574*3600</f>
        <v>-4.8411266399999997</v>
      </c>
    </row>
    <row r="1043" spans="1:18" x14ac:dyDescent="0.3">
      <c r="A1043" t="s">
        <v>340</v>
      </c>
      <c r="B1043" s="12">
        <v>8647</v>
      </c>
      <c r="C1043" s="12">
        <v>207.46367000000001</v>
      </c>
      <c r="D1043" s="12">
        <v>300.76362399999999</v>
      </c>
      <c r="E1043">
        <v>1</v>
      </c>
      <c r="F1043">
        <v>1</v>
      </c>
      <c r="G1043">
        <v>0</v>
      </c>
      <c r="H1043">
        <v>0</v>
      </c>
      <c r="J1043" t="s">
        <v>0</v>
      </c>
      <c r="K1043" t="s">
        <v>61</v>
      </c>
      <c r="L1043">
        <v>0</v>
      </c>
      <c r="M1043" t="s">
        <v>52</v>
      </c>
      <c r="N1043">
        <v>1</v>
      </c>
      <c r="O1043" t="s">
        <v>63</v>
      </c>
      <c r="P1043" s="2">
        <v>0.51111111111111118</v>
      </c>
      <c r="Q1043">
        <f>0.0006320514*3600</f>
        <v>2.2753850400000002</v>
      </c>
      <c r="R1043">
        <f>-0.0012282199*3600</f>
        <v>-4.4215916399999999</v>
      </c>
    </row>
    <row r="1044" spans="1:18" x14ac:dyDescent="0.3">
      <c r="A1044" t="s">
        <v>340</v>
      </c>
      <c r="B1044" s="12">
        <v>8648</v>
      </c>
      <c r="C1044" s="12">
        <v>207.46382600000001</v>
      </c>
      <c r="D1044" s="12">
        <v>300.76350300000001</v>
      </c>
      <c r="E1044">
        <v>1</v>
      </c>
      <c r="F1044">
        <v>1</v>
      </c>
      <c r="G1044">
        <v>0</v>
      </c>
      <c r="H1044">
        <v>0</v>
      </c>
      <c r="J1044" t="s">
        <v>0</v>
      </c>
      <c r="K1044" t="s">
        <v>61</v>
      </c>
      <c r="L1044">
        <v>0</v>
      </c>
      <c r="M1044" t="s">
        <v>52</v>
      </c>
      <c r="N1044">
        <v>1</v>
      </c>
      <c r="O1044" t="s">
        <v>63</v>
      </c>
      <c r="P1044" s="2">
        <v>0.51111111111111118</v>
      </c>
      <c r="Q1044">
        <f>0.0005295233*3600</f>
        <v>1.9062838800000002</v>
      </c>
      <c r="R1044">
        <f>-0.0013308365*3600</f>
        <v>-4.7910113999999995</v>
      </c>
    </row>
    <row r="1045" spans="1:18" x14ac:dyDescent="0.3">
      <c r="A1045" t="s">
        <v>340</v>
      </c>
      <c r="B1045" s="12">
        <v>8649</v>
      </c>
      <c r="C1045" s="12">
        <v>207.46410399999999</v>
      </c>
      <c r="D1045" s="12">
        <v>300.76360499999998</v>
      </c>
      <c r="E1045">
        <v>1</v>
      </c>
      <c r="F1045">
        <v>1</v>
      </c>
      <c r="G1045">
        <v>0</v>
      </c>
      <c r="H1045">
        <v>0</v>
      </c>
      <c r="J1045" t="s">
        <v>0</v>
      </c>
      <c r="K1045" t="s">
        <v>61</v>
      </c>
      <c r="L1045">
        <v>0</v>
      </c>
      <c r="M1045" t="s">
        <v>52</v>
      </c>
      <c r="N1045">
        <v>1</v>
      </c>
      <c r="O1045" t="s">
        <v>63</v>
      </c>
      <c r="P1045" s="2">
        <v>0.51111111111111118</v>
      </c>
      <c r="Q1045">
        <f>0.0006358216*3600</f>
        <v>2.2889577600000002</v>
      </c>
      <c r="R1045">
        <f>-0.0012259319*3600</f>
        <v>-4.4133548400000002</v>
      </c>
    </row>
    <row r="1046" spans="1:18" x14ac:dyDescent="0.3">
      <c r="A1046" t="s">
        <v>340</v>
      </c>
      <c r="B1046" s="12">
        <v>8650</v>
      </c>
      <c r="C1046" s="12">
        <v>207.464012</v>
      </c>
      <c r="D1046" s="12">
        <v>300.76369799999998</v>
      </c>
      <c r="E1046">
        <v>1</v>
      </c>
      <c r="F1046">
        <v>1</v>
      </c>
      <c r="G1046">
        <v>0</v>
      </c>
      <c r="H1046">
        <v>0</v>
      </c>
      <c r="J1046" t="s">
        <v>0</v>
      </c>
      <c r="K1046" t="s">
        <v>61</v>
      </c>
      <c r="L1046">
        <v>0</v>
      </c>
      <c r="M1046" t="s">
        <v>52</v>
      </c>
      <c r="N1046">
        <v>1</v>
      </c>
      <c r="O1046" t="s">
        <v>63</v>
      </c>
      <c r="P1046" s="2">
        <v>0.51111111111111118</v>
      </c>
      <c r="Q1046">
        <f>0.0007916881*3600</f>
        <v>2.8500771599999997</v>
      </c>
      <c r="R1046">
        <f>-0.0011433707*3600</f>
        <v>-4.1161345199999992</v>
      </c>
    </row>
    <row r="1047" spans="1:18" x14ac:dyDescent="0.3">
      <c r="A1047" t="s">
        <v>340</v>
      </c>
      <c r="B1047" s="12">
        <v>8651</v>
      </c>
      <c r="C1047" s="12">
        <v>207.464414</v>
      </c>
      <c r="D1047" s="12">
        <v>300.76346699999999</v>
      </c>
      <c r="E1047">
        <v>1</v>
      </c>
      <c r="F1047">
        <v>1</v>
      </c>
      <c r="G1047">
        <v>0</v>
      </c>
      <c r="H1047">
        <v>0</v>
      </c>
      <c r="J1047" t="s">
        <v>0</v>
      </c>
      <c r="K1047" t="s">
        <v>61</v>
      </c>
      <c r="L1047">
        <v>0</v>
      </c>
      <c r="M1047" t="s">
        <v>52</v>
      </c>
      <c r="N1047">
        <v>1</v>
      </c>
      <c r="O1047" t="s">
        <v>63</v>
      </c>
      <c r="P1047" s="2">
        <v>0.51111111111111118</v>
      </c>
      <c r="Q1047">
        <f>0.0005382208*3600</f>
        <v>1.93759488</v>
      </c>
      <c r="R1047">
        <f>-0.0013781593*3600</f>
        <v>-4.9613734799999998</v>
      </c>
    </row>
    <row r="1048" spans="1:18" x14ac:dyDescent="0.3">
      <c r="A1048" t="s">
        <v>340</v>
      </c>
      <c r="B1048" s="12">
        <v>8652</v>
      </c>
      <c r="C1048" s="12">
        <v>207.46354099999999</v>
      </c>
      <c r="D1048" s="12">
        <v>300.763578</v>
      </c>
      <c r="E1048">
        <v>1</v>
      </c>
      <c r="F1048">
        <v>1</v>
      </c>
      <c r="G1048">
        <v>0</v>
      </c>
      <c r="H1048">
        <v>0</v>
      </c>
      <c r="J1048" t="s">
        <v>0</v>
      </c>
      <c r="K1048" t="s">
        <v>61</v>
      </c>
      <c r="L1048">
        <v>0</v>
      </c>
      <c r="M1048" t="s">
        <v>52</v>
      </c>
      <c r="N1048">
        <v>1</v>
      </c>
      <c r="O1048" t="s">
        <v>63</v>
      </c>
      <c r="P1048" s="2">
        <v>0.51111111111111118</v>
      </c>
      <c r="Q1048">
        <f>0.0005864478*3600</f>
        <v>2.11121208</v>
      </c>
      <c r="R1048">
        <f>-0.001243496*3600</f>
        <v>-4.4765855999999999</v>
      </c>
    </row>
    <row r="1049" spans="1:18" x14ac:dyDescent="0.3">
      <c r="A1049" t="s">
        <v>340</v>
      </c>
      <c r="B1049" s="12">
        <v>8653</v>
      </c>
      <c r="C1049" s="12">
        <v>207.463955</v>
      </c>
      <c r="D1049" s="12">
        <v>300.76345800000001</v>
      </c>
      <c r="E1049">
        <v>1</v>
      </c>
      <c r="F1049">
        <v>1</v>
      </c>
      <c r="G1049">
        <v>0</v>
      </c>
      <c r="H1049">
        <v>0</v>
      </c>
      <c r="J1049" t="s">
        <v>0</v>
      </c>
      <c r="K1049" t="s">
        <v>61</v>
      </c>
      <c r="L1049">
        <v>0</v>
      </c>
      <c r="M1049" t="s">
        <v>52</v>
      </c>
      <c r="N1049">
        <v>1</v>
      </c>
      <c r="O1049" t="s">
        <v>63</v>
      </c>
      <c r="P1049" s="2">
        <v>0.51111111111111118</v>
      </c>
      <c r="Q1049">
        <f>0.0004931801*3600</f>
        <v>1.7754483599999999</v>
      </c>
      <c r="R1049">
        <f>-0.0013772632*3600</f>
        <v>-4.9581475199999998</v>
      </c>
    </row>
    <row r="1050" spans="1:18" x14ac:dyDescent="0.3">
      <c r="A1050" t="s">
        <v>340</v>
      </c>
      <c r="B1050" s="12">
        <v>8654</v>
      </c>
      <c r="C1050" s="12">
        <v>207.464146</v>
      </c>
      <c r="D1050" s="12">
        <v>300.76353</v>
      </c>
      <c r="E1050">
        <v>1</v>
      </c>
      <c r="F1050">
        <v>1</v>
      </c>
      <c r="G1050">
        <v>0</v>
      </c>
      <c r="H1050">
        <v>0</v>
      </c>
      <c r="J1050" t="s">
        <v>0</v>
      </c>
      <c r="K1050" t="s">
        <v>61</v>
      </c>
      <c r="L1050">
        <v>0</v>
      </c>
      <c r="M1050" t="s">
        <v>52</v>
      </c>
      <c r="N1050">
        <v>1</v>
      </c>
      <c r="O1050" t="s">
        <v>63</v>
      </c>
      <c r="P1050" s="2">
        <v>0.51111111111111118</v>
      </c>
      <c r="Q1050">
        <f>0.0004954931*3600</f>
        <v>1.78377516</v>
      </c>
      <c r="R1050">
        <f>-0.0013215251*3600</f>
        <v>-4.7574903600000003</v>
      </c>
    </row>
    <row r="1051" spans="1:18" x14ac:dyDescent="0.3">
      <c r="A1051" t="s">
        <v>340</v>
      </c>
      <c r="B1051" s="12">
        <v>8655</v>
      </c>
      <c r="C1051" s="12">
        <v>207.46351100000001</v>
      </c>
      <c r="D1051" s="12">
        <v>300.76352400000002</v>
      </c>
      <c r="E1051">
        <v>1</v>
      </c>
      <c r="F1051">
        <v>1</v>
      </c>
      <c r="G1051">
        <v>0</v>
      </c>
      <c r="H1051">
        <v>0</v>
      </c>
      <c r="J1051" t="s">
        <v>0</v>
      </c>
      <c r="K1051" t="s">
        <v>61</v>
      </c>
      <c r="L1051">
        <v>0</v>
      </c>
      <c r="M1051" t="s">
        <v>52</v>
      </c>
      <c r="N1051">
        <v>1</v>
      </c>
      <c r="O1051" t="s">
        <v>63</v>
      </c>
      <c r="P1051" s="2">
        <v>0.51111111111111118</v>
      </c>
      <c r="Q1051">
        <f>0.0004779688*3600</f>
        <v>1.7206876799999999</v>
      </c>
      <c r="R1051">
        <f>-0.0013223319*3600</f>
        <v>-4.76039484</v>
      </c>
    </row>
    <row r="1052" spans="1:18" x14ac:dyDescent="0.3">
      <c r="A1052" t="s">
        <v>340</v>
      </c>
      <c r="B1052" s="12">
        <v>8656</v>
      </c>
      <c r="C1052" s="12">
        <v>207.46335199999999</v>
      </c>
      <c r="D1052" s="12">
        <v>300.76349299999998</v>
      </c>
      <c r="E1052">
        <v>1</v>
      </c>
      <c r="F1052">
        <v>1</v>
      </c>
      <c r="G1052">
        <v>0</v>
      </c>
      <c r="H1052">
        <v>0</v>
      </c>
      <c r="J1052" t="s">
        <v>0</v>
      </c>
      <c r="K1052" t="s">
        <v>61</v>
      </c>
      <c r="L1052">
        <v>0</v>
      </c>
      <c r="M1052" t="s">
        <v>52</v>
      </c>
      <c r="N1052">
        <v>1</v>
      </c>
      <c r="O1052" t="s">
        <v>63</v>
      </c>
      <c r="P1052" s="2">
        <v>0.51111111111111118</v>
      </c>
      <c r="Q1052">
        <f>0.0004905084*3600</f>
        <v>1.7658302399999999</v>
      </c>
      <c r="R1052">
        <f>-0.0013402209*3600</f>
        <v>-4.8247952399999994</v>
      </c>
    </row>
    <row r="1053" spans="1:18" x14ac:dyDescent="0.3">
      <c r="A1053" t="s">
        <v>340</v>
      </c>
      <c r="B1053" s="12">
        <v>8657</v>
      </c>
      <c r="C1053" s="12">
        <v>207.46303900000001</v>
      </c>
      <c r="D1053" s="12">
        <v>300.76358699999997</v>
      </c>
      <c r="E1053">
        <v>1</v>
      </c>
      <c r="F1053">
        <v>1</v>
      </c>
      <c r="G1053">
        <v>0</v>
      </c>
      <c r="H1053">
        <v>0</v>
      </c>
      <c r="J1053" t="s">
        <v>0</v>
      </c>
      <c r="K1053" t="s">
        <v>61</v>
      </c>
      <c r="L1053">
        <v>0</v>
      </c>
      <c r="M1053" t="s">
        <v>52</v>
      </c>
      <c r="N1053">
        <v>1</v>
      </c>
      <c r="O1053" t="s">
        <v>63</v>
      </c>
      <c r="P1053" s="2">
        <v>0.51111111111111118</v>
      </c>
      <c r="Q1053">
        <f>0.0007364015*3600</f>
        <v>2.6510454000000001</v>
      </c>
      <c r="R1053">
        <f>-0.0012407053*3600</f>
        <v>-4.4665390800000004</v>
      </c>
    </row>
    <row r="1054" spans="1:18" x14ac:dyDescent="0.3">
      <c r="A1054" t="s">
        <v>340</v>
      </c>
      <c r="B1054" s="12">
        <v>8658</v>
      </c>
      <c r="C1054" s="12">
        <v>207.46489600000001</v>
      </c>
      <c r="D1054" s="12">
        <v>300.76370500000002</v>
      </c>
      <c r="E1054">
        <v>1</v>
      </c>
      <c r="F1054">
        <v>1</v>
      </c>
      <c r="G1054">
        <v>0</v>
      </c>
      <c r="H1054">
        <v>0</v>
      </c>
      <c r="J1054" t="s">
        <v>0</v>
      </c>
      <c r="K1054" t="s">
        <v>61</v>
      </c>
      <c r="L1054">
        <v>0</v>
      </c>
      <c r="M1054" t="s">
        <v>52</v>
      </c>
      <c r="N1054">
        <v>1</v>
      </c>
      <c r="O1054" t="s">
        <v>63</v>
      </c>
      <c r="P1054" s="2">
        <v>0.51111111111111118</v>
      </c>
      <c r="Q1054">
        <f>0.0008268892*3600</f>
        <v>2.9768011200000002</v>
      </c>
      <c r="R1054">
        <f>-0.0011507573*3600</f>
        <v>-4.1427262799999998</v>
      </c>
    </row>
    <row r="1055" spans="1:18" x14ac:dyDescent="0.3">
      <c r="A1055" t="s">
        <v>340</v>
      </c>
      <c r="B1055" s="12">
        <v>8659</v>
      </c>
      <c r="C1055" s="12">
        <v>207.464494</v>
      </c>
      <c r="D1055" s="12">
        <v>300.763552</v>
      </c>
      <c r="E1055">
        <v>1</v>
      </c>
      <c r="F1055">
        <v>1</v>
      </c>
      <c r="G1055">
        <v>0</v>
      </c>
      <c r="H1055">
        <v>0</v>
      </c>
      <c r="J1055" t="s">
        <v>0</v>
      </c>
      <c r="K1055" t="s">
        <v>61</v>
      </c>
      <c r="L1055">
        <v>0</v>
      </c>
      <c r="M1055" t="s">
        <v>52</v>
      </c>
      <c r="N1055">
        <v>1</v>
      </c>
      <c r="O1055" t="s">
        <v>63</v>
      </c>
      <c r="P1055" s="2">
        <v>0.51111111111111118</v>
      </c>
      <c r="Q1055">
        <f>0.0006175528*3600</f>
        <v>2.2231900800000002</v>
      </c>
      <c r="R1055">
        <f>-0.0012763423*3600</f>
        <v>-4.5948322800000003</v>
      </c>
    </row>
    <row r="1056" spans="1:18" x14ac:dyDescent="0.3">
      <c r="A1056" t="s">
        <v>340</v>
      </c>
      <c r="B1056" s="12">
        <v>8660</v>
      </c>
      <c r="C1056" s="12">
        <v>207.463121</v>
      </c>
      <c r="D1056" s="12">
        <v>300.763577</v>
      </c>
      <c r="E1056">
        <v>1</v>
      </c>
      <c r="F1056">
        <v>1</v>
      </c>
      <c r="G1056">
        <v>0</v>
      </c>
      <c r="H1056">
        <v>0</v>
      </c>
      <c r="J1056" t="s">
        <v>0</v>
      </c>
      <c r="K1056" t="s">
        <v>61</v>
      </c>
      <c r="L1056">
        <v>0</v>
      </c>
      <c r="M1056" t="s">
        <v>52</v>
      </c>
      <c r="N1056">
        <v>1</v>
      </c>
      <c r="O1056" t="s">
        <v>63</v>
      </c>
      <c r="P1056" s="2">
        <v>0.51111111111111118</v>
      </c>
      <c r="Q1056">
        <f>0.0005351245*3600</f>
        <v>1.9264481999999998</v>
      </c>
      <c r="R1056">
        <f>-0.0012702471*3600</f>
        <v>-4.5728895600000001</v>
      </c>
    </row>
    <row r="1057" spans="1:18" x14ac:dyDescent="0.3">
      <c r="A1057" t="s">
        <v>340</v>
      </c>
      <c r="B1057" s="12">
        <v>8661</v>
      </c>
      <c r="C1057" s="12">
        <v>207.46421599999999</v>
      </c>
      <c r="D1057" s="12">
        <v>300.76358099999999</v>
      </c>
      <c r="E1057">
        <v>1</v>
      </c>
      <c r="F1057">
        <v>1</v>
      </c>
      <c r="G1057">
        <v>0</v>
      </c>
      <c r="H1057">
        <v>0</v>
      </c>
      <c r="J1057" t="s">
        <v>0</v>
      </c>
      <c r="K1057" t="s">
        <v>61</v>
      </c>
      <c r="L1057">
        <v>0</v>
      </c>
      <c r="M1057" t="s">
        <v>52</v>
      </c>
      <c r="N1057">
        <v>1</v>
      </c>
      <c r="O1057" t="s">
        <v>63</v>
      </c>
      <c r="P1057" s="2">
        <v>0.51111111111111118</v>
      </c>
      <c r="Q1057">
        <f>0.0005686291*3600</f>
        <v>2.04706476</v>
      </c>
      <c r="R1057">
        <f>-0.0012690573*3600</f>
        <v>-4.56860628</v>
      </c>
    </row>
    <row r="1058" spans="1:18" x14ac:dyDescent="0.3">
      <c r="A1058" t="s">
        <v>340</v>
      </c>
      <c r="B1058" s="12">
        <v>8662</v>
      </c>
      <c r="C1058" s="12">
        <v>207.46316300000001</v>
      </c>
      <c r="D1058" s="12">
        <v>300.76360899999997</v>
      </c>
      <c r="E1058">
        <v>1</v>
      </c>
      <c r="F1058">
        <v>1</v>
      </c>
      <c r="G1058">
        <v>0</v>
      </c>
      <c r="H1058">
        <v>0</v>
      </c>
      <c r="J1058" t="s">
        <v>0</v>
      </c>
      <c r="K1058" t="s">
        <v>61</v>
      </c>
      <c r="L1058">
        <v>0</v>
      </c>
      <c r="M1058" t="s">
        <v>52</v>
      </c>
      <c r="N1058">
        <v>1</v>
      </c>
      <c r="O1058" t="s">
        <v>63</v>
      </c>
      <c r="P1058" s="2">
        <v>0.51111111111111118</v>
      </c>
      <c r="Q1058">
        <f>0.0004891993*3600</f>
        <v>1.7611174800000002</v>
      </c>
      <c r="R1058">
        <f>-0.0012351837*3600</f>
        <v>-4.4466613199999996</v>
      </c>
    </row>
    <row r="1059" spans="1:18" x14ac:dyDescent="0.3">
      <c r="A1059" t="s">
        <v>340</v>
      </c>
      <c r="B1059" s="12">
        <v>8663</v>
      </c>
      <c r="C1059" s="12">
        <v>207.46409499999999</v>
      </c>
      <c r="D1059" s="12">
        <v>300.76357200000001</v>
      </c>
      <c r="E1059">
        <v>1</v>
      </c>
      <c r="F1059">
        <v>1</v>
      </c>
      <c r="G1059">
        <v>0</v>
      </c>
      <c r="H1059">
        <v>0</v>
      </c>
      <c r="J1059" t="s">
        <v>0</v>
      </c>
      <c r="K1059" t="s">
        <v>61</v>
      </c>
      <c r="L1059">
        <v>0</v>
      </c>
      <c r="M1059" t="s">
        <v>52</v>
      </c>
      <c r="N1059">
        <v>1</v>
      </c>
      <c r="O1059" t="s">
        <v>63</v>
      </c>
      <c r="P1059" s="2">
        <v>0.51111111111111118</v>
      </c>
      <c r="Q1059">
        <f>0.0006488541*3600</f>
        <v>2.3358747599999998</v>
      </c>
      <c r="R1059">
        <f>-0.0012747649*3600</f>
        <v>-4.5891536400000001</v>
      </c>
    </row>
    <row r="1060" spans="1:18" x14ac:dyDescent="0.3">
      <c r="A1060" t="s">
        <v>340</v>
      </c>
      <c r="B1060" s="12">
        <v>8664</v>
      </c>
      <c r="C1060" s="12">
        <v>207.46281999999999</v>
      </c>
      <c r="D1060" s="12">
        <v>300.76353799999998</v>
      </c>
      <c r="E1060">
        <v>1</v>
      </c>
      <c r="F1060">
        <v>1</v>
      </c>
      <c r="G1060">
        <v>0</v>
      </c>
      <c r="H1060">
        <v>0</v>
      </c>
      <c r="J1060" t="s">
        <v>0</v>
      </c>
      <c r="K1060" t="s">
        <v>61</v>
      </c>
      <c r="L1060">
        <v>0</v>
      </c>
      <c r="M1060" t="s">
        <v>52</v>
      </c>
      <c r="N1060">
        <v>1</v>
      </c>
      <c r="O1060" t="s">
        <v>63</v>
      </c>
      <c r="P1060" s="2">
        <v>0.51111111111111118</v>
      </c>
      <c r="Q1060">
        <f>0.0005324799*3600</f>
        <v>1.9169276399999999</v>
      </c>
      <c r="R1060">
        <f>-0.0012920304*3600</f>
        <v>-4.6513094399999995</v>
      </c>
    </row>
    <row r="1061" spans="1:18" x14ac:dyDescent="0.3">
      <c r="A1061" t="s">
        <v>340</v>
      </c>
      <c r="B1061" s="12">
        <v>8665</v>
      </c>
      <c r="C1061" s="12">
        <v>207.46252000000001</v>
      </c>
      <c r="D1061" s="12">
        <v>300.76359300000001</v>
      </c>
      <c r="E1061">
        <v>1</v>
      </c>
      <c r="F1061">
        <v>1</v>
      </c>
      <c r="G1061">
        <v>0</v>
      </c>
      <c r="H1061">
        <v>0</v>
      </c>
      <c r="J1061" t="s">
        <v>0</v>
      </c>
      <c r="K1061" t="s">
        <v>61</v>
      </c>
      <c r="L1061">
        <v>0</v>
      </c>
      <c r="M1061" t="s">
        <v>52</v>
      </c>
      <c r="N1061">
        <v>1</v>
      </c>
      <c r="O1061" t="s">
        <v>63</v>
      </c>
      <c r="P1061" s="2">
        <v>0.51111111111111118</v>
      </c>
      <c r="Q1061">
        <f>0.000595449*3600</f>
        <v>2.1436164</v>
      </c>
      <c r="R1061">
        <f>-0.0012507107*3600</f>
        <v>-4.50255852</v>
      </c>
    </row>
    <row r="1062" spans="1:18" x14ac:dyDescent="0.3">
      <c r="A1062" t="s">
        <v>340</v>
      </c>
      <c r="B1062" s="12">
        <v>8666</v>
      </c>
      <c r="C1062" s="12">
        <v>207.462434</v>
      </c>
      <c r="D1062" s="12">
        <v>300.76365600000003</v>
      </c>
      <c r="E1062">
        <v>1</v>
      </c>
      <c r="F1062">
        <v>1</v>
      </c>
      <c r="G1062">
        <v>0</v>
      </c>
      <c r="H1062">
        <v>0</v>
      </c>
      <c r="J1062" t="s">
        <v>0</v>
      </c>
      <c r="K1062" t="s">
        <v>61</v>
      </c>
      <c r="L1062">
        <v>0</v>
      </c>
      <c r="M1062" t="s">
        <v>52</v>
      </c>
      <c r="N1062">
        <v>1</v>
      </c>
      <c r="O1062" t="s">
        <v>63</v>
      </c>
      <c r="P1062" s="2">
        <v>0.51180555555555551</v>
      </c>
      <c r="Q1062">
        <f>0.0007181125*3600</f>
        <v>2.5852049999999998</v>
      </c>
      <c r="R1062">
        <f>-0.001174082*3600</f>
        <v>-4.2266952</v>
      </c>
    </row>
    <row r="1063" spans="1:18" x14ac:dyDescent="0.3">
      <c r="A1063" t="s">
        <v>340</v>
      </c>
      <c r="B1063" s="12">
        <v>8667</v>
      </c>
      <c r="C1063" s="12">
        <v>207.46318500000001</v>
      </c>
      <c r="D1063" s="12">
        <v>300.76356500000003</v>
      </c>
      <c r="E1063">
        <v>1</v>
      </c>
      <c r="F1063">
        <v>1</v>
      </c>
      <c r="G1063">
        <v>0</v>
      </c>
      <c r="H1063">
        <v>0</v>
      </c>
      <c r="J1063" t="s">
        <v>0</v>
      </c>
      <c r="K1063" t="s">
        <v>61</v>
      </c>
      <c r="L1063">
        <v>0</v>
      </c>
      <c r="M1063" t="s">
        <v>52</v>
      </c>
      <c r="N1063">
        <v>1</v>
      </c>
      <c r="O1063" t="s">
        <v>63</v>
      </c>
      <c r="P1063" s="2">
        <v>0.51180555555555551</v>
      </c>
      <c r="Q1063">
        <f>0.0003495127*3600</f>
        <v>1.2582457199999999</v>
      </c>
      <c r="R1063">
        <f>-0.0012746074*3600</f>
        <v>-4.5885866399999999</v>
      </c>
    </row>
    <row r="1064" spans="1:18" x14ac:dyDescent="0.3">
      <c r="A1064" t="s">
        <v>340</v>
      </c>
      <c r="B1064" s="12">
        <v>8668</v>
      </c>
      <c r="C1064" s="12">
        <v>207.464879</v>
      </c>
      <c r="D1064" s="12">
        <v>300.763597</v>
      </c>
      <c r="E1064">
        <v>1</v>
      </c>
      <c r="F1064">
        <v>1</v>
      </c>
      <c r="G1064">
        <v>0</v>
      </c>
      <c r="H1064">
        <v>0</v>
      </c>
      <c r="J1064" t="s">
        <v>0</v>
      </c>
      <c r="K1064" t="s">
        <v>61</v>
      </c>
      <c r="L1064">
        <v>0</v>
      </c>
      <c r="M1064" t="s">
        <v>52</v>
      </c>
      <c r="N1064">
        <v>1</v>
      </c>
      <c r="O1064" t="s">
        <v>63</v>
      </c>
      <c r="P1064" s="2">
        <v>0.51180555555555551</v>
      </c>
      <c r="Q1064">
        <f>0.0006192848*3600</f>
        <v>2.2294252799999996</v>
      </c>
      <c r="R1064">
        <f>-0.0012517386*3600</f>
        <v>-4.5062589600000003</v>
      </c>
    </row>
    <row r="1065" spans="1:18" x14ac:dyDescent="0.3">
      <c r="A1065" t="s">
        <v>340</v>
      </c>
      <c r="B1065" s="12">
        <v>8669</v>
      </c>
      <c r="C1065" s="12">
        <v>207.464294</v>
      </c>
      <c r="D1065" s="12">
        <v>300.76358499999998</v>
      </c>
      <c r="E1065">
        <v>1</v>
      </c>
      <c r="F1065">
        <v>1</v>
      </c>
      <c r="G1065">
        <v>0</v>
      </c>
      <c r="H1065">
        <v>0</v>
      </c>
      <c r="J1065" t="s">
        <v>0</v>
      </c>
      <c r="K1065" t="s">
        <v>61</v>
      </c>
      <c r="L1065">
        <v>0</v>
      </c>
      <c r="M1065" t="s">
        <v>52</v>
      </c>
      <c r="N1065">
        <v>1</v>
      </c>
      <c r="O1065" t="s">
        <v>63</v>
      </c>
      <c r="P1065" s="2">
        <v>0.51180555555555551</v>
      </c>
      <c r="Q1065">
        <f>0.00066042*3600</f>
        <v>2.3775119999999998</v>
      </c>
      <c r="R1065">
        <f>-0.0012702865*3600</f>
        <v>-4.5730313999999996</v>
      </c>
    </row>
    <row r="1066" spans="1:18" x14ac:dyDescent="0.3">
      <c r="A1066" t="s">
        <v>340</v>
      </c>
      <c r="B1066" s="12">
        <v>8670</v>
      </c>
      <c r="C1066" s="12">
        <v>207.463099</v>
      </c>
      <c r="D1066" s="12">
        <v>300.76353899999998</v>
      </c>
      <c r="E1066">
        <v>1</v>
      </c>
      <c r="F1066">
        <v>1</v>
      </c>
      <c r="G1066">
        <v>0</v>
      </c>
      <c r="H1066">
        <v>0</v>
      </c>
      <c r="J1066" t="s">
        <v>0</v>
      </c>
      <c r="K1066" t="s">
        <v>61</v>
      </c>
      <c r="L1066">
        <v>0</v>
      </c>
      <c r="M1066" t="s">
        <v>52</v>
      </c>
      <c r="N1066">
        <v>1</v>
      </c>
      <c r="O1066" t="s">
        <v>63</v>
      </c>
      <c r="P1066" s="2">
        <v>0.51180555555555551</v>
      </c>
      <c r="Q1066">
        <f>0.000606682*3600</f>
        <v>2.1840552</v>
      </c>
      <c r="R1066">
        <f>-0.001289775*3600</f>
        <v>-4.6431899999999997</v>
      </c>
    </row>
    <row r="1067" spans="1:18" x14ac:dyDescent="0.3">
      <c r="A1067" t="s">
        <v>340</v>
      </c>
      <c r="B1067" s="12">
        <v>8671</v>
      </c>
      <c r="C1067" s="12">
        <v>207.46476999999999</v>
      </c>
      <c r="D1067" s="12">
        <v>300.76361600000001</v>
      </c>
      <c r="E1067">
        <v>1</v>
      </c>
      <c r="F1067">
        <v>1</v>
      </c>
      <c r="G1067">
        <v>0</v>
      </c>
      <c r="H1067">
        <v>0</v>
      </c>
      <c r="J1067" t="s">
        <v>0</v>
      </c>
      <c r="K1067" t="s">
        <v>61</v>
      </c>
      <c r="L1067">
        <v>0</v>
      </c>
      <c r="M1067" t="s">
        <v>52</v>
      </c>
      <c r="N1067">
        <v>1</v>
      </c>
      <c r="O1067" t="s">
        <v>63</v>
      </c>
      <c r="P1067" s="2">
        <v>0.51180555555555551</v>
      </c>
      <c r="Q1067">
        <f>0.000733325*3600</f>
        <v>2.6399699999999999</v>
      </c>
      <c r="R1067">
        <f>-0.0012340656*3600</f>
        <v>-4.4426361600000002</v>
      </c>
    </row>
    <row r="1068" spans="1:18" x14ac:dyDescent="0.3">
      <c r="A1068" t="s">
        <v>340</v>
      </c>
      <c r="B1068" s="12">
        <v>8672</v>
      </c>
      <c r="C1068" s="12">
        <v>207.46457899999999</v>
      </c>
      <c r="D1068" s="12">
        <v>300.76352800000001</v>
      </c>
      <c r="E1068">
        <v>1</v>
      </c>
      <c r="F1068">
        <v>1</v>
      </c>
      <c r="G1068">
        <v>0</v>
      </c>
      <c r="H1068">
        <v>0</v>
      </c>
      <c r="J1068" t="s">
        <v>0</v>
      </c>
      <c r="K1068" t="s">
        <v>61</v>
      </c>
      <c r="L1068">
        <v>0</v>
      </c>
      <c r="M1068" t="s">
        <v>52</v>
      </c>
      <c r="N1068">
        <v>1</v>
      </c>
      <c r="O1068" t="s">
        <v>63</v>
      </c>
      <c r="P1068" s="2">
        <v>0.51180555555555551</v>
      </c>
      <c r="Q1068">
        <f>0.0005354687*3600</f>
        <v>1.92768732</v>
      </c>
      <c r="R1068">
        <f>-0.0013053216*3600</f>
        <v>-4.6991577599999994</v>
      </c>
    </row>
    <row r="1069" spans="1:18" x14ac:dyDescent="0.3">
      <c r="A1069" t="s">
        <v>340</v>
      </c>
      <c r="B1069" s="12">
        <v>8673</v>
      </c>
      <c r="C1069" s="12">
        <v>207.46373500000001</v>
      </c>
      <c r="D1069" s="12">
        <v>300.76349800000003</v>
      </c>
      <c r="E1069">
        <v>1</v>
      </c>
      <c r="F1069">
        <v>1</v>
      </c>
      <c r="G1069">
        <v>0</v>
      </c>
      <c r="H1069">
        <v>0</v>
      </c>
      <c r="J1069" t="s">
        <v>0</v>
      </c>
      <c r="K1069" t="s">
        <v>61</v>
      </c>
      <c r="L1069">
        <v>0</v>
      </c>
      <c r="M1069" t="s">
        <v>52</v>
      </c>
      <c r="N1069">
        <v>1</v>
      </c>
      <c r="O1069" t="s">
        <v>63</v>
      </c>
      <c r="P1069" s="2">
        <v>0.51180555555555551</v>
      </c>
      <c r="Q1069">
        <f>0.0004913895*3600</f>
        <v>1.7690022000000001</v>
      </c>
      <c r="R1069">
        <f>-0.001337376*3600</f>
        <v>-4.8145536</v>
      </c>
    </row>
    <row r="1070" spans="1:18" x14ac:dyDescent="0.3">
      <c r="A1070" t="s">
        <v>340</v>
      </c>
      <c r="B1070" s="12">
        <v>8674</v>
      </c>
      <c r="C1070" s="12">
        <v>207.463852</v>
      </c>
      <c r="D1070" s="12">
        <v>300.76351599999998</v>
      </c>
      <c r="E1070">
        <v>1</v>
      </c>
      <c r="F1070">
        <v>1</v>
      </c>
      <c r="G1070">
        <v>0</v>
      </c>
      <c r="H1070">
        <v>0</v>
      </c>
      <c r="J1070" t="s">
        <v>0</v>
      </c>
      <c r="K1070" t="s">
        <v>61</v>
      </c>
      <c r="L1070">
        <v>0</v>
      </c>
      <c r="M1070" t="s">
        <v>52</v>
      </c>
      <c r="N1070">
        <v>1</v>
      </c>
      <c r="O1070" t="s">
        <v>63</v>
      </c>
      <c r="P1070" s="2">
        <v>0.51180555555555551</v>
      </c>
      <c r="Q1070">
        <f>0.0006007117*3600</f>
        <v>2.16256212</v>
      </c>
      <c r="R1070">
        <f>-0.0013173116*3600</f>
        <v>-4.7423217600000003</v>
      </c>
    </row>
    <row r="1071" spans="1:18" x14ac:dyDescent="0.3">
      <c r="A1071" t="s">
        <v>340</v>
      </c>
      <c r="B1071" s="12">
        <v>8675</v>
      </c>
      <c r="C1071" s="12">
        <v>207.46429900000001</v>
      </c>
      <c r="D1071" s="12">
        <v>300.76354199999997</v>
      </c>
      <c r="E1071">
        <v>1</v>
      </c>
      <c r="F1071">
        <v>1</v>
      </c>
      <c r="G1071">
        <v>0</v>
      </c>
      <c r="H1071">
        <v>0</v>
      </c>
      <c r="J1071" t="s">
        <v>0</v>
      </c>
      <c r="K1071" t="s">
        <v>61</v>
      </c>
      <c r="L1071">
        <v>0</v>
      </c>
      <c r="M1071" t="s">
        <v>52</v>
      </c>
      <c r="N1071">
        <v>1</v>
      </c>
      <c r="O1071" t="s">
        <v>63</v>
      </c>
      <c r="P1071" s="2">
        <v>0.51180555555555551</v>
      </c>
      <c r="Q1071">
        <f>0.0006339088*3600</f>
        <v>2.28207168</v>
      </c>
      <c r="R1071">
        <f>-0.0012874608*3600</f>
        <v>-4.6348588800000003</v>
      </c>
    </row>
    <row r="1072" spans="1:18" x14ac:dyDescent="0.3">
      <c r="A1072" t="s">
        <v>340</v>
      </c>
      <c r="B1072" s="12">
        <v>8676</v>
      </c>
      <c r="C1072" s="12">
        <v>207.46381400000001</v>
      </c>
      <c r="D1072" s="12">
        <v>300.76356800000002</v>
      </c>
      <c r="E1072">
        <v>1</v>
      </c>
      <c r="F1072">
        <v>1</v>
      </c>
      <c r="G1072">
        <v>0</v>
      </c>
      <c r="H1072">
        <v>0</v>
      </c>
      <c r="J1072" t="s">
        <v>0</v>
      </c>
      <c r="K1072" t="s">
        <v>61</v>
      </c>
      <c r="L1072">
        <v>0</v>
      </c>
      <c r="M1072" t="s">
        <v>52</v>
      </c>
      <c r="N1072">
        <v>1</v>
      </c>
      <c r="O1072" t="s">
        <v>63</v>
      </c>
      <c r="P1072" s="2">
        <v>0.51180555555555551</v>
      </c>
      <c r="Q1072">
        <f>0.0004797752*3600</f>
        <v>1.7271907200000001</v>
      </c>
      <c r="R1072">
        <f>-0.0012725865*3600</f>
        <v>-4.5813113999999997</v>
      </c>
    </row>
    <row r="1073" spans="1:18" x14ac:dyDescent="0.3">
      <c r="A1073" t="s">
        <v>340</v>
      </c>
      <c r="B1073" s="12">
        <v>8677</v>
      </c>
      <c r="C1073" s="12">
        <v>207.46414999999999</v>
      </c>
      <c r="D1073" s="12">
        <v>300.76352800000001</v>
      </c>
      <c r="E1073">
        <v>1</v>
      </c>
      <c r="F1073">
        <v>1</v>
      </c>
      <c r="G1073">
        <v>0</v>
      </c>
      <c r="H1073">
        <v>0</v>
      </c>
      <c r="J1073" t="s">
        <v>0</v>
      </c>
      <c r="K1073" t="s">
        <v>61</v>
      </c>
      <c r="L1073">
        <v>0</v>
      </c>
      <c r="M1073" t="s">
        <v>52</v>
      </c>
      <c r="N1073">
        <v>1</v>
      </c>
      <c r="O1073" t="s">
        <v>63</v>
      </c>
      <c r="P1073" s="2">
        <v>0.51180555555555551</v>
      </c>
      <c r="Q1073">
        <f>0.0005522911*3600</f>
        <v>1.98824796</v>
      </c>
      <c r="R1073">
        <f>-0.0013091237*3600</f>
        <v>-4.7128453199999996</v>
      </c>
    </row>
    <row r="1074" spans="1:18" x14ac:dyDescent="0.3">
      <c r="A1074" t="s">
        <v>340</v>
      </c>
      <c r="B1074" s="12">
        <v>8678</v>
      </c>
      <c r="C1074" s="12">
        <v>207.463696</v>
      </c>
      <c r="D1074" s="12">
        <v>300.76365800000002</v>
      </c>
      <c r="E1074">
        <v>1</v>
      </c>
      <c r="F1074">
        <v>1</v>
      </c>
      <c r="G1074">
        <v>0</v>
      </c>
      <c r="H1074">
        <v>0</v>
      </c>
      <c r="J1074" t="s">
        <v>0</v>
      </c>
      <c r="K1074" t="s">
        <v>61</v>
      </c>
      <c r="L1074">
        <v>0</v>
      </c>
      <c r="M1074" t="s">
        <v>52</v>
      </c>
      <c r="N1074">
        <v>1</v>
      </c>
      <c r="O1074" t="s">
        <v>63</v>
      </c>
      <c r="P1074" s="2">
        <v>0.51180555555555551</v>
      </c>
      <c r="Q1074">
        <f>0.0006301386*3600</f>
        <v>2.2684989600000001</v>
      </c>
      <c r="R1074">
        <f>-0.0011830477*3600</f>
        <v>-4.2589717199999999</v>
      </c>
    </row>
    <row r="1075" spans="1:18" x14ac:dyDescent="0.3">
      <c r="A1075" t="s">
        <v>340</v>
      </c>
      <c r="B1075" s="12">
        <v>8679</v>
      </c>
      <c r="C1075" s="12">
        <v>207.46453500000001</v>
      </c>
      <c r="D1075" s="12">
        <v>300.76359600000001</v>
      </c>
      <c r="E1075">
        <v>1</v>
      </c>
      <c r="F1075">
        <v>1</v>
      </c>
      <c r="G1075">
        <v>0</v>
      </c>
      <c r="H1075">
        <v>0</v>
      </c>
      <c r="J1075" t="s">
        <v>0</v>
      </c>
      <c r="K1075" t="s">
        <v>61</v>
      </c>
      <c r="L1075">
        <v>0</v>
      </c>
      <c r="M1075" t="s">
        <v>52</v>
      </c>
      <c r="N1075">
        <v>1</v>
      </c>
      <c r="O1075" t="s">
        <v>63</v>
      </c>
      <c r="P1075" s="2">
        <v>0.51180555555555551</v>
      </c>
      <c r="Q1075">
        <f>0.0006117609*3600</f>
        <v>2.2023392400000001</v>
      </c>
      <c r="R1075">
        <f>-0.0012468354*3600</f>
        <v>-4.48860744</v>
      </c>
    </row>
    <row r="1076" spans="1:18" x14ac:dyDescent="0.3">
      <c r="A1076" t="s">
        <v>340</v>
      </c>
      <c r="B1076" s="12">
        <v>8680</v>
      </c>
      <c r="C1076" s="12">
        <v>207.46454800000001</v>
      </c>
      <c r="D1076" s="12">
        <v>300.76345199999997</v>
      </c>
      <c r="E1076">
        <v>1</v>
      </c>
      <c r="F1076">
        <v>1</v>
      </c>
      <c r="G1076">
        <v>0</v>
      </c>
      <c r="H1076">
        <v>0</v>
      </c>
      <c r="J1076" t="s">
        <v>0</v>
      </c>
      <c r="K1076" t="s">
        <v>61</v>
      </c>
      <c r="L1076">
        <v>0</v>
      </c>
      <c r="M1076" t="s">
        <v>52</v>
      </c>
      <c r="N1076">
        <v>1</v>
      </c>
      <c r="O1076" t="s">
        <v>63</v>
      </c>
      <c r="P1076" s="2">
        <v>0.51180555555555551</v>
      </c>
      <c r="Q1076">
        <f>0.0004790276*3600</f>
        <v>1.72449936</v>
      </c>
      <c r="R1076">
        <f>-0.0013979068*3600</f>
        <v>-5.0324644799999998</v>
      </c>
    </row>
    <row r="1077" spans="1:18" x14ac:dyDescent="0.3">
      <c r="A1077" t="s">
        <v>340</v>
      </c>
      <c r="B1077" s="12">
        <v>8681</v>
      </c>
      <c r="C1077" s="12">
        <v>207.46427700000001</v>
      </c>
      <c r="D1077" s="12">
        <v>300.76357100000001</v>
      </c>
      <c r="E1077">
        <v>1</v>
      </c>
      <c r="F1077">
        <v>1</v>
      </c>
      <c r="G1077">
        <v>0</v>
      </c>
      <c r="H1077">
        <v>0</v>
      </c>
      <c r="J1077" t="s">
        <v>0</v>
      </c>
      <c r="K1077" t="s">
        <v>61</v>
      </c>
      <c r="L1077">
        <v>0</v>
      </c>
      <c r="M1077" t="s">
        <v>52</v>
      </c>
      <c r="N1077">
        <v>1</v>
      </c>
      <c r="O1077" t="s">
        <v>63</v>
      </c>
      <c r="P1077" s="2">
        <v>0.51180555555555551</v>
      </c>
      <c r="Q1077">
        <f>0.000466965*3600</f>
        <v>1.681074</v>
      </c>
      <c r="R1077">
        <f>-0.0012868222*3600</f>
        <v>-4.6325599200000003</v>
      </c>
    </row>
    <row r="1078" spans="1:18" x14ac:dyDescent="0.3">
      <c r="A1078" t="s">
        <v>340</v>
      </c>
      <c r="B1078" s="12">
        <v>8682</v>
      </c>
      <c r="C1078" s="12">
        <v>207.46365</v>
      </c>
      <c r="D1078" s="12">
        <v>300.76351399999999</v>
      </c>
      <c r="E1078">
        <v>1</v>
      </c>
      <c r="F1078">
        <v>1</v>
      </c>
      <c r="G1078">
        <v>0</v>
      </c>
      <c r="H1078">
        <v>0</v>
      </c>
      <c r="J1078" t="s">
        <v>0</v>
      </c>
      <c r="K1078" t="s">
        <v>61</v>
      </c>
      <c r="L1078">
        <v>0</v>
      </c>
      <c r="M1078" t="s">
        <v>52</v>
      </c>
      <c r="N1078">
        <v>1</v>
      </c>
      <c r="O1078" t="s">
        <v>63</v>
      </c>
      <c r="P1078" s="2">
        <v>0.51180555555555551</v>
      </c>
      <c r="Q1078">
        <f>0.0004309772*3600</f>
        <v>1.55151792</v>
      </c>
      <c r="R1078">
        <f>-0.0013359082*3600</f>
        <v>-4.80926952</v>
      </c>
    </row>
    <row r="1079" spans="1:18" x14ac:dyDescent="0.3">
      <c r="A1079" t="s">
        <v>340</v>
      </c>
      <c r="B1079" s="12">
        <v>8683</v>
      </c>
      <c r="C1079" s="12">
        <v>207.46350200000001</v>
      </c>
      <c r="D1079" s="12">
        <v>300.763597</v>
      </c>
      <c r="E1079">
        <v>1</v>
      </c>
      <c r="F1079">
        <v>1</v>
      </c>
      <c r="G1079">
        <v>0</v>
      </c>
      <c r="H1079">
        <v>0</v>
      </c>
      <c r="J1079" t="s">
        <v>0</v>
      </c>
      <c r="K1079" t="s">
        <v>61</v>
      </c>
      <c r="L1079">
        <v>0</v>
      </c>
      <c r="M1079" t="s">
        <v>52</v>
      </c>
      <c r="N1079">
        <v>1</v>
      </c>
      <c r="O1079" t="s">
        <v>63</v>
      </c>
      <c r="P1079" s="2">
        <v>0.51180555555555551</v>
      </c>
      <c r="Q1079">
        <f>0.0005259583*3600</f>
        <v>1.8934498799999999</v>
      </c>
      <c r="R1079">
        <f>-0.0012243066*3600</f>
        <v>-4.40750376</v>
      </c>
    </row>
    <row r="1080" spans="1:18" x14ac:dyDescent="0.3">
      <c r="A1080" t="s">
        <v>340</v>
      </c>
      <c r="B1080" s="12">
        <v>8684</v>
      </c>
      <c r="C1080" s="12">
        <v>207.46419499999999</v>
      </c>
      <c r="D1080" s="12">
        <v>300.76359300000001</v>
      </c>
      <c r="E1080">
        <v>1</v>
      </c>
      <c r="F1080">
        <v>1</v>
      </c>
      <c r="G1080">
        <v>0</v>
      </c>
      <c r="H1080">
        <v>0</v>
      </c>
      <c r="J1080" t="s">
        <v>0</v>
      </c>
      <c r="K1080" t="s">
        <v>61</v>
      </c>
      <c r="L1080">
        <v>0</v>
      </c>
      <c r="M1080" t="s">
        <v>52</v>
      </c>
      <c r="N1080">
        <v>1</v>
      </c>
      <c r="O1080" t="s">
        <v>63</v>
      </c>
      <c r="P1080" s="2">
        <v>0.51180555555555551</v>
      </c>
      <c r="Q1080">
        <f>0.0005382041*3600</f>
        <v>1.9375347599999999</v>
      </c>
      <c r="R1080">
        <f>-0.0012395403*3600</f>
        <v>-4.4623450800000004</v>
      </c>
    </row>
    <row r="1081" spans="1:18" x14ac:dyDescent="0.3">
      <c r="A1081" t="s">
        <v>340</v>
      </c>
      <c r="B1081" s="12">
        <v>8685</v>
      </c>
      <c r="C1081" s="12">
        <v>207.46422899999999</v>
      </c>
      <c r="D1081" s="12">
        <v>300.76357899999999</v>
      </c>
      <c r="E1081">
        <v>1</v>
      </c>
      <c r="F1081">
        <v>1</v>
      </c>
      <c r="G1081">
        <v>0</v>
      </c>
      <c r="H1081">
        <v>0</v>
      </c>
      <c r="J1081" t="s">
        <v>0</v>
      </c>
      <c r="K1081" t="s">
        <v>61</v>
      </c>
      <c r="L1081">
        <v>0</v>
      </c>
      <c r="M1081" t="s">
        <v>52</v>
      </c>
      <c r="N1081">
        <v>1</v>
      </c>
      <c r="O1081" t="s">
        <v>63</v>
      </c>
      <c r="P1081" s="2">
        <v>0.51180555555555551</v>
      </c>
      <c r="Q1081">
        <f>0.0005572577*3600</f>
        <v>2.0061277200000003</v>
      </c>
      <c r="R1081">
        <f>-0.001261379*3600</f>
        <v>-4.5409644</v>
      </c>
    </row>
    <row r="1082" spans="1:18" x14ac:dyDescent="0.3">
      <c r="A1082" t="s">
        <v>340</v>
      </c>
      <c r="B1082" s="12">
        <v>8686</v>
      </c>
      <c r="C1082" s="12">
        <v>207.46336099999999</v>
      </c>
      <c r="D1082" s="12">
        <v>300.76356099999998</v>
      </c>
      <c r="E1082">
        <v>1</v>
      </c>
      <c r="F1082">
        <v>1</v>
      </c>
      <c r="G1082">
        <v>0</v>
      </c>
      <c r="H1082">
        <v>0</v>
      </c>
      <c r="J1082" t="s">
        <v>0</v>
      </c>
      <c r="K1082" t="s">
        <v>61</v>
      </c>
      <c r="L1082">
        <v>0</v>
      </c>
      <c r="M1082" t="s">
        <v>52</v>
      </c>
      <c r="N1082">
        <v>1</v>
      </c>
      <c r="O1082" t="s">
        <v>63</v>
      </c>
      <c r="P1082" s="2">
        <v>0.51180555555555551</v>
      </c>
      <c r="Q1082">
        <f>0.0005844184*3600</f>
        <v>2.1039062400000001</v>
      </c>
      <c r="R1082">
        <f>-0.0012850035*3600</f>
        <v>-4.6260126000000001</v>
      </c>
    </row>
    <row r="1083" spans="1:18" x14ac:dyDescent="0.3">
      <c r="A1083" t="s">
        <v>340</v>
      </c>
      <c r="B1083" s="12">
        <v>8687</v>
      </c>
      <c r="C1083" s="12">
        <v>207.46263200000001</v>
      </c>
      <c r="D1083" s="12">
        <v>300.76356800000002</v>
      </c>
      <c r="E1083">
        <v>1</v>
      </c>
      <c r="F1083">
        <v>1</v>
      </c>
      <c r="G1083">
        <v>0</v>
      </c>
      <c r="H1083">
        <v>0</v>
      </c>
      <c r="J1083" t="s">
        <v>0</v>
      </c>
      <c r="K1083" t="s">
        <v>61</v>
      </c>
      <c r="L1083">
        <v>0</v>
      </c>
      <c r="M1083" t="s">
        <v>52</v>
      </c>
      <c r="N1083">
        <v>1</v>
      </c>
      <c r="O1083" t="s">
        <v>63</v>
      </c>
      <c r="P1083" s="2">
        <v>0.51180555555555551</v>
      </c>
      <c r="Q1083">
        <f>0.0005459703*3600</f>
        <v>1.9654930799999999</v>
      </c>
      <c r="R1083">
        <f>-0.0012602208*3600</f>
        <v>-4.5367948800000004</v>
      </c>
    </row>
    <row r="1084" spans="1:18" x14ac:dyDescent="0.3">
      <c r="A1084" t="s">
        <v>0</v>
      </c>
      <c r="B1084" t="s">
        <v>40</v>
      </c>
      <c r="C1084" t="s">
        <v>41</v>
      </c>
      <c r="D1084" t="s">
        <v>42</v>
      </c>
      <c r="E1084">
        <v>5</v>
      </c>
    </row>
    <row r="1085" spans="1:18" x14ac:dyDescent="0.3">
      <c r="A1085" t="s">
        <v>0</v>
      </c>
      <c r="B1085" t="s">
        <v>43</v>
      </c>
      <c r="C1085" t="s">
        <v>44</v>
      </c>
      <c r="D1085">
        <v>-172</v>
      </c>
    </row>
    <row r="1086" spans="1:18" x14ac:dyDescent="0.3">
      <c r="A1086" t="s">
        <v>0</v>
      </c>
      <c r="B1086" t="s">
        <v>43</v>
      </c>
      <c r="C1086" t="s">
        <v>45</v>
      </c>
      <c r="D1086" t="s">
        <v>44</v>
      </c>
      <c r="E1086">
        <v>0.9998281953</v>
      </c>
    </row>
    <row r="1089" spans="1:19" x14ac:dyDescent="0.3">
      <c r="A1089" s="5" t="s">
        <v>363</v>
      </c>
      <c r="B1089" s="5"/>
    </row>
    <row r="1090" spans="1:19" x14ac:dyDescent="0.3">
      <c r="A1090" t="s">
        <v>46</v>
      </c>
      <c r="B1090" t="s">
        <v>47</v>
      </c>
    </row>
    <row r="1091" spans="1:19" x14ac:dyDescent="0.3">
      <c r="A1091" t="s">
        <v>48</v>
      </c>
      <c r="B1091" t="s">
        <v>49</v>
      </c>
      <c r="C1091">
        <v>88.406608000000006</v>
      </c>
      <c r="D1091">
        <v>98.213489999999993</v>
      </c>
      <c r="E1091">
        <v>40.967599999999997</v>
      </c>
      <c r="F1091">
        <v>40.944400000000002</v>
      </c>
      <c r="G1091">
        <v>0.23899999999999999</v>
      </c>
      <c r="H1091">
        <v>0.245</v>
      </c>
      <c r="J1091" t="s">
        <v>0</v>
      </c>
      <c r="K1091" t="s">
        <v>50</v>
      </c>
      <c r="L1091" t="s">
        <v>51</v>
      </c>
      <c r="M1091">
        <v>0</v>
      </c>
      <c r="N1091" t="s">
        <v>52</v>
      </c>
      <c r="O1091">
        <v>1</v>
      </c>
      <c r="P1091" t="s">
        <v>53</v>
      </c>
      <c r="Q1091" s="2">
        <v>0.51666666666666672</v>
      </c>
      <c r="R1091">
        <f>0.0001200959*3600</f>
        <v>0.43234524000000002</v>
      </c>
      <c r="S1091">
        <f>0.0000260098*3600</f>
        <v>9.3635280000000001E-2</v>
      </c>
    </row>
    <row r="1092" spans="1:19" x14ac:dyDescent="0.3">
      <c r="A1092" t="s">
        <v>29</v>
      </c>
      <c r="B1092">
        <v>18</v>
      </c>
      <c r="C1092" t="s">
        <v>30</v>
      </c>
      <c r="D1092" s="3">
        <v>0.86</v>
      </c>
      <c r="E1092" t="s">
        <v>31</v>
      </c>
      <c r="F1092" t="s">
        <v>32</v>
      </c>
      <c r="G1092" t="s">
        <v>33</v>
      </c>
      <c r="H1092" t="s">
        <v>34</v>
      </c>
    </row>
    <row r="1093" spans="1:19" x14ac:dyDescent="0.3">
      <c r="A1093" t="s">
        <v>35</v>
      </c>
      <c r="B1093" t="s">
        <v>54</v>
      </c>
      <c r="C1093" t="s">
        <v>35</v>
      </c>
      <c r="D1093" t="s">
        <v>55</v>
      </c>
    </row>
    <row r="1094" spans="1:19" x14ac:dyDescent="0.3">
      <c r="A1094" t="s">
        <v>38</v>
      </c>
      <c r="B1094" t="s">
        <v>39</v>
      </c>
      <c r="C1094">
        <v>0.13</v>
      </c>
    </row>
    <row r="1096" spans="1:19" x14ac:dyDescent="0.3">
      <c r="A1096" s="4" t="s">
        <v>47</v>
      </c>
      <c r="B1096" s="10" t="s">
        <v>58</v>
      </c>
      <c r="C1096">
        <v>297.08272499999998</v>
      </c>
      <c r="D1096">
        <v>100.462639</v>
      </c>
      <c r="E1096">
        <v>71.080100000000002</v>
      </c>
      <c r="F1096">
        <v>71.066000000000003</v>
      </c>
      <c r="G1096">
        <v>0.23899999999999999</v>
      </c>
      <c r="H1096">
        <v>0.24</v>
      </c>
      <c r="J1096" t="s">
        <v>0</v>
      </c>
      <c r="K1096" t="s">
        <v>50</v>
      </c>
      <c r="L1096" t="s">
        <v>51</v>
      </c>
      <c r="M1096">
        <v>0</v>
      </c>
      <c r="N1096" t="s">
        <v>57</v>
      </c>
      <c r="O1096">
        <v>1</v>
      </c>
      <c r="P1096" t="s">
        <v>53</v>
      </c>
      <c r="Q1096" s="2">
        <v>0.51736111111111105</v>
      </c>
      <c r="R1096">
        <f>-0.0010652476*3600</f>
        <v>-3.8348913600000003</v>
      </c>
      <c r="S1096">
        <f>-0.002467774*3600</f>
        <v>-8.8839863999999995</v>
      </c>
    </row>
    <row r="1097" spans="1:19" x14ac:dyDescent="0.3">
      <c r="A1097" s="4" t="s">
        <v>47</v>
      </c>
      <c r="B1097" s="10" t="s">
        <v>58</v>
      </c>
      <c r="C1097">
        <v>297.08292299999999</v>
      </c>
      <c r="D1097">
        <v>100.462855</v>
      </c>
      <c r="E1097">
        <v>71.080200000000005</v>
      </c>
      <c r="F1097">
        <v>71.066100000000006</v>
      </c>
      <c r="G1097">
        <v>0.23899999999999999</v>
      </c>
      <c r="H1097">
        <v>0.24</v>
      </c>
      <c r="J1097" t="s">
        <v>0</v>
      </c>
      <c r="K1097" t="s">
        <v>50</v>
      </c>
      <c r="L1097" t="s">
        <v>51</v>
      </c>
      <c r="M1097">
        <v>0</v>
      </c>
      <c r="N1097" t="s">
        <v>57</v>
      </c>
      <c r="O1097">
        <v>1</v>
      </c>
      <c r="P1097" t="s">
        <v>53</v>
      </c>
      <c r="Q1097" s="2">
        <v>0.51736111111111105</v>
      </c>
      <c r="R1097">
        <f>0.0007174029*3600</f>
        <v>2.5826504400000001</v>
      </c>
      <c r="S1097">
        <f>0.0031614395*3600</f>
        <v>11.3811822</v>
      </c>
    </row>
    <row r="1098" spans="1:19" x14ac:dyDescent="0.3">
      <c r="A1098" s="4" t="s">
        <v>47</v>
      </c>
      <c r="B1098" s="10" t="s">
        <v>58</v>
      </c>
      <c r="C1098">
        <v>297.08284800000001</v>
      </c>
      <c r="D1098">
        <v>100.463442</v>
      </c>
      <c r="E1098">
        <v>71.080100000000002</v>
      </c>
      <c r="F1098">
        <v>71.066000000000003</v>
      </c>
      <c r="G1098">
        <v>0.23899999999999999</v>
      </c>
      <c r="H1098">
        <v>0.24399999999999999</v>
      </c>
      <c r="J1098" t="s">
        <v>0</v>
      </c>
      <c r="K1098" t="s">
        <v>50</v>
      </c>
      <c r="L1098" t="s">
        <v>51</v>
      </c>
      <c r="M1098">
        <v>0</v>
      </c>
      <c r="N1098" t="s">
        <v>57</v>
      </c>
      <c r="O1098">
        <v>1</v>
      </c>
      <c r="P1098" t="s">
        <v>53</v>
      </c>
      <c r="Q1098" s="2">
        <v>0.51736111111111105</v>
      </c>
      <c r="R1098">
        <f>0.0007600387*3600</f>
        <v>2.7361393199999999</v>
      </c>
      <c r="S1098">
        <f>0.0031942429*3600</f>
        <v>11.499274439999999</v>
      </c>
    </row>
    <row r="1099" spans="1:19" x14ac:dyDescent="0.3">
      <c r="A1099" s="4" t="s">
        <v>47</v>
      </c>
      <c r="B1099" s="10" t="s">
        <v>58</v>
      </c>
      <c r="C1099">
        <v>97.082193000000004</v>
      </c>
      <c r="D1099">
        <v>299.53781300000003</v>
      </c>
      <c r="E1099">
        <v>71.08</v>
      </c>
      <c r="F1099">
        <v>71.065899999999999</v>
      </c>
      <c r="G1099">
        <v>0.23899999999999999</v>
      </c>
      <c r="H1099">
        <v>0.24399999999999999</v>
      </c>
      <c r="J1099" t="s">
        <v>0</v>
      </c>
      <c r="K1099" t="s">
        <v>50</v>
      </c>
      <c r="L1099" t="s">
        <v>51</v>
      </c>
      <c r="M1099">
        <v>0</v>
      </c>
      <c r="N1099" t="s">
        <v>57</v>
      </c>
      <c r="O1099">
        <v>1</v>
      </c>
      <c r="P1099" t="s">
        <v>53</v>
      </c>
      <c r="Q1099" s="2">
        <v>0.51736111111111105</v>
      </c>
      <c r="R1099">
        <f>0.0006007097*3600</f>
        <v>2.1625549199999998</v>
      </c>
      <c r="S1099">
        <f>0.003581015*3600</f>
        <v>12.891653999999999</v>
      </c>
    </row>
    <row r="1100" spans="1:19" x14ac:dyDescent="0.3">
      <c r="A1100" s="4" t="s">
        <v>47</v>
      </c>
      <c r="B1100" s="10" t="s">
        <v>58</v>
      </c>
      <c r="C1100">
        <v>297.08265499999999</v>
      </c>
      <c r="D1100">
        <v>100.462931</v>
      </c>
      <c r="E1100">
        <v>71.08</v>
      </c>
      <c r="F1100">
        <v>71.065899999999999</v>
      </c>
      <c r="G1100">
        <v>0.23899999999999999</v>
      </c>
      <c r="H1100">
        <v>0.24399999999999999</v>
      </c>
      <c r="J1100" t="s">
        <v>0</v>
      </c>
      <c r="K1100" t="s">
        <v>50</v>
      </c>
      <c r="L1100" t="s">
        <v>51</v>
      </c>
      <c r="M1100">
        <v>0</v>
      </c>
      <c r="N1100" t="s">
        <v>57</v>
      </c>
      <c r="O1100">
        <v>1</v>
      </c>
      <c r="P1100" t="s">
        <v>53</v>
      </c>
      <c r="Q1100" s="2">
        <v>0.5180555555555556</v>
      </c>
      <c r="R1100">
        <f>-0.0006581696*3600</f>
        <v>-2.3694105599999999</v>
      </c>
      <c r="S1100">
        <f>-0.0024859456*3600</f>
        <v>-8.9494041600000003</v>
      </c>
    </row>
    <row r="1101" spans="1:19" x14ac:dyDescent="0.3">
      <c r="A1101" s="4" t="s">
        <v>47</v>
      </c>
      <c r="B1101" s="10" t="s">
        <v>58</v>
      </c>
      <c r="C1101">
        <v>97.082228000000001</v>
      </c>
      <c r="D1101">
        <v>299.53770400000002</v>
      </c>
      <c r="E1101">
        <v>71.08</v>
      </c>
      <c r="F1101">
        <v>71.065899999999999</v>
      </c>
      <c r="G1101">
        <v>0.23899999999999999</v>
      </c>
      <c r="H1101">
        <v>0.24399999999999999</v>
      </c>
      <c r="J1101" t="s">
        <v>0</v>
      </c>
      <c r="K1101" t="s">
        <v>50</v>
      </c>
      <c r="L1101" t="s">
        <v>51</v>
      </c>
      <c r="M1101">
        <v>0</v>
      </c>
      <c r="N1101" t="s">
        <v>57</v>
      </c>
      <c r="O1101">
        <v>1</v>
      </c>
      <c r="P1101" t="s">
        <v>53</v>
      </c>
      <c r="Q1101" s="2">
        <v>0.5180555555555556</v>
      </c>
      <c r="R1101">
        <f>-0.0007362105*3600</f>
        <v>-2.6503578000000001</v>
      </c>
      <c r="S1101">
        <f>-0.0025510248*3600</f>
        <v>-9.1836892800000012</v>
      </c>
    </row>
    <row r="1102" spans="1:19" x14ac:dyDescent="0.3">
      <c r="A1102" s="4" t="s">
        <v>47</v>
      </c>
      <c r="B1102" s="10" t="s">
        <v>58</v>
      </c>
      <c r="C1102">
        <v>297.08242300000001</v>
      </c>
      <c r="D1102">
        <v>100.462902</v>
      </c>
      <c r="E1102">
        <v>71.080200000000005</v>
      </c>
      <c r="F1102">
        <v>71.066100000000006</v>
      </c>
      <c r="G1102">
        <v>0.23899999999999999</v>
      </c>
      <c r="H1102">
        <v>0.24399999999999999</v>
      </c>
      <c r="J1102" t="s">
        <v>0</v>
      </c>
      <c r="K1102" t="s">
        <v>50</v>
      </c>
      <c r="L1102" t="s">
        <v>51</v>
      </c>
      <c r="M1102">
        <v>0</v>
      </c>
      <c r="N1102" t="s">
        <v>57</v>
      </c>
      <c r="O1102">
        <v>1</v>
      </c>
      <c r="P1102" t="s">
        <v>53</v>
      </c>
      <c r="Q1102" s="2">
        <v>0.5180555555555556</v>
      </c>
      <c r="R1102">
        <f>-0.0009080702*3600</f>
        <v>-3.2690527200000004</v>
      </c>
      <c r="S1102">
        <f>-0.0025222895*3600</f>
        <v>-9.0802422000000007</v>
      </c>
    </row>
    <row r="1103" spans="1:19" x14ac:dyDescent="0.3">
      <c r="A1103" s="4" t="s">
        <v>47</v>
      </c>
      <c r="B1103" s="10" t="s">
        <v>58</v>
      </c>
      <c r="C1103">
        <v>97.081749000000002</v>
      </c>
      <c r="D1103">
        <v>299.537846</v>
      </c>
      <c r="E1103">
        <v>71.079899999999995</v>
      </c>
      <c r="F1103">
        <v>71.065799999999996</v>
      </c>
      <c r="G1103">
        <v>0.23899999999999999</v>
      </c>
      <c r="H1103">
        <v>0.24399999999999999</v>
      </c>
      <c r="J1103" t="s">
        <v>0</v>
      </c>
      <c r="K1103" t="s">
        <v>50</v>
      </c>
      <c r="L1103" t="s">
        <v>51</v>
      </c>
      <c r="M1103">
        <v>0</v>
      </c>
      <c r="N1103" t="s">
        <v>57</v>
      </c>
      <c r="O1103">
        <v>1</v>
      </c>
      <c r="P1103" t="s">
        <v>53</v>
      </c>
      <c r="Q1103" s="2">
        <v>0.5180555555555556</v>
      </c>
      <c r="R1103">
        <f>0.0011568079*3600</f>
        <v>4.1645084399999996</v>
      </c>
      <c r="S1103">
        <f>0.0030583276*3600</f>
        <v>11.009979360000001</v>
      </c>
    </row>
    <row r="1104" spans="1:19" x14ac:dyDescent="0.3">
      <c r="A1104" s="4" t="s">
        <v>47</v>
      </c>
      <c r="B1104" s="10" t="s">
        <v>58</v>
      </c>
      <c r="C1104">
        <v>297.08359300000001</v>
      </c>
      <c r="D1104">
        <v>100.463005</v>
      </c>
      <c r="E1104">
        <v>71.080500000000001</v>
      </c>
      <c r="F1104">
        <v>71.066400000000002</v>
      </c>
      <c r="G1104">
        <v>0.23899999999999999</v>
      </c>
      <c r="H1104">
        <v>0.24399999999999999</v>
      </c>
      <c r="J1104" t="s">
        <v>0</v>
      </c>
      <c r="K1104" t="s">
        <v>50</v>
      </c>
      <c r="L1104" t="s">
        <v>51</v>
      </c>
      <c r="M1104">
        <v>0</v>
      </c>
      <c r="N1104" t="s">
        <v>57</v>
      </c>
      <c r="O1104">
        <v>1</v>
      </c>
      <c r="P1104" t="s">
        <v>53</v>
      </c>
      <c r="Q1104" s="2">
        <v>0.5180555555555556</v>
      </c>
      <c r="R1104">
        <f>-0.0011630532*3600</f>
        <v>-4.1869915199999994</v>
      </c>
      <c r="S1104">
        <f>-0.0024512382*3600</f>
        <v>-8.8244575200000011</v>
      </c>
    </row>
    <row r="1105" spans="1:19" x14ac:dyDescent="0.3">
      <c r="A1105" s="4" t="s">
        <v>47</v>
      </c>
      <c r="B1105" s="10" t="s">
        <v>58</v>
      </c>
      <c r="C1105">
        <v>97.083404999999999</v>
      </c>
      <c r="D1105">
        <v>299.53788200000002</v>
      </c>
      <c r="E1105">
        <v>71.080200000000005</v>
      </c>
      <c r="F1105">
        <v>71.066100000000006</v>
      </c>
      <c r="G1105">
        <v>0.23899999999999999</v>
      </c>
      <c r="H1105">
        <v>0.24399999999999999</v>
      </c>
      <c r="J1105" t="s">
        <v>0</v>
      </c>
      <c r="K1105" t="s">
        <v>50</v>
      </c>
      <c r="L1105" t="s">
        <v>51</v>
      </c>
      <c r="M1105">
        <v>0</v>
      </c>
      <c r="N1105" t="s">
        <v>57</v>
      </c>
      <c r="O1105">
        <v>1</v>
      </c>
      <c r="P1105" t="s">
        <v>53</v>
      </c>
      <c r="Q1105" s="2">
        <v>0.5180555555555556</v>
      </c>
      <c r="R1105">
        <f>0.0007955483*3600</f>
        <v>2.8639738800000001</v>
      </c>
      <c r="S1105">
        <f>0.0032315511*3600</f>
        <v>11.633583960000001</v>
      </c>
    </row>
    <row r="1106" spans="1:19" x14ac:dyDescent="0.3">
      <c r="A1106" s="4" t="s">
        <v>47</v>
      </c>
      <c r="B1106" s="10" t="s">
        <v>58</v>
      </c>
      <c r="C1106">
        <v>297.083414</v>
      </c>
      <c r="D1106">
        <v>100.462852</v>
      </c>
      <c r="E1106">
        <v>71.080299999999994</v>
      </c>
      <c r="F1106">
        <v>71.066199999999995</v>
      </c>
      <c r="G1106">
        <v>0.23899999999999999</v>
      </c>
      <c r="H1106">
        <v>0.24399999999999999</v>
      </c>
      <c r="J1106" t="s">
        <v>0</v>
      </c>
      <c r="K1106" t="s">
        <v>50</v>
      </c>
      <c r="L1106" t="s">
        <v>51</v>
      </c>
      <c r="M1106">
        <v>0</v>
      </c>
      <c r="N1106" t="s">
        <v>57</v>
      </c>
      <c r="O1106">
        <v>1</v>
      </c>
      <c r="P1106" t="s">
        <v>53</v>
      </c>
      <c r="Q1106" s="2">
        <v>0.5180555555555556</v>
      </c>
      <c r="R1106">
        <f>0.0007856355*3600</f>
        <v>2.8282878</v>
      </c>
      <c r="S1106">
        <f>0.0032702814*3600</f>
        <v>11.77301304</v>
      </c>
    </row>
    <row r="1107" spans="1:19" x14ac:dyDescent="0.3">
      <c r="A1107" s="4" t="s">
        <v>47</v>
      </c>
      <c r="B1107" s="10" t="s">
        <v>58</v>
      </c>
      <c r="C1107">
        <v>97.082988999999998</v>
      </c>
      <c r="D1107">
        <v>299.537733</v>
      </c>
      <c r="E1107">
        <v>71.08</v>
      </c>
      <c r="F1107">
        <v>71.065899999999999</v>
      </c>
      <c r="G1107">
        <v>0.23899999999999999</v>
      </c>
      <c r="H1107">
        <v>0.24399999999999999</v>
      </c>
      <c r="J1107" t="s">
        <v>0</v>
      </c>
      <c r="K1107" t="s">
        <v>50</v>
      </c>
      <c r="L1107" t="s">
        <v>51</v>
      </c>
      <c r="M1107">
        <v>0</v>
      </c>
      <c r="N1107" t="s">
        <v>57</v>
      </c>
      <c r="O1107">
        <v>1</v>
      </c>
      <c r="P1107" t="s">
        <v>53</v>
      </c>
      <c r="Q1107" s="2">
        <v>0.5180555555555556</v>
      </c>
      <c r="R1107">
        <f>0.0007692191*3600</f>
        <v>2.76918876</v>
      </c>
      <c r="S1107">
        <f>0.0033559198*3600</f>
        <v>12.08131128</v>
      </c>
    </row>
    <row r="1108" spans="1:19" x14ac:dyDescent="0.3">
      <c r="A1108" s="4" t="s">
        <v>47</v>
      </c>
      <c r="B1108" s="10" t="s">
        <v>58</v>
      </c>
      <c r="C1108">
        <v>297.08291200000002</v>
      </c>
      <c r="D1108">
        <v>100.46332200000001</v>
      </c>
      <c r="E1108">
        <v>71.080600000000004</v>
      </c>
      <c r="F1108">
        <v>71.066500000000005</v>
      </c>
      <c r="G1108">
        <v>0.23899999999999999</v>
      </c>
      <c r="H1108">
        <v>0.24399999999999999</v>
      </c>
      <c r="J1108" t="s">
        <v>0</v>
      </c>
      <c r="K1108" t="s">
        <v>50</v>
      </c>
      <c r="L1108" t="s">
        <v>51</v>
      </c>
      <c r="M1108">
        <v>0</v>
      </c>
      <c r="N1108" t="s">
        <v>57</v>
      </c>
      <c r="O1108">
        <v>1</v>
      </c>
      <c r="P1108" t="s">
        <v>53</v>
      </c>
      <c r="Q1108" s="2">
        <v>0.5180555555555556</v>
      </c>
      <c r="R1108">
        <f>-0.0007401388*3600</f>
        <v>-2.66449968</v>
      </c>
      <c r="S1108">
        <f>-0.0025781649*3600</f>
        <v>-9.2813936399999992</v>
      </c>
    </row>
    <row r="1109" spans="1:19" x14ac:dyDescent="0.3">
      <c r="A1109" s="4" t="s">
        <v>47</v>
      </c>
      <c r="B1109" s="10" t="s">
        <v>58</v>
      </c>
      <c r="C1109">
        <v>97.082764999999995</v>
      </c>
      <c r="D1109">
        <v>299.537892</v>
      </c>
      <c r="E1109">
        <v>71.079899999999995</v>
      </c>
      <c r="F1109">
        <v>71.065799999999996</v>
      </c>
      <c r="G1109">
        <v>0.23899999999999999</v>
      </c>
      <c r="H1109">
        <v>0.24399999999999999</v>
      </c>
      <c r="J1109" t="s">
        <v>0</v>
      </c>
      <c r="K1109" t="s">
        <v>50</v>
      </c>
      <c r="L1109" t="s">
        <v>51</v>
      </c>
      <c r="M1109">
        <v>0</v>
      </c>
      <c r="N1109" t="s">
        <v>57</v>
      </c>
      <c r="O1109">
        <v>1</v>
      </c>
      <c r="P1109" t="s">
        <v>53</v>
      </c>
      <c r="Q1109" s="2">
        <v>0.51874999999999993</v>
      </c>
      <c r="R1109">
        <f>-0.0008410816*3600</f>
        <v>-3.02789376</v>
      </c>
      <c r="S1109">
        <f>-0.0027008861*3600</f>
        <v>-9.7231899600000009</v>
      </c>
    </row>
    <row r="1110" spans="1:19" x14ac:dyDescent="0.3">
      <c r="A1110" s="4" t="s">
        <v>47</v>
      </c>
      <c r="B1110" s="11" t="s">
        <v>59</v>
      </c>
      <c r="C1110">
        <v>298.74785800000001</v>
      </c>
      <c r="D1110">
        <v>100.292907</v>
      </c>
      <c r="E1110">
        <v>90.327399999999997</v>
      </c>
      <c r="F1110">
        <v>90.310900000000004</v>
      </c>
      <c r="G1110">
        <v>0.23899999999999999</v>
      </c>
      <c r="H1110">
        <v>0.24</v>
      </c>
      <c r="J1110" t="s">
        <v>0</v>
      </c>
      <c r="K1110" t="s">
        <v>50</v>
      </c>
      <c r="L1110" t="s">
        <v>51</v>
      </c>
      <c r="M1110">
        <v>0</v>
      </c>
      <c r="N1110" t="s">
        <v>57</v>
      </c>
      <c r="O1110">
        <v>1</v>
      </c>
      <c r="P1110" t="s">
        <v>53</v>
      </c>
      <c r="Q1110" s="2">
        <v>0.51874999999999993</v>
      </c>
      <c r="R1110">
        <f>-0.0009619347*3600</f>
        <v>-3.4629649200000001</v>
      </c>
      <c r="S1110">
        <f>-0.0026250453*3600</f>
        <v>-9.4501630799999994</v>
      </c>
    </row>
    <row r="1111" spans="1:19" x14ac:dyDescent="0.3">
      <c r="A1111" s="4" t="s">
        <v>47</v>
      </c>
      <c r="B1111" s="11" t="s">
        <v>59</v>
      </c>
      <c r="C1111">
        <v>98.748126999999997</v>
      </c>
      <c r="D1111">
        <v>299.70753500000001</v>
      </c>
      <c r="E1111">
        <v>90.327699999999993</v>
      </c>
      <c r="F1111">
        <v>90.311199999999999</v>
      </c>
      <c r="G1111">
        <v>0.23899999999999999</v>
      </c>
      <c r="H1111">
        <v>0.24</v>
      </c>
      <c r="J1111" t="s">
        <v>0</v>
      </c>
      <c r="K1111" t="s">
        <v>50</v>
      </c>
      <c r="L1111" t="s">
        <v>51</v>
      </c>
      <c r="M1111">
        <v>0</v>
      </c>
      <c r="N1111" t="s">
        <v>57</v>
      </c>
      <c r="O1111">
        <v>1</v>
      </c>
      <c r="P1111" t="s">
        <v>53</v>
      </c>
      <c r="Q1111" s="2">
        <v>0.51874999999999993</v>
      </c>
      <c r="R1111">
        <f>0.001204463*3600</f>
        <v>4.3360668000000002</v>
      </c>
      <c r="S1111">
        <f>0.0031019945*3600</f>
        <v>11.167180200000001</v>
      </c>
    </row>
    <row r="1112" spans="1:19" x14ac:dyDescent="0.3">
      <c r="A1112" s="4" t="s">
        <v>47</v>
      </c>
      <c r="B1112" s="11" t="s">
        <v>59</v>
      </c>
      <c r="C1112">
        <v>298.74814700000002</v>
      </c>
      <c r="D1112">
        <v>100.29295</v>
      </c>
      <c r="E1112">
        <v>90.327600000000004</v>
      </c>
      <c r="F1112">
        <v>90.311099999999996</v>
      </c>
      <c r="G1112">
        <v>0.23899999999999999</v>
      </c>
      <c r="H1112">
        <v>0.24</v>
      </c>
      <c r="J1112" t="s">
        <v>0</v>
      </c>
      <c r="K1112" t="s">
        <v>50</v>
      </c>
      <c r="L1112" t="s">
        <v>51</v>
      </c>
      <c r="M1112">
        <v>0</v>
      </c>
      <c r="N1112" t="s">
        <v>57</v>
      </c>
      <c r="O1112">
        <v>1</v>
      </c>
      <c r="P1112" t="s">
        <v>53</v>
      </c>
      <c r="Q1112" s="2">
        <v>0.51874999999999993</v>
      </c>
      <c r="R1112">
        <f>-0.0011182114*3600</f>
        <v>-4.0255610399999995</v>
      </c>
      <c r="S1112">
        <f>-0.0025015723*3600</f>
        <v>-9.0056602800000007</v>
      </c>
    </row>
    <row r="1113" spans="1:19" x14ac:dyDescent="0.3">
      <c r="A1113" s="4" t="s">
        <v>47</v>
      </c>
      <c r="B1113" s="11" t="s">
        <v>59</v>
      </c>
      <c r="C1113">
        <v>98.748321000000004</v>
      </c>
      <c r="D1113">
        <v>299.70757800000001</v>
      </c>
      <c r="E1113">
        <v>90.327500000000001</v>
      </c>
      <c r="F1113">
        <v>90.311000000000007</v>
      </c>
      <c r="G1113">
        <v>0.23899999999999999</v>
      </c>
      <c r="H1113">
        <v>0.24</v>
      </c>
      <c r="J1113" t="s">
        <v>0</v>
      </c>
      <c r="K1113" t="s">
        <v>50</v>
      </c>
      <c r="L1113" t="s">
        <v>51</v>
      </c>
      <c r="M1113">
        <v>0</v>
      </c>
      <c r="N1113" t="s">
        <v>57</v>
      </c>
      <c r="O1113">
        <v>1</v>
      </c>
      <c r="P1113" t="s">
        <v>53</v>
      </c>
      <c r="Q1113" s="2">
        <v>0.51874999999999993</v>
      </c>
      <c r="R1113">
        <f>0.0008489888*3600</f>
        <v>3.0563596799999999</v>
      </c>
      <c r="S1113">
        <f>0.0033423685*3600</f>
        <v>12.032526599999999</v>
      </c>
    </row>
    <row r="1114" spans="1:19" x14ac:dyDescent="0.3">
      <c r="A1114" s="4" t="s">
        <v>47</v>
      </c>
      <c r="B1114" s="11" t="s">
        <v>59</v>
      </c>
      <c r="C1114">
        <v>298.74783600000001</v>
      </c>
      <c r="D1114">
        <v>100.29281899999999</v>
      </c>
      <c r="E1114">
        <v>90.327600000000004</v>
      </c>
      <c r="F1114">
        <v>90.311099999999996</v>
      </c>
      <c r="G1114">
        <v>0.23899999999999999</v>
      </c>
      <c r="H1114">
        <v>0.24</v>
      </c>
      <c r="J1114" t="s">
        <v>0</v>
      </c>
      <c r="K1114" t="s">
        <v>50</v>
      </c>
      <c r="L1114" t="s">
        <v>51</v>
      </c>
      <c r="M1114">
        <v>0</v>
      </c>
      <c r="N1114" t="s">
        <v>57</v>
      </c>
      <c r="O1114">
        <v>1</v>
      </c>
      <c r="P1114" t="s">
        <v>53</v>
      </c>
      <c r="Q1114" s="2">
        <v>0.51874999999999993</v>
      </c>
      <c r="R1114">
        <f>0.0007920528*3600</f>
        <v>2.8513900799999998</v>
      </c>
      <c r="S1114">
        <f>0.0032871224*3600</f>
        <v>11.83364064</v>
      </c>
    </row>
    <row r="1115" spans="1:19" x14ac:dyDescent="0.3">
      <c r="A1115" s="4" t="s">
        <v>47</v>
      </c>
      <c r="B1115" s="11" t="s">
        <v>59</v>
      </c>
      <c r="C1115">
        <v>98.748080000000002</v>
      </c>
      <c r="D1115">
        <v>299.70750600000002</v>
      </c>
      <c r="E1115">
        <v>90.327600000000004</v>
      </c>
      <c r="F1115">
        <v>90.311099999999996</v>
      </c>
      <c r="G1115">
        <v>0.23899999999999999</v>
      </c>
      <c r="H1115">
        <v>0.24</v>
      </c>
      <c r="J1115" t="s">
        <v>0</v>
      </c>
      <c r="K1115" t="s">
        <v>50</v>
      </c>
      <c r="L1115" t="s">
        <v>51</v>
      </c>
      <c r="M1115">
        <v>0</v>
      </c>
      <c r="N1115" t="s">
        <v>57</v>
      </c>
      <c r="O1115">
        <v>1</v>
      </c>
      <c r="P1115" t="s">
        <v>53</v>
      </c>
      <c r="Q1115" s="2">
        <v>0.51874999999999993</v>
      </c>
      <c r="R1115">
        <f>0.0008377525*3600</f>
        <v>3.0159090000000002</v>
      </c>
      <c r="S1115">
        <f>0.0033835802*3600</f>
        <v>12.180888719999999</v>
      </c>
    </row>
    <row r="1116" spans="1:19" x14ac:dyDescent="0.3">
      <c r="A1116" s="4" t="s">
        <v>47</v>
      </c>
      <c r="B1116" s="11" t="s">
        <v>59</v>
      </c>
      <c r="C1116">
        <v>298.74901</v>
      </c>
      <c r="D1116">
        <v>100.29325</v>
      </c>
      <c r="E1116">
        <v>90.3279</v>
      </c>
      <c r="F1116">
        <v>90.311400000000006</v>
      </c>
      <c r="G1116">
        <v>0.23899999999999999</v>
      </c>
      <c r="H1116">
        <v>0.24</v>
      </c>
      <c r="J1116" t="s">
        <v>0</v>
      </c>
      <c r="K1116" t="s">
        <v>50</v>
      </c>
      <c r="L1116" t="s">
        <v>51</v>
      </c>
      <c r="M1116">
        <v>0</v>
      </c>
      <c r="N1116" t="s">
        <v>57</v>
      </c>
      <c r="O1116">
        <v>1</v>
      </c>
      <c r="P1116" t="s">
        <v>53</v>
      </c>
      <c r="Q1116" s="2">
        <v>0.51874999999999993</v>
      </c>
      <c r="R1116">
        <f>-0.0006879068*3600</f>
        <v>-2.4764644800000002</v>
      </c>
      <c r="S1116">
        <f>-0.0026612079*3600</f>
        <v>-9.5803484399999999</v>
      </c>
    </row>
    <row r="1117" spans="1:19" x14ac:dyDescent="0.3">
      <c r="A1117" s="4" t="s">
        <v>47</v>
      </c>
      <c r="B1117" s="11" t="s">
        <v>59</v>
      </c>
      <c r="C1117">
        <v>98.749128999999996</v>
      </c>
      <c r="D1117">
        <v>299.70721300000002</v>
      </c>
      <c r="E1117">
        <v>90.327500000000001</v>
      </c>
      <c r="F1117">
        <v>90.311000000000007</v>
      </c>
      <c r="G1117">
        <v>0.23899999999999999</v>
      </c>
      <c r="H1117">
        <v>0.24</v>
      </c>
      <c r="J1117" t="s">
        <v>0</v>
      </c>
      <c r="K1117" t="s">
        <v>50</v>
      </c>
      <c r="L1117" t="s">
        <v>51</v>
      </c>
      <c r="M1117">
        <v>0</v>
      </c>
      <c r="N1117" t="s">
        <v>57</v>
      </c>
      <c r="O1117">
        <v>1</v>
      </c>
      <c r="P1117" t="s">
        <v>53</v>
      </c>
      <c r="Q1117" s="2">
        <v>0.51874999999999993</v>
      </c>
      <c r="R1117">
        <f>-0.0007994724*3600</f>
        <v>-2.87810064</v>
      </c>
      <c r="S1117">
        <f>-0.0027341101*3600</f>
        <v>-9.8427963600000012</v>
      </c>
    </row>
    <row r="1118" spans="1:19" x14ac:dyDescent="0.3">
      <c r="A1118" s="4" t="s">
        <v>47</v>
      </c>
      <c r="B1118" s="11" t="s">
        <v>59</v>
      </c>
      <c r="C1118">
        <v>298.74920200000003</v>
      </c>
      <c r="D1118">
        <v>100.293233</v>
      </c>
      <c r="E1118">
        <v>90.327799999999996</v>
      </c>
      <c r="F1118">
        <v>90.311300000000003</v>
      </c>
      <c r="G1118">
        <v>0.23899999999999999</v>
      </c>
      <c r="H1118">
        <v>0.24</v>
      </c>
      <c r="J1118" t="s">
        <v>0</v>
      </c>
      <c r="K1118" t="s">
        <v>50</v>
      </c>
      <c r="L1118" t="s">
        <v>51</v>
      </c>
      <c r="M1118">
        <v>0</v>
      </c>
      <c r="N1118" t="s">
        <v>57</v>
      </c>
      <c r="O1118">
        <v>1</v>
      </c>
      <c r="P1118" t="s">
        <v>53</v>
      </c>
      <c r="Q1118" s="2">
        <v>0.51944444444444449</v>
      </c>
      <c r="R1118">
        <f>-0.0007904774*3600</f>
        <v>-2.8457186399999999</v>
      </c>
      <c r="S1118">
        <f>-0.00275019*3600</f>
        <v>-9.900684</v>
      </c>
    </row>
    <row r="1119" spans="1:19" x14ac:dyDescent="0.3">
      <c r="A1119" s="4" t="s">
        <v>47</v>
      </c>
      <c r="B1119" s="11" t="s">
        <v>59</v>
      </c>
      <c r="C1119">
        <v>98.748851999999999</v>
      </c>
      <c r="D1119">
        <v>299.70706200000001</v>
      </c>
      <c r="E1119">
        <v>90.327500000000001</v>
      </c>
      <c r="F1119">
        <v>90.311000000000007</v>
      </c>
      <c r="G1119">
        <v>0.23899999999999999</v>
      </c>
      <c r="H1119">
        <v>0.24</v>
      </c>
      <c r="J1119" t="s">
        <v>0</v>
      </c>
      <c r="K1119" t="s">
        <v>50</v>
      </c>
      <c r="L1119" t="s">
        <v>51</v>
      </c>
      <c r="M1119">
        <v>0</v>
      </c>
      <c r="N1119" t="s">
        <v>57</v>
      </c>
      <c r="O1119">
        <v>1</v>
      </c>
      <c r="P1119" t="s">
        <v>53</v>
      </c>
      <c r="Q1119" s="2">
        <v>0.51944444444444449</v>
      </c>
      <c r="R1119">
        <f>0.0013195487*3600</f>
        <v>4.7503753199999998</v>
      </c>
      <c r="S1119">
        <f>0.0029774889*3600</f>
        <v>10.718960039999999</v>
      </c>
    </row>
    <row r="1120" spans="1:19" x14ac:dyDescent="0.3">
      <c r="A1120" s="4" t="s">
        <v>47</v>
      </c>
      <c r="B1120" s="11" t="s">
        <v>59</v>
      </c>
      <c r="C1120">
        <v>298.748829</v>
      </c>
      <c r="D1120">
        <v>100.293232</v>
      </c>
      <c r="E1120">
        <v>90.328100000000006</v>
      </c>
      <c r="F1120">
        <v>90.311599999999999</v>
      </c>
      <c r="G1120">
        <v>0.23899999999999999</v>
      </c>
      <c r="H1120">
        <v>0.24</v>
      </c>
      <c r="J1120" t="s">
        <v>0</v>
      </c>
      <c r="K1120" t="s">
        <v>61</v>
      </c>
      <c r="L1120">
        <v>3.4000000000000002E-2</v>
      </c>
      <c r="M1120" t="s">
        <v>52</v>
      </c>
      <c r="N1120">
        <v>1</v>
      </c>
      <c r="O1120" t="s">
        <v>53</v>
      </c>
      <c r="P1120" s="2">
        <v>0.52013888888888882</v>
      </c>
      <c r="Q1120">
        <f>0.0009957687*3600</f>
        <v>3.5847673200000001</v>
      </c>
      <c r="R1120">
        <f>0.0032850889*3600</f>
        <v>11.826320040000001</v>
      </c>
    </row>
    <row r="1121" spans="1:18" x14ac:dyDescent="0.3">
      <c r="A1121" s="4" t="s">
        <v>47</v>
      </c>
      <c r="B1121" s="11" t="s">
        <v>59</v>
      </c>
      <c r="C1121">
        <v>98.749262999999999</v>
      </c>
      <c r="D1121">
        <v>299.707312</v>
      </c>
      <c r="E1121">
        <v>90.327600000000004</v>
      </c>
      <c r="F1121">
        <v>90.311099999999996</v>
      </c>
      <c r="G1121">
        <v>0.23899999999999999</v>
      </c>
      <c r="H1121">
        <v>0.24</v>
      </c>
      <c r="J1121" t="s">
        <v>0</v>
      </c>
      <c r="K1121" t="s">
        <v>61</v>
      </c>
      <c r="L1121">
        <v>0</v>
      </c>
      <c r="M1121" t="s">
        <v>52</v>
      </c>
      <c r="N1121">
        <v>1</v>
      </c>
      <c r="O1121" t="s">
        <v>63</v>
      </c>
      <c r="P1121" s="2">
        <v>0.52013888888888882</v>
      </c>
      <c r="Q1121">
        <f>0.0009773287*3600</f>
        <v>3.5183833199999999</v>
      </c>
      <c r="R1121">
        <f>0.0032128864*3600</f>
        <v>11.566391039999999</v>
      </c>
    </row>
    <row r="1122" spans="1:18" x14ac:dyDescent="0.3">
      <c r="A1122" s="4" t="s">
        <v>47</v>
      </c>
      <c r="B1122" s="11" t="s">
        <v>59</v>
      </c>
      <c r="C1122">
        <v>298.74907300000001</v>
      </c>
      <c r="D1122">
        <v>100.293237</v>
      </c>
      <c r="E1122">
        <v>90.327600000000004</v>
      </c>
      <c r="F1122">
        <v>90.311199999999999</v>
      </c>
      <c r="G1122">
        <v>0.23899999999999999</v>
      </c>
      <c r="H1122">
        <v>0.24</v>
      </c>
      <c r="J1122" t="s">
        <v>0</v>
      </c>
      <c r="K1122" t="s">
        <v>61</v>
      </c>
      <c r="L1122">
        <v>0</v>
      </c>
      <c r="M1122" t="s">
        <v>52</v>
      </c>
      <c r="N1122">
        <v>1</v>
      </c>
      <c r="O1122" t="s">
        <v>63</v>
      </c>
      <c r="P1122" s="2">
        <v>0.52013888888888882</v>
      </c>
      <c r="Q1122">
        <f>0.0010317175*3600</f>
        <v>3.7141830000000002</v>
      </c>
      <c r="R1122">
        <f>0.0027746173*3600</f>
        <v>9.9886222800000013</v>
      </c>
    </row>
    <row r="1123" spans="1:18" x14ac:dyDescent="0.3">
      <c r="A1123" s="4" t="s">
        <v>47</v>
      </c>
      <c r="B1123" s="11" t="s">
        <v>59</v>
      </c>
      <c r="C1123">
        <v>298.74891000000002</v>
      </c>
      <c r="D1123">
        <v>100.293228</v>
      </c>
      <c r="E1123">
        <v>90.327600000000004</v>
      </c>
      <c r="F1123">
        <v>90.311199999999999</v>
      </c>
      <c r="G1123">
        <v>0.23899999999999999</v>
      </c>
      <c r="H1123">
        <v>0.24</v>
      </c>
      <c r="J1123" t="s">
        <v>0</v>
      </c>
      <c r="K1123" t="s">
        <v>61</v>
      </c>
      <c r="L1123">
        <v>0</v>
      </c>
      <c r="M1123" t="s">
        <v>52</v>
      </c>
      <c r="N1123">
        <v>1</v>
      </c>
      <c r="O1123" t="s">
        <v>63</v>
      </c>
      <c r="P1123" s="2">
        <v>0.52013888888888882</v>
      </c>
      <c r="Q1123">
        <f>0.0010168767*3600</f>
        <v>3.6607561199999998</v>
      </c>
      <c r="R1123">
        <f>0.0026339182*3600</f>
        <v>9.4821055199999993</v>
      </c>
    </row>
    <row r="1124" spans="1:18" x14ac:dyDescent="0.3">
      <c r="A1124" s="4" t="s">
        <v>47</v>
      </c>
      <c r="B1124" s="12" t="s">
        <v>56</v>
      </c>
      <c r="C1124">
        <v>295.65246200000001</v>
      </c>
      <c r="D1124">
        <v>100.631924</v>
      </c>
      <c r="E1124">
        <v>39.724400000000003</v>
      </c>
      <c r="F1124">
        <v>39.715600000000002</v>
      </c>
      <c r="G1124">
        <v>0.23899999999999999</v>
      </c>
      <c r="H1124">
        <v>0</v>
      </c>
      <c r="J1124" t="s">
        <v>0</v>
      </c>
      <c r="K1124" t="s">
        <v>61</v>
      </c>
      <c r="L1124">
        <v>0</v>
      </c>
      <c r="M1124" t="s">
        <v>52</v>
      </c>
      <c r="N1124">
        <v>1</v>
      </c>
      <c r="O1124" t="s">
        <v>63</v>
      </c>
      <c r="P1124" s="2">
        <v>0.52013888888888882</v>
      </c>
      <c r="Q1124">
        <f>0.0008454573*3600</f>
        <v>3.0436462799999999</v>
      </c>
      <c r="R1124">
        <f>0.0024192173*3600</f>
        <v>8.7091822800000003</v>
      </c>
    </row>
    <row r="1125" spans="1:18" x14ac:dyDescent="0.3">
      <c r="A1125" s="4" t="s">
        <v>47</v>
      </c>
      <c r="B1125" s="12" t="s">
        <v>56</v>
      </c>
      <c r="C1125">
        <v>95.651902000000007</v>
      </c>
      <c r="D1125">
        <v>299.36852199999998</v>
      </c>
      <c r="E1125">
        <v>39.724400000000003</v>
      </c>
      <c r="F1125">
        <v>39.715600000000002</v>
      </c>
      <c r="G1125">
        <v>0.23899999999999999</v>
      </c>
      <c r="H1125">
        <v>0</v>
      </c>
      <c r="J1125" t="s">
        <v>0</v>
      </c>
      <c r="K1125" t="s">
        <v>61</v>
      </c>
      <c r="L1125">
        <v>0</v>
      </c>
      <c r="M1125" t="s">
        <v>52</v>
      </c>
      <c r="N1125">
        <v>1</v>
      </c>
      <c r="O1125" t="s">
        <v>63</v>
      </c>
      <c r="P1125" s="2">
        <v>0.52083333333333337</v>
      </c>
      <c r="Q1125">
        <f>0.0010633325*3600</f>
        <v>3.8279969999999999</v>
      </c>
      <c r="R1125">
        <f>0.0009700745*3600</f>
        <v>3.4922681999999998</v>
      </c>
    </row>
    <row r="1126" spans="1:18" x14ac:dyDescent="0.3">
      <c r="A1126" s="4" t="s">
        <v>47</v>
      </c>
      <c r="B1126" s="12" t="s">
        <v>56</v>
      </c>
      <c r="C1126">
        <v>295.652311</v>
      </c>
      <c r="D1126">
        <v>100.63163400000001</v>
      </c>
      <c r="E1126">
        <v>39.724600000000002</v>
      </c>
      <c r="F1126">
        <v>39.715800000000002</v>
      </c>
      <c r="G1126">
        <v>0.23899999999999999</v>
      </c>
      <c r="H1126">
        <v>0</v>
      </c>
      <c r="J1126" t="s">
        <v>0</v>
      </c>
      <c r="K1126" t="s">
        <v>61</v>
      </c>
      <c r="L1126">
        <v>0</v>
      </c>
      <c r="M1126" t="s">
        <v>52</v>
      </c>
      <c r="N1126">
        <v>1</v>
      </c>
      <c r="O1126" t="s">
        <v>63</v>
      </c>
      <c r="P1126" s="2">
        <v>0.52083333333333337</v>
      </c>
      <c r="Q1126">
        <f>0.0010412473*3600</f>
        <v>3.74849028</v>
      </c>
      <c r="R1126">
        <f>0.0006894664*3600</f>
        <v>2.4820790400000003</v>
      </c>
    </row>
    <row r="1127" spans="1:18" x14ac:dyDescent="0.3">
      <c r="A1127" s="4" t="s">
        <v>47</v>
      </c>
      <c r="B1127" s="12" t="s">
        <v>56</v>
      </c>
      <c r="C1127">
        <v>95.651854</v>
      </c>
      <c r="D1127">
        <v>299.368425</v>
      </c>
      <c r="E1127">
        <v>39.724299999999999</v>
      </c>
      <c r="F1127">
        <v>39.715499999999999</v>
      </c>
      <c r="G1127">
        <v>0.23899999999999999</v>
      </c>
      <c r="H1127">
        <v>0</v>
      </c>
      <c r="J1127" t="s">
        <v>0</v>
      </c>
      <c r="K1127" t="s">
        <v>61</v>
      </c>
      <c r="L1127">
        <v>0</v>
      </c>
      <c r="M1127" t="s">
        <v>52</v>
      </c>
      <c r="N1127">
        <v>1</v>
      </c>
      <c r="O1127" t="s">
        <v>63</v>
      </c>
      <c r="P1127" s="2">
        <v>0.52083333333333337</v>
      </c>
      <c r="Q1127">
        <f>0.0009393445*3600</f>
        <v>3.3816402000000001</v>
      </c>
      <c r="R1127">
        <f>0.0006920215*3600</f>
        <v>2.4912774</v>
      </c>
    </row>
    <row r="1128" spans="1:18" x14ac:dyDescent="0.3">
      <c r="A1128" s="4" t="s">
        <v>47</v>
      </c>
      <c r="B1128" s="12" t="s">
        <v>56</v>
      </c>
      <c r="C1128">
        <v>295.652762</v>
      </c>
      <c r="D1128">
        <v>100.631659</v>
      </c>
      <c r="E1128">
        <v>39.724400000000003</v>
      </c>
      <c r="F1128">
        <v>39.715600000000002</v>
      </c>
      <c r="G1128">
        <v>0.23899999999999999</v>
      </c>
      <c r="H1128">
        <v>0</v>
      </c>
      <c r="J1128" t="s">
        <v>0</v>
      </c>
      <c r="K1128" t="s">
        <v>61</v>
      </c>
      <c r="L1128">
        <v>0</v>
      </c>
      <c r="M1128" t="s">
        <v>52</v>
      </c>
      <c r="N1128">
        <v>1</v>
      </c>
      <c r="O1128" t="s">
        <v>63</v>
      </c>
      <c r="P1128" s="2">
        <v>0.52083333333333337</v>
      </c>
      <c r="Q1128">
        <f>0.0005302645*3600</f>
        <v>1.9089521999999999</v>
      </c>
      <c r="R1128">
        <f>0.0020627968*3600</f>
        <v>7.4260684799999996</v>
      </c>
    </row>
    <row r="1129" spans="1:18" x14ac:dyDescent="0.3">
      <c r="A1129" s="4" t="s">
        <v>47</v>
      </c>
      <c r="B1129" s="12" t="s">
        <v>56</v>
      </c>
      <c r="C1129">
        <v>95.651531000000006</v>
      </c>
      <c r="D1129">
        <v>299.368314</v>
      </c>
      <c r="E1129">
        <v>39.724499999999999</v>
      </c>
      <c r="F1129">
        <v>39.715699999999998</v>
      </c>
      <c r="G1129">
        <v>0.23899999999999999</v>
      </c>
      <c r="H1129">
        <v>0</v>
      </c>
      <c r="J1129" t="s">
        <v>0</v>
      </c>
      <c r="K1129" t="s">
        <v>61</v>
      </c>
      <c r="L1129">
        <v>0</v>
      </c>
      <c r="M1129" t="s">
        <v>52</v>
      </c>
      <c r="N1129">
        <v>1</v>
      </c>
      <c r="O1129" t="s">
        <v>63</v>
      </c>
      <c r="P1129" s="2">
        <v>0.52152777777777781</v>
      </c>
      <c r="Q1129">
        <f>0.0004486551*3600</f>
        <v>1.6151583599999999</v>
      </c>
      <c r="R1129">
        <f>0.0016080965*3600</f>
        <v>5.7891474000000001</v>
      </c>
    </row>
    <row r="1130" spans="1:18" x14ac:dyDescent="0.3">
      <c r="A1130" s="4" t="s">
        <v>47</v>
      </c>
      <c r="B1130" s="12" t="s">
        <v>56</v>
      </c>
      <c r="C1130">
        <v>295.653392</v>
      </c>
      <c r="D1130">
        <v>100.631692</v>
      </c>
      <c r="E1130">
        <v>39.724499999999999</v>
      </c>
      <c r="F1130">
        <v>39.715699999999998</v>
      </c>
      <c r="G1130">
        <v>0.23899999999999999</v>
      </c>
      <c r="H1130">
        <v>0</v>
      </c>
      <c r="J1130" t="s">
        <v>0</v>
      </c>
      <c r="K1130" t="s">
        <v>61</v>
      </c>
      <c r="L1130">
        <v>0</v>
      </c>
      <c r="M1130" t="s">
        <v>52</v>
      </c>
      <c r="N1130">
        <v>1</v>
      </c>
      <c r="O1130" t="s">
        <v>63</v>
      </c>
      <c r="P1130" s="2">
        <v>0.52152777777777781</v>
      </c>
      <c r="Q1130">
        <f>0.0004863819*3600</f>
        <v>1.75097484</v>
      </c>
      <c r="R1130">
        <f>0.0011339238*3600</f>
        <v>4.0821256799999999</v>
      </c>
    </row>
    <row r="1131" spans="1:18" x14ac:dyDescent="0.3">
      <c r="A1131" s="4" t="s">
        <v>47</v>
      </c>
      <c r="B1131" s="12" t="s">
        <v>56</v>
      </c>
      <c r="C1131">
        <v>95.652888000000004</v>
      </c>
      <c r="D1131">
        <v>299.36825199999998</v>
      </c>
      <c r="E1131">
        <v>39.724499999999999</v>
      </c>
      <c r="F1131">
        <v>39.715699999999998</v>
      </c>
      <c r="G1131">
        <v>0.23899999999999999</v>
      </c>
      <c r="H1131">
        <v>0</v>
      </c>
      <c r="J1131" t="s">
        <v>0</v>
      </c>
      <c r="K1131" t="s">
        <v>61</v>
      </c>
      <c r="L1131">
        <v>0</v>
      </c>
      <c r="M1131" t="s">
        <v>52</v>
      </c>
      <c r="N1131">
        <v>1</v>
      </c>
      <c r="O1131" t="s">
        <v>63</v>
      </c>
      <c r="P1131" s="2">
        <v>0.52152777777777781</v>
      </c>
      <c r="Q1131">
        <f>0.0003201752*3600</f>
        <v>1.1526307199999999</v>
      </c>
      <c r="R1131">
        <f>0.002373479*3600</f>
        <v>8.5445244000000002</v>
      </c>
    </row>
    <row r="1132" spans="1:18" x14ac:dyDescent="0.3">
      <c r="A1132" s="4" t="s">
        <v>47</v>
      </c>
      <c r="B1132" s="12" t="s">
        <v>56</v>
      </c>
      <c r="C1132">
        <v>295.65335399999998</v>
      </c>
      <c r="D1132">
        <v>100.631835</v>
      </c>
      <c r="E1132">
        <v>39.724600000000002</v>
      </c>
      <c r="F1132">
        <v>39.715800000000002</v>
      </c>
      <c r="G1132">
        <v>0.23899999999999999</v>
      </c>
      <c r="H1132">
        <v>0</v>
      </c>
      <c r="J1132" t="s">
        <v>0</v>
      </c>
      <c r="K1132" t="s">
        <v>61</v>
      </c>
      <c r="L1132">
        <v>0</v>
      </c>
      <c r="M1132" t="s">
        <v>52</v>
      </c>
      <c r="N1132">
        <v>1</v>
      </c>
      <c r="O1132" t="s">
        <v>63</v>
      </c>
      <c r="P1132" s="2">
        <v>0.52152777777777781</v>
      </c>
      <c r="Q1132">
        <f>0.0003269249*3600</f>
        <v>1.17692964</v>
      </c>
      <c r="R1132">
        <f>0.0024988283*3600</f>
        <v>8.9957818799999991</v>
      </c>
    </row>
    <row r="1133" spans="1:18" x14ac:dyDescent="0.3">
      <c r="A1133" s="4" t="s">
        <v>47</v>
      </c>
      <c r="B1133" s="12" t="s">
        <v>56</v>
      </c>
      <c r="C1133">
        <v>95.652815000000004</v>
      </c>
      <c r="D1133">
        <v>299.36824899999999</v>
      </c>
      <c r="E1133">
        <v>39.724400000000003</v>
      </c>
      <c r="F1133">
        <v>39.715600000000002</v>
      </c>
      <c r="G1133">
        <v>0.23899999999999999</v>
      </c>
      <c r="H1133">
        <v>0</v>
      </c>
      <c r="J1133" t="s">
        <v>0</v>
      </c>
      <c r="K1133" t="s">
        <v>61</v>
      </c>
      <c r="L1133">
        <v>0</v>
      </c>
      <c r="M1133" t="s">
        <v>52</v>
      </c>
      <c r="N1133">
        <v>1</v>
      </c>
      <c r="O1133" t="s">
        <v>63</v>
      </c>
      <c r="P1133" s="2">
        <v>0.52152777777777781</v>
      </c>
      <c r="Q1133">
        <f>0.0004339797*3600</f>
        <v>1.5623269200000001</v>
      </c>
      <c r="R1133">
        <f>0.0027602562*3600</f>
        <v>9.9369223200000008</v>
      </c>
    </row>
    <row r="1134" spans="1:18" x14ac:dyDescent="0.3">
      <c r="A1134" s="4" t="s">
        <v>47</v>
      </c>
      <c r="B1134" s="12" t="s">
        <v>56</v>
      </c>
      <c r="C1134">
        <v>295.653211</v>
      </c>
      <c r="D1134">
        <v>100.63159400000001</v>
      </c>
      <c r="E1134">
        <v>39.724499999999999</v>
      </c>
      <c r="F1134">
        <v>39.715699999999998</v>
      </c>
      <c r="G1134">
        <v>0.23899999999999999</v>
      </c>
      <c r="H1134">
        <v>0</v>
      </c>
      <c r="J1134" t="s">
        <v>0</v>
      </c>
      <c r="K1134" t="s">
        <v>61</v>
      </c>
      <c r="L1134">
        <v>0</v>
      </c>
      <c r="M1134" t="s">
        <v>52</v>
      </c>
      <c r="N1134">
        <v>1</v>
      </c>
      <c r="O1134" t="s">
        <v>63</v>
      </c>
      <c r="P1134" s="2">
        <v>0.52222222222222225</v>
      </c>
      <c r="Q1134">
        <f>0.0004660757*3600</f>
        <v>1.67787252</v>
      </c>
      <c r="R1134">
        <f>0.0023178505*3600</f>
        <v>8.3442618</v>
      </c>
    </row>
    <row r="1135" spans="1:18" x14ac:dyDescent="0.3">
      <c r="A1135" s="4" t="s">
        <v>47</v>
      </c>
      <c r="B1135" s="12" t="s">
        <v>56</v>
      </c>
      <c r="C1135">
        <v>95.652471000000006</v>
      </c>
      <c r="D1135">
        <v>299.368471</v>
      </c>
      <c r="E1135">
        <v>39.724200000000003</v>
      </c>
      <c r="F1135">
        <v>39.715400000000002</v>
      </c>
      <c r="G1135">
        <v>0.23899999999999999</v>
      </c>
      <c r="H1135">
        <v>0</v>
      </c>
      <c r="J1135" t="s">
        <v>0</v>
      </c>
      <c r="K1135" t="s">
        <v>61</v>
      </c>
      <c r="L1135">
        <v>3.4000000000000002E-2</v>
      </c>
      <c r="M1135" t="s">
        <v>52</v>
      </c>
      <c r="N1135">
        <v>1</v>
      </c>
      <c r="O1135" t="s">
        <v>53</v>
      </c>
      <c r="P1135" s="2">
        <v>0.52222222222222225</v>
      </c>
      <c r="Q1135">
        <f>0.000529587*3600</f>
        <v>1.9065132</v>
      </c>
      <c r="R1135">
        <f>0.0027468939*3600</f>
        <v>9.8888180400000003</v>
      </c>
    </row>
    <row r="1136" spans="1:18" x14ac:dyDescent="0.3">
      <c r="A1136" s="4" t="s">
        <v>47</v>
      </c>
      <c r="B1136" s="13" t="s">
        <v>356</v>
      </c>
      <c r="C1136">
        <v>298.064323</v>
      </c>
      <c r="D1136">
        <v>105.16069899999999</v>
      </c>
      <c r="E1136">
        <v>1.4856</v>
      </c>
      <c r="F1136">
        <v>1.4804999999999999</v>
      </c>
      <c r="G1136">
        <v>0.23899999999999999</v>
      </c>
      <c r="H1136">
        <v>0</v>
      </c>
      <c r="I1136">
        <f>IF(D1136&lt;200,1,2)</f>
        <v>1</v>
      </c>
      <c r="J1136" t="s">
        <v>0</v>
      </c>
      <c r="K1136" t="s">
        <v>61</v>
      </c>
      <c r="L1136">
        <v>3.4000000000000002E-2</v>
      </c>
      <c r="M1136" t="s">
        <v>52</v>
      </c>
      <c r="N1136">
        <v>1</v>
      </c>
      <c r="O1136" t="s">
        <v>53</v>
      </c>
      <c r="P1136" s="2">
        <v>0.52222222222222225</v>
      </c>
      <c r="Q1136">
        <f>0.0004564845*3600</f>
        <v>1.6433442</v>
      </c>
      <c r="R1136">
        <f>0.0027497477*3600</f>
        <v>9.8990917200000013</v>
      </c>
    </row>
    <row r="1137" spans="1:18" x14ac:dyDescent="0.3">
      <c r="A1137" s="4" t="s">
        <v>47</v>
      </c>
      <c r="B1137" s="13" t="s">
        <v>356</v>
      </c>
      <c r="C1137">
        <v>298.05791199999999</v>
      </c>
      <c r="D1137">
        <v>100.741574</v>
      </c>
      <c r="E1137">
        <v>1.4856</v>
      </c>
      <c r="F1137">
        <v>1.4804999999999999</v>
      </c>
      <c r="G1137">
        <v>0.23899999999999999</v>
      </c>
      <c r="H1137">
        <v>0</v>
      </c>
      <c r="I1137">
        <f t="shared" ref="I1137:I1200" si="0">IF(D1137&lt;200,1,2)</f>
        <v>1</v>
      </c>
      <c r="J1137" t="s">
        <v>0</v>
      </c>
      <c r="K1137" t="s">
        <v>61</v>
      </c>
      <c r="L1137">
        <v>0</v>
      </c>
      <c r="M1137" t="s">
        <v>52</v>
      </c>
      <c r="N1137">
        <v>1</v>
      </c>
      <c r="O1137" t="s">
        <v>63</v>
      </c>
      <c r="P1137" s="2">
        <v>0.5229166666666667</v>
      </c>
      <c r="Q1137">
        <f>0.0007100348*3600</f>
        <v>2.5561252799999998</v>
      </c>
      <c r="R1137">
        <f>0.0027798173*3600</f>
        <v>10.00734228</v>
      </c>
    </row>
    <row r="1138" spans="1:18" x14ac:dyDescent="0.3">
      <c r="A1138" s="4" t="s">
        <v>47</v>
      </c>
      <c r="B1138" s="13" t="s">
        <v>356</v>
      </c>
      <c r="C1138">
        <v>298.06611299999997</v>
      </c>
      <c r="D1138">
        <v>100.741151</v>
      </c>
      <c r="E1138">
        <v>1.4856</v>
      </c>
      <c r="F1138">
        <v>1.4804999999999999</v>
      </c>
      <c r="G1138">
        <v>0.23899999999999999</v>
      </c>
      <c r="H1138">
        <v>0</v>
      </c>
      <c r="I1138">
        <f t="shared" si="0"/>
        <v>1</v>
      </c>
      <c r="J1138" t="s">
        <v>0</v>
      </c>
      <c r="K1138" t="s">
        <v>61</v>
      </c>
      <c r="L1138">
        <v>0</v>
      </c>
      <c r="M1138" t="s">
        <v>52</v>
      </c>
      <c r="N1138">
        <v>1</v>
      </c>
      <c r="O1138" t="s">
        <v>63</v>
      </c>
      <c r="P1138" s="2">
        <v>0.5229166666666667</v>
      </c>
      <c r="Q1138">
        <f>0.0006296032*3600</f>
        <v>2.2665715200000003</v>
      </c>
      <c r="R1138">
        <f>0.0024968897*3600</f>
        <v>8.9888029200000013</v>
      </c>
    </row>
    <row r="1139" spans="1:18" x14ac:dyDescent="0.3">
      <c r="A1139" s="4" t="s">
        <v>47</v>
      </c>
      <c r="B1139" s="13" t="s">
        <v>356</v>
      </c>
      <c r="C1139">
        <v>298.063827</v>
      </c>
      <c r="D1139">
        <v>100.741021</v>
      </c>
      <c r="E1139">
        <v>1.4856</v>
      </c>
      <c r="F1139">
        <v>1.4804999999999999</v>
      </c>
      <c r="G1139">
        <v>0.23899999999999999</v>
      </c>
      <c r="H1139">
        <v>0</v>
      </c>
      <c r="I1139">
        <f t="shared" si="0"/>
        <v>1</v>
      </c>
      <c r="J1139" t="s">
        <v>0</v>
      </c>
      <c r="K1139" t="s">
        <v>61</v>
      </c>
      <c r="L1139">
        <v>0</v>
      </c>
      <c r="M1139" t="s">
        <v>52</v>
      </c>
      <c r="N1139">
        <v>1</v>
      </c>
      <c r="O1139" t="s">
        <v>63</v>
      </c>
      <c r="P1139" s="2">
        <v>0.5229166666666667</v>
      </c>
      <c r="Q1139">
        <f>0.0006370956*3600</f>
        <v>2.2935441600000002</v>
      </c>
      <c r="R1139">
        <f>0.002417231*3600</f>
        <v>8.7020315999999998</v>
      </c>
    </row>
    <row r="1140" spans="1:18" x14ac:dyDescent="0.3">
      <c r="A1140" s="4" t="s">
        <v>47</v>
      </c>
      <c r="B1140" s="13" t="s">
        <v>356</v>
      </c>
      <c r="C1140">
        <v>298.062408</v>
      </c>
      <c r="D1140">
        <v>100.740782</v>
      </c>
      <c r="E1140">
        <v>1.4856</v>
      </c>
      <c r="F1140">
        <v>1.4804999999999999</v>
      </c>
      <c r="G1140">
        <v>0.23899999999999999</v>
      </c>
      <c r="H1140">
        <v>0</v>
      </c>
      <c r="I1140">
        <f t="shared" si="0"/>
        <v>1</v>
      </c>
      <c r="J1140" t="s">
        <v>0</v>
      </c>
      <c r="K1140" t="s">
        <v>61</v>
      </c>
      <c r="L1140">
        <v>3.4000000000000002E-2</v>
      </c>
      <c r="M1140" t="s">
        <v>52</v>
      </c>
      <c r="N1140">
        <v>1</v>
      </c>
      <c r="O1140" t="s">
        <v>53</v>
      </c>
      <c r="P1140" s="2">
        <v>0.52361111111111114</v>
      </c>
      <c r="Q1140">
        <f>0.0005257827*3600</f>
        <v>1.8928177200000003</v>
      </c>
      <c r="R1140">
        <f>0.0028765298*3600</f>
        <v>10.355507279999999</v>
      </c>
    </row>
    <row r="1141" spans="1:18" x14ac:dyDescent="0.3">
      <c r="A1141" s="4" t="s">
        <v>47</v>
      </c>
      <c r="B1141" s="13" t="s">
        <v>356</v>
      </c>
      <c r="C1141">
        <v>298.06269700000001</v>
      </c>
      <c r="D1141">
        <v>100.739324</v>
      </c>
      <c r="E1141">
        <v>1.4856</v>
      </c>
      <c r="F1141">
        <v>1.4804999999999999</v>
      </c>
      <c r="G1141">
        <v>0.23899999999999999</v>
      </c>
      <c r="H1141">
        <v>0</v>
      </c>
      <c r="I1141">
        <f t="shared" si="0"/>
        <v>1</v>
      </c>
      <c r="J1141" t="s">
        <v>0</v>
      </c>
      <c r="K1141" t="s">
        <v>61</v>
      </c>
      <c r="L1141">
        <v>0</v>
      </c>
      <c r="M1141" t="s">
        <v>52</v>
      </c>
      <c r="N1141">
        <v>1</v>
      </c>
      <c r="O1141" t="s">
        <v>63</v>
      </c>
      <c r="P1141" s="2">
        <v>0.52361111111111114</v>
      </c>
      <c r="Q1141">
        <f>0.0005361606*3600</f>
        <v>1.9301781600000001</v>
      </c>
      <c r="R1141">
        <f>0.0030042198*3600</f>
        <v>10.815191280000001</v>
      </c>
    </row>
    <row r="1142" spans="1:18" x14ac:dyDescent="0.3">
      <c r="A1142" s="4" t="s">
        <v>47</v>
      </c>
      <c r="B1142" s="13" t="s">
        <v>356</v>
      </c>
      <c r="C1142">
        <v>298.06292100000002</v>
      </c>
      <c r="D1142">
        <v>100.739057</v>
      </c>
      <c r="E1142">
        <v>1.4856</v>
      </c>
      <c r="F1142">
        <v>1.4804999999999999</v>
      </c>
      <c r="G1142">
        <v>0.23899999999999999</v>
      </c>
      <c r="H1142">
        <v>0</v>
      </c>
      <c r="I1142">
        <f t="shared" si="0"/>
        <v>1</v>
      </c>
      <c r="J1142" t="s">
        <v>0</v>
      </c>
      <c r="K1142" t="s">
        <v>61</v>
      </c>
      <c r="L1142">
        <v>0</v>
      </c>
      <c r="M1142" t="s">
        <v>52</v>
      </c>
      <c r="N1142">
        <v>1</v>
      </c>
      <c r="O1142" t="s">
        <v>63</v>
      </c>
      <c r="P1142" s="2">
        <v>0.52361111111111114</v>
      </c>
      <c r="Q1142">
        <f>0.0006423208*3600</f>
        <v>2.31235488</v>
      </c>
      <c r="R1142">
        <f>0.0025392315*3600</f>
        <v>9.1412334000000008</v>
      </c>
    </row>
    <row r="1143" spans="1:18" x14ac:dyDescent="0.3">
      <c r="A1143" s="4" t="s">
        <v>47</v>
      </c>
      <c r="B1143" s="13" t="s">
        <v>356</v>
      </c>
      <c r="C1143">
        <v>298.06537400000002</v>
      </c>
      <c r="D1143">
        <v>100.73908299999999</v>
      </c>
      <c r="E1143">
        <v>1.4856</v>
      </c>
      <c r="F1143">
        <v>1.4804999999999999</v>
      </c>
      <c r="G1143">
        <v>0.23899999999999999</v>
      </c>
      <c r="H1143">
        <v>0</v>
      </c>
      <c r="I1143">
        <f t="shared" si="0"/>
        <v>1</v>
      </c>
      <c r="J1143" t="s">
        <v>0</v>
      </c>
      <c r="K1143" t="s">
        <v>61</v>
      </c>
      <c r="L1143">
        <v>0</v>
      </c>
      <c r="M1143" t="s">
        <v>52</v>
      </c>
      <c r="N1143">
        <v>1</v>
      </c>
      <c r="O1143" t="s">
        <v>63</v>
      </c>
      <c r="P1143" s="2">
        <v>0.52361111111111114</v>
      </c>
      <c r="Q1143">
        <f>0.0005572196*3600</f>
        <v>2.0059905599999999</v>
      </c>
      <c r="R1143">
        <f>0.0024252769*3600</f>
        <v>8.7309968399999995</v>
      </c>
    </row>
    <row r="1144" spans="1:18" x14ac:dyDescent="0.3">
      <c r="A1144" s="4" t="s">
        <v>47</v>
      </c>
      <c r="B1144" s="13" t="s">
        <v>356</v>
      </c>
      <c r="C1144">
        <v>298.06615099999999</v>
      </c>
      <c r="D1144">
        <v>100.740452</v>
      </c>
      <c r="E1144">
        <v>1.4856</v>
      </c>
      <c r="F1144">
        <v>1.4804999999999999</v>
      </c>
      <c r="G1144">
        <v>0.23899999999999999</v>
      </c>
      <c r="H1144">
        <v>0</v>
      </c>
      <c r="I1144">
        <f t="shared" si="0"/>
        <v>1</v>
      </c>
      <c r="J1144" t="s">
        <v>0</v>
      </c>
      <c r="K1144" t="s">
        <v>61</v>
      </c>
      <c r="L1144">
        <v>0</v>
      </c>
      <c r="M1144" t="s">
        <v>52</v>
      </c>
      <c r="N1144">
        <v>1</v>
      </c>
      <c r="O1144" t="s">
        <v>63</v>
      </c>
      <c r="P1144" s="2">
        <v>0.52361111111111114</v>
      </c>
      <c r="Q1144">
        <f>0.0006179235*3600</f>
        <v>2.2245246000000001</v>
      </c>
      <c r="R1144">
        <f>0.002394065*3600</f>
        <v>8.6186340000000001</v>
      </c>
    </row>
    <row r="1145" spans="1:18" x14ac:dyDescent="0.3">
      <c r="A1145" s="4" t="s">
        <v>47</v>
      </c>
      <c r="B1145" s="13" t="s">
        <v>356</v>
      </c>
      <c r="C1145">
        <v>298.06710800000002</v>
      </c>
      <c r="D1145">
        <v>100.739991</v>
      </c>
      <c r="E1145">
        <v>1.4856</v>
      </c>
      <c r="F1145">
        <v>1.4804999999999999</v>
      </c>
      <c r="G1145">
        <v>0.23899999999999999</v>
      </c>
      <c r="H1145">
        <v>0</v>
      </c>
      <c r="I1145">
        <f t="shared" si="0"/>
        <v>1</v>
      </c>
      <c r="J1145" t="s">
        <v>0</v>
      </c>
      <c r="K1145" t="s">
        <v>61</v>
      </c>
      <c r="L1145">
        <v>0</v>
      </c>
      <c r="M1145" t="s">
        <v>52</v>
      </c>
      <c r="N1145">
        <v>1</v>
      </c>
      <c r="O1145" t="s">
        <v>63</v>
      </c>
      <c r="P1145" s="2">
        <v>0.52361111111111114</v>
      </c>
      <c r="Q1145">
        <f>0.0005739228*3600</f>
        <v>2.06612208</v>
      </c>
      <c r="R1145">
        <f>0.0023841991*3600</f>
        <v>8.5831167600000011</v>
      </c>
    </row>
    <row r="1146" spans="1:18" x14ac:dyDescent="0.3">
      <c r="A1146" s="4" t="s">
        <v>47</v>
      </c>
      <c r="B1146" s="13" t="s">
        <v>356</v>
      </c>
      <c r="C1146">
        <v>298.06723499999998</v>
      </c>
      <c r="D1146">
        <v>100.739518</v>
      </c>
      <c r="E1146">
        <v>1.4856</v>
      </c>
      <c r="F1146">
        <v>1.4804999999999999</v>
      </c>
      <c r="G1146">
        <v>0.23899999999999999</v>
      </c>
      <c r="H1146">
        <v>0</v>
      </c>
      <c r="I1146">
        <f t="shared" si="0"/>
        <v>1</v>
      </c>
      <c r="J1146" t="s">
        <v>0</v>
      </c>
      <c r="K1146" t="s">
        <v>61</v>
      </c>
      <c r="L1146">
        <v>0</v>
      </c>
      <c r="M1146" t="s">
        <v>52</v>
      </c>
      <c r="N1146">
        <v>1</v>
      </c>
      <c r="O1146" t="s">
        <v>63</v>
      </c>
      <c r="P1146" s="2">
        <v>0.52361111111111114</v>
      </c>
      <c r="Q1146">
        <f>0.0005746064*3600</f>
        <v>2.06858304</v>
      </c>
      <c r="R1146">
        <f>0.0023566259*3600</f>
        <v>8.4838532400000002</v>
      </c>
    </row>
    <row r="1147" spans="1:18" x14ac:dyDescent="0.3">
      <c r="A1147" s="4" t="s">
        <v>47</v>
      </c>
      <c r="B1147" s="13" t="s">
        <v>356</v>
      </c>
      <c r="C1147">
        <v>298.06482599999998</v>
      </c>
      <c r="D1147">
        <v>100.74071000000001</v>
      </c>
      <c r="E1147">
        <v>1.4856</v>
      </c>
      <c r="F1147">
        <v>1.4804999999999999</v>
      </c>
      <c r="G1147">
        <v>0.23899999999999999</v>
      </c>
      <c r="H1147">
        <v>0</v>
      </c>
      <c r="I1147">
        <f t="shared" si="0"/>
        <v>1</v>
      </c>
      <c r="J1147" t="s">
        <v>0</v>
      </c>
      <c r="K1147" t="s">
        <v>61</v>
      </c>
      <c r="L1147">
        <v>3.4000000000000002E-2</v>
      </c>
      <c r="M1147" t="s">
        <v>52</v>
      </c>
      <c r="N1147">
        <v>1</v>
      </c>
      <c r="O1147" t="s">
        <v>53</v>
      </c>
      <c r="P1147" s="2">
        <v>0.52430555555555558</v>
      </c>
      <c r="Q1147">
        <f>0.0004991394*3600</f>
        <v>1.7969018400000001</v>
      </c>
      <c r="R1147">
        <f>0.0029617691*3600</f>
        <v>10.66236876</v>
      </c>
    </row>
    <row r="1148" spans="1:18" x14ac:dyDescent="0.3">
      <c r="A1148" s="4" t="s">
        <v>47</v>
      </c>
      <c r="B1148" s="13" t="s">
        <v>356</v>
      </c>
      <c r="C1148">
        <v>298.06497999999999</v>
      </c>
      <c r="D1148">
        <v>100.740855</v>
      </c>
      <c r="E1148">
        <v>1.4856</v>
      </c>
      <c r="F1148">
        <v>1.4804999999999999</v>
      </c>
      <c r="G1148">
        <v>0.23899999999999999</v>
      </c>
      <c r="H1148">
        <v>0</v>
      </c>
      <c r="I1148">
        <f t="shared" si="0"/>
        <v>1</v>
      </c>
      <c r="J1148" t="s">
        <v>0</v>
      </c>
      <c r="K1148" t="s">
        <v>61</v>
      </c>
      <c r="L1148">
        <v>0</v>
      </c>
      <c r="M1148" t="s">
        <v>52</v>
      </c>
      <c r="N1148">
        <v>1</v>
      </c>
      <c r="O1148" t="s">
        <v>63</v>
      </c>
      <c r="P1148" s="2">
        <v>0.52430555555555558</v>
      </c>
      <c r="Q1148">
        <f>0.0004780975*3600</f>
        <v>1.7211509999999999</v>
      </c>
      <c r="R1148">
        <f>0.002423126*3600</f>
        <v>8.7232535999999996</v>
      </c>
    </row>
    <row r="1149" spans="1:18" x14ac:dyDescent="0.3">
      <c r="A1149" s="4" t="s">
        <v>47</v>
      </c>
      <c r="B1149" s="13" t="s">
        <v>356</v>
      </c>
      <c r="C1149">
        <v>298.06525199999999</v>
      </c>
      <c r="D1149">
        <v>100.7411</v>
      </c>
      <c r="E1149">
        <v>1.4856</v>
      </c>
      <c r="F1149">
        <v>1.4804999999999999</v>
      </c>
      <c r="G1149">
        <v>0.23899999999999999</v>
      </c>
      <c r="H1149">
        <v>0</v>
      </c>
      <c r="I1149">
        <f t="shared" si="0"/>
        <v>1</v>
      </c>
      <c r="J1149" t="s">
        <v>0</v>
      </c>
      <c r="K1149" t="s">
        <v>61</v>
      </c>
      <c r="L1149">
        <v>0</v>
      </c>
      <c r="M1149" t="s">
        <v>52</v>
      </c>
      <c r="N1149">
        <v>1</v>
      </c>
      <c r="O1149" t="s">
        <v>63</v>
      </c>
      <c r="P1149" s="2">
        <v>0.52430555555555558</v>
      </c>
      <c r="Q1149">
        <f>0.000509257*3600</f>
        <v>1.8333252000000002</v>
      </c>
      <c r="R1149">
        <f>0.0024784682*3600</f>
        <v>8.9224855199999986</v>
      </c>
    </row>
    <row r="1150" spans="1:18" x14ac:dyDescent="0.3">
      <c r="A1150" s="4" t="s">
        <v>47</v>
      </c>
      <c r="B1150" s="13" t="s">
        <v>356</v>
      </c>
      <c r="C1150">
        <v>298.064075</v>
      </c>
      <c r="D1150">
        <v>100.74065400000001</v>
      </c>
      <c r="E1150">
        <v>1.4856</v>
      </c>
      <c r="F1150">
        <v>1.4804999999999999</v>
      </c>
      <c r="G1150">
        <v>0.23899999999999999</v>
      </c>
      <c r="H1150">
        <v>0</v>
      </c>
      <c r="I1150">
        <f t="shared" si="0"/>
        <v>1</v>
      </c>
      <c r="J1150" t="s">
        <v>0</v>
      </c>
      <c r="K1150" t="s">
        <v>61</v>
      </c>
      <c r="L1150">
        <v>0</v>
      </c>
      <c r="M1150" t="s">
        <v>52</v>
      </c>
      <c r="N1150">
        <v>1</v>
      </c>
      <c r="O1150" t="s">
        <v>63</v>
      </c>
      <c r="P1150" s="2">
        <v>0.52430555555555558</v>
      </c>
      <c r="Q1150">
        <f>0.0005114889*3600</f>
        <v>1.8413600400000001</v>
      </c>
      <c r="R1150">
        <f>0.0024390776*3600</f>
        <v>8.7806793600000006</v>
      </c>
    </row>
    <row r="1151" spans="1:18" x14ac:dyDescent="0.3">
      <c r="A1151" s="4" t="s">
        <v>47</v>
      </c>
      <c r="B1151" s="13" t="s">
        <v>356</v>
      </c>
      <c r="C1151">
        <v>298.06546900000001</v>
      </c>
      <c r="D1151">
        <v>101.249696</v>
      </c>
      <c r="E1151">
        <v>1.4815</v>
      </c>
      <c r="F1151">
        <v>1.4810000000000001</v>
      </c>
      <c r="G1151">
        <v>0.23899999999999999</v>
      </c>
      <c r="H1151">
        <v>0</v>
      </c>
      <c r="I1151">
        <f t="shared" si="0"/>
        <v>1</v>
      </c>
      <c r="J1151" t="s">
        <v>0</v>
      </c>
      <c r="K1151" t="s">
        <v>61</v>
      </c>
      <c r="L1151">
        <v>0</v>
      </c>
      <c r="M1151" t="s">
        <v>52</v>
      </c>
      <c r="N1151">
        <v>1</v>
      </c>
      <c r="O1151" t="s">
        <v>63</v>
      </c>
      <c r="P1151" s="2">
        <v>0.52430555555555558</v>
      </c>
      <c r="Q1151">
        <f>0.0005852958*3600</f>
        <v>2.1070648799999998</v>
      </c>
      <c r="R1151">
        <f>0.002311981*3600</f>
        <v>8.3231316</v>
      </c>
    </row>
    <row r="1152" spans="1:18" x14ac:dyDescent="0.3">
      <c r="A1152" s="4" t="s">
        <v>47</v>
      </c>
      <c r="B1152" s="13" t="s">
        <v>356</v>
      </c>
      <c r="C1152">
        <v>298.06720999999999</v>
      </c>
      <c r="D1152">
        <v>101.293814</v>
      </c>
      <c r="E1152">
        <v>1.4816</v>
      </c>
      <c r="F1152">
        <v>1.4810000000000001</v>
      </c>
      <c r="G1152">
        <v>0.23899999999999999</v>
      </c>
      <c r="H1152">
        <v>0</v>
      </c>
      <c r="I1152">
        <f t="shared" si="0"/>
        <v>1</v>
      </c>
      <c r="J1152" t="s">
        <v>0</v>
      </c>
      <c r="K1152" t="s">
        <v>61</v>
      </c>
      <c r="L1152">
        <v>0</v>
      </c>
      <c r="M1152" t="s">
        <v>52</v>
      </c>
      <c r="N1152">
        <v>1</v>
      </c>
      <c r="O1152" t="s">
        <v>63</v>
      </c>
      <c r="P1152" s="2">
        <v>0.52430555555555558</v>
      </c>
      <c r="Q1152">
        <f>0.0004427695*3600</f>
        <v>1.5939702</v>
      </c>
      <c r="R1152">
        <f>0.0021789412*3600</f>
        <v>7.8441883199999998</v>
      </c>
    </row>
    <row r="1153" spans="1:19" x14ac:dyDescent="0.3">
      <c r="A1153" s="4" t="s">
        <v>47</v>
      </c>
      <c r="B1153" s="13" t="s">
        <v>356</v>
      </c>
      <c r="C1153">
        <v>298.05602199999998</v>
      </c>
      <c r="D1153">
        <v>101.114859</v>
      </c>
      <c r="E1153">
        <v>1.4816</v>
      </c>
      <c r="F1153">
        <v>1.4810000000000001</v>
      </c>
      <c r="G1153">
        <v>0.23899999999999999</v>
      </c>
      <c r="H1153">
        <v>0</v>
      </c>
      <c r="I1153">
        <f t="shared" si="0"/>
        <v>1</v>
      </c>
      <c r="J1153" t="s">
        <v>0</v>
      </c>
      <c r="K1153" t="s">
        <v>61</v>
      </c>
      <c r="L1153">
        <v>0</v>
      </c>
      <c r="M1153" t="s">
        <v>52</v>
      </c>
      <c r="N1153">
        <v>1</v>
      </c>
      <c r="O1153" t="s">
        <v>63</v>
      </c>
      <c r="P1153" s="2">
        <v>0.52430555555555558</v>
      </c>
      <c r="Q1153">
        <f>0.0005466646*3600</f>
        <v>1.9679925599999999</v>
      </c>
      <c r="R1153">
        <f>0.002193806*3600</f>
        <v>7.8977015999999995</v>
      </c>
    </row>
    <row r="1154" spans="1:19" x14ac:dyDescent="0.3">
      <c r="A1154" s="4" t="s">
        <v>47</v>
      </c>
      <c r="B1154" s="13" t="s">
        <v>356</v>
      </c>
      <c r="C1154">
        <v>298.05927000000003</v>
      </c>
      <c r="D1154">
        <v>101.11456800000001</v>
      </c>
      <c r="E1154">
        <v>1.4816</v>
      </c>
      <c r="F1154">
        <v>1.4810000000000001</v>
      </c>
      <c r="G1154">
        <v>0.23899999999999999</v>
      </c>
      <c r="H1154">
        <v>0</v>
      </c>
      <c r="I1154">
        <f t="shared" si="0"/>
        <v>1</v>
      </c>
      <c r="J1154" t="s">
        <v>0</v>
      </c>
      <c r="K1154" t="s">
        <v>61</v>
      </c>
      <c r="L1154">
        <v>3.4000000000000002E-2</v>
      </c>
      <c r="M1154" t="s">
        <v>52</v>
      </c>
      <c r="N1154">
        <v>1</v>
      </c>
      <c r="O1154" t="s">
        <v>53</v>
      </c>
      <c r="P1154" s="2">
        <v>0.52430555555555558</v>
      </c>
      <c r="Q1154">
        <f>0.0004402372*3600</f>
        <v>1.58485392</v>
      </c>
      <c r="R1154">
        <f>0.0027411236*3600</f>
        <v>9.8680449600000006</v>
      </c>
    </row>
    <row r="1155" spans="1:19" x14ac:dyDescent="0.3">
      <c r="A1155" s="4" t="s">
        <v>47</v>
      </c>
      <c r="B1155" s="13" t="s">
        <v>356</v>
      </c>
      <c r="C1155">
        <v>298.05944099999999</v>
      </c>
      <c r="D1155">
        <v>101.11449500000001</v>
      </c>
      <c r="E1155">
        <v>1.4816</v>
      </c>
      <c r="F1155">
        <v>1.4810000000000001</v>
      </c>
      <c r="G1155">
        <v>0.23899999999999999</v>
      </c>
      <c r="H1155">
        <v>0</v>
      </c>
      <c r="I1155">
        <f>IF(D1155&lt;200,1,2)</f>
        <v>1</v>
      </c>
      <c r="J1155" t="s">
        <v>0</v>
      </c>
      <c r="K1155" t="s">
        <v>61</v>
      </c>
      <c r="L1155">
        <v>0</v>
      </c>
      <c r="M1155" t="s">
        <v>52</v>
      </c>
      <c r="N1155">
        <v>1</v>
      </c>
      <c r="O1155" t="s">
        <v>63</v>
      </c>
      <c r="P1155" s="2">
        <v>0.52430555555555558</v>
      </c>
      <c r="Q1155">
        <f>0.0005113306*3600</f>
        <v>1.8407901600000001</v>
      </c>
      <c r="R1155">
        <f>0.002470572*3600</f>
        <v>8.8940591999999992</v>
      </c>
    </row>
    <row r="1156" spans="1:19" x14ac:dyDescent="0.3">
      <c r="A1156" s="4" t="s">
        <v>47</v>
      </c>
      <c r="B1156" s="13" t="s">
        <v>356</v>
      </c>
      <c r="C1156">
        <v>98.063063999999997</v>
      </c>
      <c r="D1156">
        <v>298.69309500000003</v>
      </c>
      <c r="E1156">
        <v>1.4815</v>
      </c>
      <c r="F1156">
        <v>1.4809000000000001</v>
      </c>
      <c r="G1156">
        <v>0.23899999999999999</v>
      </c>
      <c r="H1156">
        <v>0</v>
      </c>
      <c r="I1156">
        <f t="shared" si="0"/>
        <v>2</v>
      </c>
      <c r="J1156" t="s">
        <v>0</v>
      </c>
      <c r="K1156" t="s">
        <v>61</v>
      </c>
      <c r="L1156">
        <v>0</v>
      </c>
      <c r="M1156" t="s">
        <v>52</v>
      </c>
      <c r="N1156">
        <v>1</v>
      </c>
      <c r="O1156" t="s">
        <v>63</v>
      </c>
      <c r="P1156" s="2">
        <v>0.52500000000000002</v>
      </c>
      <c r="Q1156">
        <f>0.0005046966*3600</f>
        <v>1.8169077599999999</v>
      </c>
      <c r="R1156">
        <f>0.0022972158*3600</f>
        <v>8.2699768799999998</v>
      </c>
    </row>
    <row r="1157" spans="1:19" x14ac:dyDescent="0.3">
      <c r="A1157" s="4" t="s">
        <v>47</v>
      </c>
      <c r="B1157" s="13" t="s">
        <v>356</v>
      </c>
      <c r="C1157">
        <v>98.068814000000003</v>
      </c>
      <c r="D1157">
        <v>299.23566499999998</v>
      </c>
      <c r="E1157">
        <v>1.4815</v>
      </c>
      <c r="F1157">
        <v>1.4809000000000001</v>
      </c>
      <c r="G1157">
        <v>0.23899999999999999</v>
      </c>
      <c r="H1157">
        <v>0</v>
      </c>
      <c r="I1157">
        <f t="shared" si="0"/>
        <v>2</v>
      </c>
      <c r="J1157" t="s">
        <v>0</v>
      </c>
      <c r="K1157" t="s">
        <v>61</v>
      </c>
      <c r="L1157">
        <v>0</v>
      </c>
      <c r="M1157" t="s">
        <v>52</v>
      </c>
      <c r="N1157">
        <v>1</v>
      </c>
      <c r="O1157" t="s">
        <v>63</v>
      </c>
      <c r="P1157" s="2">
        <v>0.52500000000000002</v>
      </c>
      <c r="Q1157">
        <f>0.0004752303*3600</f>
        <v>1.7108290799999999</v>
      </c>
      <c r="R1157">
        <f>0.0022909484*3600</f>
        <v>8.2474142399999995</v>
      </c>
    </row>
    <row r="1158" spans="1:19" x14ac:dyDescent="0.3">
      <c r="A1158" s="4" t="s">
        <v>47</v>
      </c>
      <c r="B1158" s="13" t="s">
        <v>356</v>
      </c>
      <c r="C1158">
        <v>98.068983000000003</v>
      </c>
      <c r="D1158">
        <v>299.23558200000002</v>
      </c>
      <c r="E1158">
        <v>1.4815</v>
      </c>
      <c r="F1158">
        <v>1.4809000000000001</v>
      </c>
      <c r="G1158">
        <v>0.23899999999999999</v>
      </c>
      <c r="H1158">
        <v>0</v>
      </c>
      <c r="I1158">
        <f t="shared" si="0"/>
        <v>2</v>
      </c>
      <c r="J1158" t="s">
        <v>0</v>
      </c>
      <c r="K1158" t="s">
        <v>61</v>
      </c>
      <c r="L1158">
        <v>0</v>
      </c>
      <c r="M1158" t="s">
        <v>52</v>
      </c>
      <c r="N1158">
        <v>1</v>
      </c>
      <c r="O1158" t="s">
        <v>63</v>
      </c>
      <c r="P1158" s="2">
        <v>0.52500000000000002</v>
      </c>
      <c r="Q1158">
        <f>0.0005241844*3600</f>
        <v>1.8870638400000002</v>
      </c>
      <c r="R1158">
        <f>0.0021088753*3600</f>
        <v>7.5919510800000003</v>
      </c>
    </row>
    <row r="1159" spans="1:19" x14ac:dyDescent="0.3">
      <c r="A1159" s="4" t="s">
        <v>47</v>
      </c>
      <c r="B1159" s="13" t="s">
        <v>356</v>
      </c>
      <c r="C1159">
        <v>98.065855999999997</v>
      </c>
      <c r="D1159">
        <v>299.23582599999997</v>
      </c>
      <c r="E1159">
        <v>1.4815</v>
      </c>
      <c r="F1159">
        <v>1.4809000000000001</v>
      </c>
      <c r="G1159">
        <v>0.23899999999999999</v>
      </c>
      <c r="H1159">
        <v>0</v>
      </c>
      <c r="I1159">
        <f t="shared" si="0"/>
        <v>2</v>
      </c>
      <c r="J1159" t="s">
        <v>0</v>
      </c>
      <c r="K1159" t="s">
        <v>61</v>
      </c>
      <c r="L1159">
        <v>0</v>
      </c>
      <c r="M1159" t="s">
        <v>52</v>
      </c>
      <c r="N1159">
        <v>1</v>
      </c>
      <c r="O1159" t="s">
        <v>63</v>
      </c>
      <c r="P1159" s="2">
        <v>0.52500000000000002</v>
      </c>
      <c r="Q1159">
        <f>0.0005249137*3600</f>
        <v>1.88968932</v>
      </c>
      <c r="R1159">
        <f>0.0024639297*3600</f>
        <v>8.8701469199999998</v>
      </c>
    </row>
    <row r="1160" spans="1:19" x14ac:dyDescent="0.3">
      <c r="A1160" s="4" t="s">
        <v>47</v>
      </c>
      <c r="B1160" s="13" t="s">
        <v>356</v>
      </c>
      <c r="C1160">
        <v>98.070428000000007</v>
      </c>
      <c r="D1160">
        <v>299.23580500000003</v>
      </c>
      <c r="E1160">
        <v>1.4815</v>
      </c>
      <c r="F1160">
        <v>1.4809000000000001</v>
      </c>
      <c r="G1160">
        <v>0.23899999999999999</v>
      </c>
      <c r="H1160">
        <v>0</v>
      </c>
      <c r="I1160">
        <f t="shared" si="0"/>
        <v>2</v>
      </c>
      <c r="J1160" t="s">
        <v>0</v>
      </c>
      <c r="K1160" t="s">
        <v>50</v>
      </c>
      <c r="L1160" t="s">
        <v>51</v>
      </c>
      <c r="M1160">
        <v>0</v>
      </c>
      <c r="N1160" t="s">
        <v>57</v>
      </c>
      <c r="O1160">
        <v>1</v>
      </c>
      <c r="P1160" t="s">
        <v>53</v>
      </c>
      <c r="Q1160" s="2">
        <v>0.52569444444444446</v>
      </c>
      <c r="R1160">
        <f>-0.0002506114*3600</f>
        <v>-0.90220104000000001</v>
      </c>
      <c r="S1160">
        <f>0.0001752129*3600</f>
        <v>0.63076644000000004</v>
      </c>
    </row>
    <row r="1161" spans="1:19" x14ac:dyDescent="0.3">
      <c r="A1161" s="4" t="s">
        <v>47</v>
      </c>
      <c r="B1161" s="13" t="s">
        <v>356</v>
      </c>
      <c r="C1161">
        <v>98.072855000000004</v>
      </c>
      <c r="D1161">
        <v>299.23589600000003</v>
      </c>
      <c r="E1161">
        <v>1.4815</v>
      </c>
      <c r="F1161">
        <v>1.4809000000000001</v>
      </c>
      <c r="G1161">
        <v>0.23899999999999999</v>
      </c>
      <c r="H1161">
        <v>0</v>
      </c>
      <c r="I1161">
        <f t="shared" si="0"/>
        <v>2</v>
      </c>
      <c r="J1161" t="s">
        <v>0</v>
      </c>
      <c r="K1161" t="s">
        <v>50</v>
      </c>
      <c r="L1161" t="s">
        <v>51</v>
      </c>
      <c r="M1161">
        <v>0</v>
      </c>
      <c r="N1161" t="s">
        <v>57</v>
      </c>
      <c r="O1161">
        <v>1</v>
      </c>
      <c r="P1161" t="s">
        <v>53</v>
      </c>
      <c r="Q1161" s="2">
        <v>0.52569444444444446</v>
      </c>
      <c r="R1161">
        <f>-0.0002321236*3600</f>
        <v>-0.83564495999999999</v>
      </c>
      <c r="S1161">
        <f>0.0001061794*3600</f>
        <v>0.38224584</v>
      </c>
    </row>
    <row r="1162" spans="1:19" x14ac:dyDescent="0.3">
      <c r="A1162" s="4" t="s">
        <v>47</v>
      </c>
      <c r="B1162" s="13" t="s">
        <v>356</v>
      </c>
      <c r="C1162">
        <v>98.066822000000002</v>
      </c>
      <c r="D1162">
        <v>299.23579699999999</v>
      </c>
      <c r="E1162">
        <v>1.4815</v>
      </c>
      <c r="F1162">
        <v>1.4809000000000001</v>
      </c>
      <c r="G1162">
        <v>0.23899999999999999</v>
      </c>
      <c r="H1162">
        <v>0</v>
      </c>
      <c r="I1162">
        <f t="shared" si="0"/>
        <v>2</v>
      </c>
      <c r="J1162" t="s">
        <v>0</v>
      </c>
      <c r="K1162" t="s">
        <v>50</v>
      </c>
      <c r="L1162" t="s">
        <v>51</v>
      </c>
      <c r="M1162">
        <v>0</v>
      </c>
      <c r="N1162" t="s">
        <v>57</v>
      </c>
      <c r="O1162">
        <v>1</v>
      </c>
      <c r="P1162" t="s">
        <v>53</v>
      </c>
      <c r="Q1162" s="2">
        <v>0.52638888888888891</v>
      </c>
      <c r="R1162">
        <f>-0.0001711137*3600</f>
        <v>-0.61600931999999997</v>
      </c>
      <c r="S1162">
        <f>0.0000832101*3600</f>
        <v>0.29955636000000002</v>
      </c>
    </row>
    <row r="1163" spans="1:19" x14ac:dyDescent="0.3">
      <c r="A1163" s="4" t="s">
        <v>47</v>
      </c>
      <c r="B1163" s="13" t="s">
        <v>356</v>
      </c>
      <c r="C1163">
        <v>98.065483999999998</v>
      </c>
      <c r="D1163">
        <v>299.23581200000001</v>
      </c>
      <c r="E1163">
        <v>1.4815</v>
      </c>
      <c r="F1163">
        <v>1.4809000000000001</v>
      </c>
      <c r="G1163">
        <v>0.23899999999999999</v>
      </c>
      <c r="H1163">
        <v>0</v>
      </c>
      <c r="I1163">
        <f t="shared" si="0"/>
        <v>2</v>
      </c>
      <c r="J1163" t="s">
        <v>0</v>
      </c>
      <c r="K1163" t="s">
        <v>50</v>
      </c>
      <c r="L1163" t="s">
        <v>51</v>
      </c>
      <c r="M1163">
        <v>0</v>
      </c>
      <c r="N1163" t="s">
        <v>57</v>
      </c>
      <c r="O1163">
        <v>1</v>
      </c>
      <c r="P1163" t="s">
        <v>53</v>
      </c>
      <c r="Q1163" s="2">
        <v>0.52638888888888891</v>
      </c>
      <c r="R1163">
        <f>-0.0000210818*3600</f>
        <v>-7.589448E-2</v>
      </c>
      <c r="S1163">
        <f>0.0002375524*3600</f>
        <v>0.85518864000000006</v>
      </c>
    </row>
    <row r="1164" spans="1:19" x14ac:dyDescent="0.3">
      <c r="A1164" s="4" t="s">
        <v>47</v>
      </c>
      <c r="B1164" s="13" t="s">
        <v>356</v>
      </c>
      <c r="C1164">
        <v>98.062323000000006</v>
      </c>
      <c r="D1164">
        <v>299.23589600000003</v>
      </c>
      <c r="E1164">
        <v>1.4815</v>
      </c>
      <c r="F1164">
        <v>1.4809000000000001</v>
      </c>
      <c r="G1164">
        <v>0.23899999999999999</v>
      </c>
      <c r="H1164">
        <v>0</v>
      </c>
      <c r="I1164">
        <f t="shared" si="0"/>
        <v>2</v>
      </c>
      <c r="J1164" t="s">
        <v>0</v>
      </c>
      <c r="K1164" t="s">
        <v>50</v>
      </c>
      <c r="L1164" t="s">
        <v>51</v>
      </c>
      <c r="M1164">
        <v>0</v>
      </c>
      <c r="N1164" t="s">
        <v>57</v>
      </c>
      <c r="O1164">
        <v>1</v>
      </c>
      <c r="P1164" t="s">
        <v>53</v>
      </c>
      <c r="Q1164" s="2">
        <v>0.52777777777777779</v>
      </c>
      <c r="R1164">
        <f>-0.0000022826*3600</f>
        <v>-8.2173599999999999E-3</v>
      </c>
      <c r="S1164">
        <f>0.0002681258*3600</f>
        <v>0.96525287999999987</v>
      </c>
    </row>
    <row r="1165" spans="1:19" x14ac:dyDescent="0.3">
      <c r="A1165" s="4" t="s">
        <v>47</v>
      </c>
      <c r="B1165" s="13" t="s">
        <v>356</v>
      </c>
      <c r="C1165">
        <v>98.067587000000003</v>
      </c>
      <c r="D1165">
        <v>299.23577499999999</v>
      </c>
      <c r="E1165">
        <v>1.4815</v>
      </c>
      <c r="F1165">
        <v>1.4809000000000001</v>
      </c>
      <c r="G1165">
        <v>0.23899999999999999</v>
      </c>
      <c r="H1165">
        <v>0</v>
      </c>
      <c r="I1165">
        <f t="shared" si="0"/>
        <v>2</v>
      </c>
      <c r="J1165" t="s">
        <v>0</v>
      </c>
      <c r="K1165" t="s">
        <v>50</v>
      </c>
      <c r="L1165" t="s">
        <v>51</v>
      </c>
      <c r="M1165">
        <v>0</v>
      </c>
      <c r="N1165" t="s">
        <v>57</v>
      </c>
      <c r="O1165">
        <v>1</v>
      </c>
      <c r="P1165" t="s">
        <v>53</v>
      </c>
      <c r="Q1165" s="2">
        <v>0.52777777777777779</v>
      </c>
      <c r="R1165">
        <f>0.0000024619*3600</f>
        <v>8.8628400000000003E-3</v>
      </c>
      <c r="S1165">
        <f>0.0002468604*3600</f>
        <v>0.88869743999999995</v>
      </c>
    </row>
    <row r="1166" spans="1:19" x14ac:dyDescent="0.3">
      <c r="A1166" s="4" t="s">
        <v>47</v>
      </c>
      <c r="B1166" s="13" t="s">
        <v>356</v>
      </c>
      <c r="C1166">
        <v>98.06832</v>
      </c>
      <c r="D1166">
        <v>298.71898599999997</v>
      </c>
      <c r="E1166">
        <v>1.4812000000000001</v>
      </c>
      <c r="F1166">
        <v>1.4806999999999999</v>
      </c>
      <c r="G1166">
        <v>0.23899999999999999</v>
      </c>
      <c r="H1166">
        <v>0</v>
      </c>
      <c r="I1166">
        <f>IF(D1166&lt;200,1,2)</f>
        <v>2</v>
      </c>
      <c r="J1166" t="s">
        <v>0</v>
      </c>
      <c r="K1166" t="s">
        <v>61</v>
      </c>
      <c r="L1166">
        <v>3.4000000000000002E-2</v>
      </c>
      <c r="M1166" t="s">
        <v>52</v>
      </c>
      <c r="N1166">
        <v>1</v>
      </c>
      <c r="O1166" t="s">
        <v>53</v>
      </c>
      <c r="P1166" s="2">
        <v>0.52916666666666667</v>
      </c>
      <c r="Q1166">
        <f>-0.0010803113*3600</f>
        <v>-3.8891206799999996</v>
      </c>
      <c r="R1166">
        <f>-0.0030897792*3600</f>
        <v>-11.12320512</v>
      </c>
    </row>
    <row r="1167" spans="1:19" x14ac:dyDescent="0.3">
      <c r="A1167" s="4" t="s">
        <v>47</v>
      </c>
      <c r="B1167" s="13" t="s">
        <v>356</v>
      </c>
      <c r="C1167">
        <v>98.066059999999993</v>
      </c>
      <c r="D1167">
        <v>299.13293800000002</v>
      </c>
      <c r="E1167">
        <v>1.4812000000000001</v>
      </c>
      <c r="F1167">
        <v>1.4806999999999999</v>
      </c>
      <c r="G1167">
        <v>0.23899999999999999</v>
      </c>
      <c r="H1167">
        <v>0</v>
      </c>
      <c r="I1167">
        <f t="shared" si="0"/>
        <v>2</v>
      </c>
      <c r="J1167" t="s">
        <v>0</v>
      </c>
      <c r="K1167" t="s">
        <v>61</v>
      </c>
      <c r="L1167">
        <v>0</v>
      </c>
      <c r="M1167" t="s">
        <v>52</v>
      </c>
      <c r="N1167">
        <v>1</v>
      </c>
      <c r="O1167" t="s">
        <v>63</v>
      </c>
      <c r="P1167" s="2">
        <v>0.52916666666666667</v>
      </c>
      <c r="Q1167">
        <f>-0.0010817657*3600</f>
        <v>-3.8943565199999997</v>
      </c>
      <c r="R1167">
        <f>-0.0029313641*3600</f>
        <v>-10.55291076</v>
      </c>
    </row>
    <row r="1168" spans="1:19" x14ac:dyDescent="0.3">
      <c r="A1168" s="4" t="s">
        <v>47</v>
      </c>
      <c r="B1168" s="13" t="s">
        <v>356</v>
      </c>
      <c r="C1168">
        <v>98.065297999999999</v>
      </c>
      <c r="D1168">
        <v>299.13311700000003</v>
      </c>
      <c r="E1168">
        <v>1.4812000000000001</v>
      </c>
      <c r="F1168">
        <v>1.4806999999999999</v>
      </c>
      <c r="G1168">
        <v>0.23899999999999999</v>
      </c>
      <c r="H1168">
        <v>0</v>
      </c>
      <c r="I1168">
        <f t="shared" si="0"/>
        <v>2</v>
      </c>
      <c r="J1168" t="s">
        <v>0</v>
      </c>
      <c r="K1168" t="s">
        <v>61</v>
      </c>
      <c r="L1168">
        <v>0</v>
      </c>
      <c r="M1168" t="s">
        <v>52</v>
      </c>
      <c r="N1168">
        <v>1</v>
      </c>
      <c r="O1168" t="s">
        <v>63</v>
      </c>
      <c r="P1168" s="2">
        <v>0.52916666666666667</v>
      </c>
      <c r="Q1168">
        <f>-0.0010595566*3600</f>
        <v>-3.8144037599999998</v>
      </c>
      <c r="R1168">
        <f>-0.0029530257*3600</f>
        <v>-10.63089252</v>
      </c>
    </row>
    <row r="1169" spans="1:18" x14ac:dyDescent="0.3">
      <c r="A1169" s="4" t="s">
        <v>47</v>
      </c>
      <c r="B1169" s="13" t="s">
        <v>356</v>
      </c>
      <c r="C1169">
        <v>98.066882000000007</v>
      </c>
      <c r="D1169">
        <v>299.13314800000001</v>
      </c>
      <c r="E1169">
        <v>1.4812000000000001</v>
      </c>
      <c r="F1169">
        <v>1.4806999999999999</v>
      </c>
      <c r="G1169">
        <v>0.23899999999999999</v>
      </c>
      <c r="H1169">
        <v>0</v>
      </c>
      <c r="I1169">
        <f t="shared" si="0"/>
        <v>2</v>
      </c>
      <c r="J1169" t="s">
        <v>0</v>
      </c>
      <c r="K1169" t="s">
        <v>61</v>
      </c>
      <c r="L1169">
        <v>0</v>
      </c>
      <c r="M1169" t="s">
        <v>52</v>
      </c>
      <c r="N1169">
        <v>1</v>
      </c>
      <c r="O1169" t="s">
        <v>63</v>
      </c>
      <c r="P1169" s="2">
        <v>0.52916666666666667</v>
      </c>
      <c r="Q1169">
        <f>-0.0010358336*3600</f>
        <v>-3.7290009600000005</v>
      </c>
      <c r="R1169">
        <f>-0.002891752*3600</f>
        <v>-10.4103072</v>
      </c>
    </row>
    <row r="1170" spans="1:18" x14ac:dyDescent="0.3">
      <c r="A1170" s="4" t="s">
        <v>47</v>
      </c>
      <c r="B1170" s="13" t="s">
        <v>356</v>
      </c>
      <c r="C1170">
        <v>98.067102000000006</v>
      </c>
      <c r="D1170">
        <v>299.133126</v>
      </c>
      <c r="E1170">
        <v>1.4812000000000001</v>
      </c>
      <c r="F1170">
        <v>1.4806999999999999</v>
      </c>
      <c r="G1170">
        <v>0.23899999999999999</v>
      </c>
      <c r="H1170">
        <v>0</v>
      </c>
      <c r="I1170">
        <f t="shared" si="0"/>
        <v>2</v>
      </c>
      <c r="J1170" t="s">
        <v>0</v>
      </c>
      <c r="K1170" t="s">
        <v>61</v>
      </c>
      <c r="L1170">
        <v>0</v>
      </c>
      <c r="M1170" t="s">
        <v>52</v>
      </c>
      <c r="N1170">
        <v>1</v>
      </c>
      <c r="O1170" t="s">
        <v>63</v>
      </c>
      <c r="P1170" s="2">
        <v>0.52916666666666667</v>
      </c>
      <c r="Q1170">
        <f>-0.00094097*3600</f>
        <v>-3.3874919999999999</v>
      </c>
      <c r="R1170">
        <f>-0.0029515951*3600</f>
        <v>-10.62574236</v>
      </c>
    </row>
    <row r="1171" spans="1:18" x14ac:dyDescent="0.3">
      <c r="A1171" s="4" t="s">
        <v>47</v>
      </c>
      <c r="B1171" s="13" t="s">
        <v>356</v>
      </c>
      <c r="C1171">
        <v>98.066523000000004</v>
      </c>
      <c r="D1171">
        <v>299.13304399999998</v>
      </c>
      <c r="E1171">
        <v>1.4812000000000001</v>
      </c>
      <c r="F1171">
        <v>1.4806999999999999</v>
      </c>
      <c r="G1171">
        <v>0.23899999999999999</v>
      </c>
      <c r="H1171">
        <v>0</v>
      </c>
      <c r="I1171">
        <f t="shared" si="0"/>
        <v>2</v>
      </c>
      <c r="J1171" t="s">
        <v>0</v>
      </c>
      <c r="K1171" t="s">
        <v>61</v>
      </c>
      <c r="L1171">
        <v>0</v>
      </c>
      <c r="M1171" t="s">
        <v>52</v>
      </c>
      <c r="N1171">
        <v>1</v>
      </c>
      <c r="O1171" t="s">
        <v>63</v>
      </c>
      <c r="P1171" s="2">
        <v>0.52916666666666667</v>
      </c>
      <c r="Q1171">
        <f>-0.0009924712*3600</f>
        <v>-3.5728963200000003</v>
      </c>
      <c r="R1171">
        <f>-0.0028822244*3600</f>
        <v>-10.376007840000002</v>
      </c>
    </row>
    <row r="1172" spans="1:18" x14ac:dyDescent="0.3">
      <c r="A1172" s="4" t="s">
        <v>47</v>
      </c>
      <c r="B1172" s="13" t="s">
        <v>356</v>
      </c>
      <c r="C1172">
        <v>98.065385000000006</v>
      </c>
      <c r="D1172">
        <v>299.13311900000002</v>
      </c>
      <c r="E1172">
        <v>1.4812000000000001</v>
      </c>
      <c r="F1172">
        <v>1.4806999999999999</v>
      </c>
      <c r="G1172">
        <v>0.23899999999999999</v>
      </c>
      <c r="H1172">
        <v>0</v>
      </c>
      <c r="I1172">
        <f t="shared" si="0"/>
        <v>2</v>
      </c>
      <c r="J1172" t="s">
        <v>0</v>
      </c>
      <c r="K1172" t="s">
        <v>61</v>
      </c>
      <c r="L1172">
        <v>0</v>
      </c>
      <c r="M1172" t="s">
        <v>52</v>
      </c>
      <c r="N1172">
        <v>1</v>
      </c>
      <c r="O1172" t="s">
        <v>63</v>
      </c>
      <c r="P1172" s="2">
        <v>0.52916666666666667</v>
      </c>
      <c r="Q1172">
        <f>-0.0010155738*3600</f>
        <v>-3.6560656799999998</v>
      </c>
      <c r="R1172">
        <f>-0.0029485238*3600</f>
        <v>-10.614685680000001</v>
      </c>
    </row>
    <row r="1173" spans="1:18" x14ac:dyDescent="0.3">
      <c r="A1173" s="4" t="s">
        <v>47</v>
      </c>
      <c r="B1173" s="13" t="s">
        <v>356</v>
      </c>
      <c r="C1173">
        <v>98.066485999999998</v>
      </c>
      <c r="D1173">
        <v>299.133082</v>
      </c>
      <c r="E1173">
        <v>1.4812000000000001</v>
      </c>
      <c r="F1173">
        <v>1.4806999999999999</v>
      </c>
      <c r="G1173">
        <v>0.23899999999999999</v>
      </c>
      <c r="H1173">
        <v>0</v>
      </c>
      <c r="I1173">
        <f t="shared" si="0"/>
        <v>2</v>
      </c>
      <c r="J1173" t="s">
        <v>0</v>
      </c>
      <c r="K1173" t="s">
        <v>61</v>
      </c>
      <c r="L1173">
        <v>0</v>
      </c>
      <c r="M1173" t="s">
        <v>52</v>
      </c>
      <c r="N1173">
        <v>1</v>
      </c>
      <c r="O1173" t="s">
        <v>63</v>
      </c>
      <c r="P1173" s="2">
        <v>0.52916666666666667</v>
      </c>
      <c r="Q1173">
        <f>-0.000989075*3600</f>
        <v>-3.5606700000000004</v>
      </c>
      <c r="R1173">
        <f>-0.0028550326*3600</f>
        <v>-10.278117360000001</v>
      </c>
    </row>
    <row r="1174" spans="1:18" x14ac:dyDescent="0.3">
      <c r="A1174" s="4" t="s">
        <v>47</v>
      </c>
      <c r="B1174" s="13" t="s">
        <v>356</v>
      </c>
      <c r="C1174">
        <v>98.067573999999993</v>
      </c>
      <c r="D1174">
        <v>299.13312100000002</v>
      </c>
      <c r="E1174">
        <v>1.4812000000000001</v>
      </c>
      <c r="F1174">
        <v>1.4806999999999999</v>
      </c>
      <c r="G1174">
        <v>0.23899999999999999</v>
      </c>
      <c r="H1174">
        <v>0</v>
      </c>
      <c r="I1174">
        <f t="shared" si="0"/>
        <v>2</v>
      </c>
      <c r="J1174" t="s">
        <v>0</v>
      </c>
      <c r="K1174" t="s">
        <v>61</v>
      </c>
      <c r="L1174">
        <v>0</v>
      </c>
      <c r="M1174" t="s">
        <v>52</v>
      </c>
      <c r="N1174">
        <v>1</v>
      </c>
      <c r="O1174" t="s">
        <v>63</v>
      </c>
      <c r="P1174" s="2">
        <v>0.52986111111111112</v>
      </c>
      <c r="Q1174">
        <f>-0.0010149253*3600</f>
        <v>-3.65373108</v>
      </c>
      <c r="R1174">
        <f>-0.0029594207*3600</f>
        <v>-10.653914520000001</v>
      </c>
    </row>
    <row r="1175" spans="1:18" x14ac:dyDescent="0.3">
      <c r="A1175" s="4" t="s">
        <v>47</v>
      </c>
      <c r="B1175" s="13" t="s">
        <v>356</v>
      </c>
      <c r="C1175">
        <v>98.067881</v>
      </c>
      <c r="D1175">
        <v>298.77329300000002</v>
      </c>
      <c r="E1175">
        <v>1.4817</v>
      </c>
      <c r="F1175">
        <v>1.4812000000000001</v>
      </c>
      <c r="G1175">
        <v>0.23899999999999999</v>
      </c>
      <c r="H1175">
        <v>0</v>
      </c>
      <c r="I1175">
        <f t="shared" si="0"/>
        <v>2</v>
      </c>
      <c r="J1175" t="s">
        <v>0</v>
      </c>
      <c r="K1175" t="s">
        <v>61</v>
      </c>
      <c r="L1175">
        <v>3.4000000000000002E-2</v>
      </c>
      <c r="M1175" t="s">
        <v>52</v>
      </c>
      <c r="N1175">
        <v>1</v>
      </c>
      <c r="O1175" t="s">
        <v>53</v>
      </c>
      <c r="P1175" s="2">
        <v>0.52986111111111112</v>
      </c>
      <c r="Q1175">
        <f>-0.0010726508*3600</f>
        <v>-3.8615428799999996</v>
      </c>
      <c r="R1175">
        <f>-0.0030231153*3600</f>
        <v>-10.883215079999999</v>
      </c>
    </row>
    <row r="1176" spans="1:18" x14ac:dyDescent="0.3">
      <c r="A1176" s="4" t="s">
        <v>47</v>
      </c>
      <c r="B1176" s="10" t="s">
        <v>359</v>
      </c>
      <c r="C1176">
        <v>298.56437399999999</v>
      </c>
      <c r="D1176">
        <v>100.300245</v>
      </c>
      <c r="E1176">
        <v>13.127800000000001</v>
      </c>
      <c r="F1176">
        <v>13.125400000000001</v>
      </c>
      <c r="G1176">
        <v>0.23899999999999999</v>
      </c>
      <c r="H1176">
        <v>0</v>
      </c>
      <c r="I1176">
        <f>IF(D1176&lt;200,1,2)</f>
        <v>1</v>
      </c>
      <c r="J1176" t="s">
        <v>0</v>
      </c>
      <c r="K1176" t="s">
        <v>61</v>
      </c>
      <c r="L1176">
        <v>0</v>
      </c>
      <c r="M1176" t="s">
        <v>52</v>
      </c>
      <c r="N1176">
        <v>1</v>
      </c>
      <c r="O1176" t="s">
        <v>63</v>
      </c>
      <c r="P1176" s="2">
        <v>0.52986111111111112</v>
      </c>
      <c r="Q1176">
        <f>-0.0009325096*3600</f>
        <v>-3.3570345599999998</v>
      </c>
      <c r="R1176">
        <f>-0.0027202502*3600</f>
        <v>-9.7929007200000004</v>
      </c>
    </row>
    <row r="1177" spans="1:18" x14ac:dyDescent="0.3">
      <c r="A1177" s="4" t="s">
        <v>47</v>
      </c>
      <c r="B1177" s="10" t="s">
        <v>359</v>
      </c>
      <c r="C1177">
        <v>298.56373500000001</v>
      </c>
      <c r="D1177">
        <v>100.283019</v>
      </c>
      <c r="E1177">
        <v>13.127800000000001</v>
      </c>
      <c r="F1177">
        <v>13.125400000000001</v>
      </c>
      <c r="G1177">
        <v>0.23899999999999999</v>
      </c>
      <c r="H1177">
        <v>0</v>
      </c>
      <c r="I1177">
        <f t="shared" si="0"/>
        <v>1</v>
      </c>
      <c r="J1177" t="s">
        <v>0</v>
      </c>
      <c r="K1177" t="s">
        <v>61</v>
      </c>
      <c r="L1177">
        <v>0</v>
      </c>
      <c r="M1177" t="s">
        <v>52</v>
      </c>
      <c r="N1177">
        <v>1</v>
      </c>
      <c r="O1177" t="s">
        <v>63</v>
      </c>
      <c r="P1177" s="2">
        <v>0.52986111111111112</v>
      </c>
      <c r="Q1177">
        <f>-0.0008933427*3600</f>
        <v>-3.21603372</v>
      </c>
      <c r="R1177">
        <f>-0.0027610995*3600</f>
        <v>-9.9399581999999995</v>
      </c>
    </row>
    <row r="1178" spans="1:18" x14ac:dyDescent="0.3">
      <c r="A1178" s="4" t="s">
        <v>47</v>
      </c>
      <c r="B1178" s="10" t="s">
        <v>359</v>
      </c>
      <c r="C1178">
        <v>298.56330400000002</v>
      </c>
      <c r="D1178">
        <v>100.282417</v>
      </c>
      <c r="E1178">
        <v>13.127800000000001</v>
      </c>
      <c r="F1178">
        <v>13.125400000000001</v>
      </c>
      <c r="G1178">
        <v>0.23899999999999999</v>
      </c>
      <c r="H1178">
        <v>0</v>
      </c>
      <c r="I1178">
        <f t="shared" si="0"/>
        <v>1</v>
      </c>
      <c r="J1178" t="s">
        <v>0</v>
      </c>
      <c r="K1178" t="s">
        <v>61</v>
      </c>
      <c r="L1178">
        <v>0</v>
      </c>
      <c r="M1178" t="s">
        <v>52</v>
      </c>
      <c r="N1178">
        <v>1</v>
      </c>
      <c r="O1178" t="s">
        <v>63</v>
      </c>
      <c r="P1178" s="2">
        <v>0.52986111111111112</v>
      </c>
      <c r="Q1178">
        <f>-0.0007821649*3600</f>
        <v>-2.8157936399999999</v>
      </c>
      <c r="R1178">
        <f>-0.0026935456*3600</f>
        <v>-9.6967641600000007</v>
      </c>
    </row>
    <row r="1179" spans="1:18" x14ac:dyDescent="0.3">
      <c r="A1179" s="4" t="s">
        <v>47</v>
      </c>
      <c r="B1179" s="10" t="s">
        <v>359</v>
      </c>
      <c r="C1179">
        <v>298.56431300000003</v>
      </c>
      <c r="D1179">
        <v>100.28231100000001</v>
      </c>
      <c r="E1179">
        <v>13.127800000000001</v>
      </c>
      <c r="F1179">
        <v>13.125400000000001</v>
      </c>
      <c r="G1179">
        <v>0.23899999999999999</v>
      </c>
      <c r="H1179">
        <v>0</v>
      </c>
      <c r="I1179">
        <f t="shared" si="0"/>
        <v>1</v>
      </c>
      <c r="J1179" t="s">
        <v>0</v>
      </c>
      <c r="K1179" t="s">
        <v>61</v>
      </c>
      <c r="L1179">
        <v>0</v>
      </c>
      <c r="M1179" t="s">
        <v>52</v>
      </c>
      <c r="N1179">
        <v>1</v>
      </c>
      <c r="O1179" t="s">
        <v>63</v>
      </c>
      <c r="P1179" s="2">
        <v>0.52986111111111112</v>
      </c>
      <c r="Q1179">
        <f>-0.0007618718*3600</f>
        <v>-2.7427384799999999</v>
      </c>
      <c r="R1179">
        <f>-0.0026663033*3600</f>
        <v>-9.5986918800000005</v>
      </c>
    </row>
    <row r="1180" spans="1:18" x14ac:dyDescent="0.3">
      <c r="A1180" s="4" t="s">
        <v>47</v>
      </c>
      <c r="B1180" s="10" t="s">
        <v>359</v>
      </c>
      <c r="C1180">
        <v>298.56665099999998</v>
      </c>
      <c r="D1180">
        <v>100.221541</v>
      </c>
      <c r="E1180">
        <v>13.127800000000001</v>
      </c>
      <c r="F1180">
        <v>13.125400000000001</v>
      </c>
      <c r="G1180">
        <v>0.23899999999999999</v>
      </c>
      <c r="H1180">
        <v>0</v>
      </c>
      <c r="I1180">
        <f t="shared" si="0"/>
        <v>1</v>
      </c>
      <c r="J1180" t="s">
        <v>0</v>
      </c>
      <c r="K1180" t="s">
        <v>61</v>
      </c>
      <c r="L1180">
        <v>0</v>
      </c>
      <c r="M1180" t="s">
        <v>52</v>
      </c>
      <c r="N1180">
        <v>1</v>
      </c>
      <c r="O1180" t="s">
        <v>63</v>
      </c>
      <c r="P1180" s="2">
        <v>0.52986111111111112</v>
      </c>
      <c r="Q1180">
        <f>-0.0007678542*3600</f>
        <v>-2.7642751199999998</v>
      </c>
      <c r="R1180">
        <f>-0.0027429869*3600</f>
        <v>-9.8747528400000011</v>
      </c>
    </row>
    <row r="1181" spans="1:18" x14ac:dyDescent="0.3">
      <c r="A1181" s="4" t="s">
        <v>47</v>
      </c>
      <c r="B1181" s="10" t="s">
        <v>359</v>
      </c>
      <c r="C1181">
        <v>298.56514399999998</v>
      </c>
      <c r="D1181">
        <v>100.221541</v>
      </c>
      <c r="E1181">
        <v>13.127800000000001</v>
      </c>
      <c r="F1181">
        <v>13.125400000000001</v>
      </c>
      <c r="G1181">
        <v>0.23899999999999999</v>
      </c>
      <c r="H1181">
        <v>0</v>
      </c>
      <c r="I1181">
        <f t="shared" si="0"/>
        <v>1</v>
      </c>
      <c r="J1181" t="s">
        <v>0</v>
      </c>
      <c r="K1181" t="s">
        <v>61</v>
      </c>
      <c r="L1181">
        <v>0</v>
      </c>
      <c r="M1181" t="s">
        <v>52</v>
      </c>
      <c r="N1181">
        <v>1</v>
      </c>
      <c r="O1181" t="s">
        <v>63</v>
      </c>
      <c r="P1181" s="2">
        <v>0.52986111111111112</v>
      </c>
      <c r="Q1181">
        <f>-0.0008393452*3600</f>
        <v>-3.02164272</v>
      </c>
      <c r="R1181">
        <f>-0.00267581*3600</f>
        <v>-9.6329159999999998</v>
      </c>
    </row>
    <row r="1182" spans="1:18" x14ac:dyDescent="0.3">
      <c r="A1182" s="4" t="s">
        <v>47</v>
      </c>
      <c r="B1182" s="10" t="s">
        <v>359</v>
      </c>
      <c r="C1182">
        <v>298.56492800000001</v>
      </c>
      <c r="D1182">
        <v>100.221501</v>
      </c>
      <c r="E1182">
        <v>13.127800000000001</v>
      </c>
      <c r="F1182">
        <v>13.125400000000001</v>
      </c>
      <c r="G1182">
        <v>0.23899999999999999</v>
      </c>
      <c r="H1182">
        <v>0</v>
      </c>
      <c r="I1182">
        <f t="shared" si="0"/>
        <v>1</v>
      </c>
      <c r="J1182" t="s">
        <v>0</v>
      </c>
      <c r="K1182" t="s">
        <v>61</v>
      </c>
      <c r="L1182">
        <v>0</v>
      </c>
      <c r="M1182" t="s">
        <v>52</v>
      </c>
      <c r="N1182">
        <v>1</v>
      </c>
      <c r="O1182" t="s">
        <v>63</v>
      </c>
      <c r="P1182" s="2">
        <v>0.52986111111111112</v>
      </c>
      <c r="Q1182">
        <f>-0.0008551527*3600</f>
        <v>-3.0785497199999998</v>
      </c>
      <c r="R1182">
        <f>-0.0028438088*3600</f>
        <v>-10.23771168</v>
      </c>
    </row>
    <row r="1183" spans="1:18" x14ac:dyDescent="0.3">
      <c r="A1183" s="4" t="s">
        <v>47</v>
      </c>
      <c r="B1183" s="10" t="s">
        <v>359</v>
      </c>
      <c r="C1183">
        <v>298.56408800000003</v>
      </c>
      <c r="D1183">
        <v>100.30579299999999</v>
      </c>
      <c r="E1183">
        <v>13.1279</v>
      </c>
      <c r="F1183">
        <v>13.125500000000001</v>
      </c>
      <c r="G1183">
        <v>0.23899999999999999</v>
      </c>
      <c r="H1183">
        <v>0</v>
      </c>
      <c r="I1183">
        <f t="shared" si="0"/>
        <v>1</v>
      </c>
      <c r="J1183" t="s">
        <v>0</v>
      </c>
      <c r="K1183" t="s">
        <v>61</v>
      </c>
      <c r="L1183">
        <v>0</v>
      </c>
      <c r="M1183" t="s">
        <v>52</v>
      </c>
      <c r="N1183">
        <v>1</v>
      </c>
      <c r="O1183" t="s">
        <v>63</v>
      </c>
      <c r="P1183" s="2">
        <v>0.52986111111111112</v>
      </c>
      <c r="Q1183">
        <f>-0.0007814608*3600</f>
        <v>-2.8132588800000002</v>
      </c>
      <c r="R1183">
        <f>-0.0027003744*3600</f>
        <v>-9.72134784</v>
      </c>
    </row>
    <row r="1184" spans="1:18" x14ac:dyDescent="0.3">
      <c r="A1184" s="4" t="s">
        <v>47</v>
      </c>
      <c r="B1184" s="10" t="s">
        <v>359</v>
      </c>
      <c r="C1184">
        <v>298.56448899999998</v>
      </c>
      <c r="D1184">
        <v>100.24847</v>
      </c>
      <c r="E1184">
        <v>13.1279</v>
      </c>
      <c r="F1184">
        <v>13.125500000000001</v>
      </c>
      <c r="G1184">
        <v>0.23899999999999999</v>
      </c>
      <c r="H1184">
        <v>0</v>
      </c>
      <c r="I1184">
        <f t="shared" si="0"/>
        <v>1</v>
      </c>
      <c r="J1184" t="s">
        <v>0</v>
      </c>
      <c r="K1184" t="s">
        <v>61</v>
      </c>
      <c r="L1184">
        <v>3.4000000000000002E-2</v>
      </c>
      <c r="M1184" t="s">
        <v>52</v>
      </c>
      <c r="N1184">
        <v>1</v>
      </c>
      <c r="O1184" t="s">
        <v>53</v>
      </c>
      <c r="P1184" s="2">
        <v>0.53055555555555556</v>
      </c>
      <c r="Q1184">
        <f>-0.0010048963*3600</f>
        <v>-3.6176266799999999</v>
      </c>
      <c r="R1184">
        <f>-0.0029101953*3600</f>
        <v>-10.47670308</v>
      </c>
    </row>
    <row r="1185" spans="1:18" x14ac:dyDescent="0.3">
      <c r="A1185" s="4" t="s">
        <v>47</v>
      </c>
      <c r="B1185" s="10" t="s">
        <v>359</v>
      </c>
      <c r="C1185">
        <v>298.56455099999999</v>
      </c>
      <c r="D1185">
        <v>100.248519</v>
      </c>
      <c r="E1185">
        <v>13.1279</v>
      </c>
      <c r="F1185">
        <v>13.125500000000001</v>
      </c>
      <c r="G1185">
        <v>0.23899999999999999</v>
      </c>
      <c r="H1185">
        <v>0</v>
      </c>
      <c r="I1185">
        <f t="shared" si="0"/>
        <v>1</v>
      </c>
      <c r="J1185" t="s">
        <v>0</v>
      </c>
      <c r="K1185" t="s">
        <v>61</v>
      </c>
      <c r="L1185">
        <v>0</v>
      </c>
      <c r="M1185" t="s">
        <v>52</v>
      </c>
      <c r="N1185">
        <v>1</v>
      </c>
      <c r="O1185" t="s">
        <v>63</v>
      </c>
      <c r="P1185" s="2">
        <v>0.53055555555555556</v>
      </c>
      <c r="Q1185">
        <f>-0.0008594226*3600</f>
        <v>-3.09392136</v>
      </c>
      <c r="R1185">
        <f>-0.0029254336*3600</f>
        <v>-10.53156096</v>
      </c>
    </row>
    <row r="1186" spans="1:18" x14ac:dyDescent="0.3">
      <c r="A1186" s="4" t="s">
        <v>47</v>
      </c>
      <c r="B1186" s="10" t="s">
        <v>359</v>
      </c>
      <c r="C1186">
        <v>298.56425300000001</v>
      </c>
      <c r="D1186">
        <v>100.248453</v>
      </c>
      <c r="E1186">
        <v>13.1279</v>
      </c>
      <c r="F1186">
        <v>13.125500000000001</v>
      </c>
      <c r="G1186">
        <v>0.23899999999999999</v>
      </c>
      <c r="H1186">
        <v>0</v>
      </c>
      <c r="I1186">
        <f t="shared" si="0"/>
        <v>1</v>
      </c>
      <c r="J1186" t="s">
        <v>0</v>
      </c>
      <c r="K1186" t="s">
        <v>61</v>
      </c>
      <c r="L1186">
        <v>3.4000000000000002E-2</v>
      </c>
      <c r="M1186" t="s">
        <v>52</v>
      </c>
      <c r="N1186">
        <v>1</v>
      </c>
      <c r="O1186" t="s">
        <v>53</v>
      </c>
      <c r="P1186" s="2">
        <v>0.53055555555555556</v>
      </c>
      <c r="Q1186">
        <f>-0.0011217894*3600</f>
        <v>-4.0384418399999999</v>
      </c>
      <c r="R1186">
        <f>-0.0030446417*3600</f>
        <v>-10.96071012</v>
      </c>
    </row>
    <row r="1187" spans="1:18" x14ac:dyDescent="0.3">
      <c r="A1187" s="4" t="s">
        <v>47</v>
      </c>
      <c r="B1187" s="10" t="s">
        <v>359</v>
      </c>
      <c r="C1187">
        <v>298.563199</v>
      </c>
      <c r="D1187">
        <v>100.248321</v>
      </c>
      <c r="E1187">
        <v>13.1279</v>
      </c>
      <c r="F1187">
        <v>13.125500000000001</v>
      </c>
      <c r="G1187">
        <v>0.23899999999999999</v>
      </c>
      <c r="H1187">
        <v>0</v>
      </c>
      <c r="I1187">
        <f t="shared" si="0"/>
        <v>1</v>
      </c>
      <c r="J1187" t="s">
        <v>0</v>
      </c>
      <c r="K1187" t="s">
        <v>61</v>
      </c>
      <c r="L1187">
        <v>0</v>
      </c>
      <c r="M1187" t="s">
        <v>52</v>
      </c>
      <c r="N1187">
        <v>1</v>
      </c>
      <c r="O1187" t="s">
        <v>63</v>
      </c>
      <c r="P1187" s="2">
        <v>0.53125</v>
      </c>
      <c r="Q1187">
        <f>-0.0009729517*3600</f>
        <v>-3.50262612</v>
      </c>
      <c r="R1187">
        <f>-0.0024809991*3600</f>
        <v>-8.9315967599999997</v>
      </c>
    </row>
    <row r="1188" spans="1:18" x14ac:dyDescent="0.3">
      <c r="A1188" s="4" t="s">
        <v>47</v>
      </c>
      <c r="B1188" s="10" t="s">
        <v>359</v>
      </c>
      <c r="C1188">
        <v>298.56418000000002</v>
      </c>
      <c r="D1188">
        <v>100.24819100000001</v>
      </c>
      <c r="E1188">
        <v>13.1279</v>
      </c>
      <c r="F1188">
        <v>13.125500000000001</v>
      </c>
      <c r="G1188">
        <v>0.23899999999999999</v>
      </c>
      <c r="H1188">
        <v>0</v>
      </c>
      <c r="I1188">
        <f t="shared" si="0"/>
        <v>1</v>
      </c>
      <c r="J1188" t="s">
        <v>0</v>
      </c>
      <c r="K1188" t="s">
        <v>61</v>
      </c>
      <c r="L1188">
        <v>0</v>
      </c>
      <c r="M1188" t="s">
        <v>52</v>
      </c>
      <c r="N1188">
        <v>1</v>
      </c>
      <c r="O1188" t="s">
        <v>63</v>
      </c>
      <c r="P1188" s="2">
        <v>0.53125</v>
      </c>
      <c r="Q1188">
        <f>-0.0010682309*3600</f>
        <v>-3.8456312399999999</v>
      </c>
      <c r="R1188">
        <f>-0.0026119974*3600</f>
        <v>-9.40319064</v>
      </c>
    </row>
    <row r="1189" spans="1:18" x14ac:dyDescent="0.3">
      <c r="A1189" s="4" t="s">
        <v>47</v>
      </c>
      <c r="B1189" s="10" t="s">
        <v>359</v>
      </c>
      <c r="C1189">
        <v>298.56467600000002</v>
      </c>
      <c r="D1189">
        <v>100.248178</v>
      </c>
      <c r="E1189">
        <v>13.1279</v>
      </c>
      <c r="F1189">
        <v>13.125500000000001</v>
      </c>
      <c r="G1189">
        <v>0.23899999999999999</v>
      </c>
      <c r="H1189">
        <v>0</v>
      </c>
      <c r="I1189">
        <f t="shared" si="0"/>
        <v>1</v>
      </c>
      <c r="J1189" t="s">
        <v>0</v>
      </c>
      <c r="K1189" t="s">
        <v>61</v>
      </c>
      <c r="L1189">
        <v>0</v>
      </c>
      <c r="M1189" t="s">
        <v>52</v>
      </c>
      <c r="N1189">
        <v>1</v>
      </c>
      <c r="O1189" t="s">
        <v>63</v>
      </c>
      <c r="P1189" s="2">
        <v>0.53125</v>
      </c>
      <c r="Q1189">
        <f>-0.0010267235*3600</f>
        <v>-3.6962045999999997</v>
      </c>
      <c r="R1189">
        <f>-0.0023743254*3600</f>
        <v>-8.5475714400000005</v>
      </c>
    </row>
    <row r="1190" spans="1:18" x14ac:dyDescent="0.3">
      <c r="A1190" s="4" t="s">
        <v>47</v>
      </c>
      <c r="B1190" s="10" t="s">
        <v>359</v>
      </c>
      <c r="C1190">
        <v>298.56579900000003</v>
      </c>
      <c r="D1190">
        <v>100.3087</v>
      </c>
      <c r="E1190">
        <v>13.128</v>
      </c>
      <c r="F1190">
        <v>13.1256</v>
      </c>
      <c r="G1190">
        <v>0.23899999999999999</v>
      </c>
      <c r="H1190">
        <v>0</v>
      </c>
      <c r="I1190">
        <f t="shared" si="0"/>
        <v>1</v>
      </c>
      <c r="J1190" t="s">
        <v>0</v>
      </c>
      <c r="K1190" t="s">
        <v>61</v>
      </c>
      <c r="L1190">
        <v>0</v>
      </c>
      <c r="M1190" t="s">
        <v>52</v>
      </c>
      <c r="N1190">
        <v>1</v>
      </c>
      <c r="O1190" t="s">
        <v>63</v>
      </c>
      <c r="P1190" s="2">
        <v>0.53125</v>
      </c>
      <c r="Q1190">
        <f>-0.0010162714*3600</f>
        <v>-3.6585770399999999</v>
      </c>
      <c r="R1190">
        <f>-0.002409859*3600</f>
        <v>-8.6754923999999995</v>
      </c>
    </row>
    <row r="1191" spans="1:18" x14ac:dyDescent="0.3">
      <c r="A1191" s="4" t="s">
        <v>47</v>
      </c>
      <c r="B1191" s="10" t="s">
        <v>359</v>
      </c>
      <c r="C1191">
        <v>298.56371300000001</v>
      </c>
      <c r="D1191">
        <v>100.266395</v>
      </c>
      <c r="E1191">
        <v>13.128</v>
      </c>
      <c r="F1191">
        <v>13.1256</v>
      </c>
      <c r="G1191">
        <v>0.23899999999999999</v>
      </c>
      <c r="H1191">
        <v>0</v>
      </c>
      <c r="I1191">
        <f t="shared" si="0"/>
        <v>1</v>
      </c>
      <c r="J1191" t="s">
        <v>0</v>
      </c>
      <c r="K1191" t="s">
        <v>61</v>
      </c>
      <c r="L1191">
        <v>0</v>
      </c>
      <c r="M1191" t="s">
        <v>52</v>
      </c>
      <c r="N1191">
        <v>1</v>
      </c>
      <c r="O1191" t="s">
        <v>63</v>
      </c>
      <c r="P1191" s="2">
        <v>0.53125</v>
      </c>
      <c r="Q1191">
        <f>-0.0009675813*3600</f>
        <v>-3.4832926799999999</v>
      </c>
      <c r="R1191">
        <f>-0.0023594118*3600</f>
        <v>-8.4938824799999999</v>
      </c>
    </row>
    <row r="1192" spans="1:18" x14ac:dyDescent="0.3">
      <c r="A1192" s="4" t="s">
        <v>47</v>
      </c>
      <c r="B1192" s="10" t="s">
        <v>359</v>
      </c>
      <c r="C1192">
        <v>298.56424700000002</v>
      </c>
      <c r="D1192">
        <v>100.266176</v>
      </c>
      <c r="E1192">
        <v>13.128</v>
      </c>
      <c r="F1192">
        <v>13.1256</v>
      </c>
      <c r="G1192">
        <v>0.23899999999999999</v>
      </c>
      <c r="H1192">
        <v>0</v>
      </c>
      <c r="I1192">
        <f t="shared" si="0"/>
        <v>1</v>
      </c>
      <c r="J1192" t="s">
        <v>0</v>
      </c>
      <c r="K1192" t="s">
        <v>61</v>
      </c>
      <c r="L1192">
        <v>0</v>
      </c>
      <c r="M1192" t="s">
        <v>52</v>
      </c>
      <c r="N1192">
        <v>1</v>
      </c>
      <c r="O1192" t="s">
        <v>63</v>
      </c>
      <c r="P1192" s="2">
        <v>0.53125</v>
      </c>
      <c r="Q1192">
        <f>-0.0009278843*3600</f>
        <v>-3.3403834799999998</v>
      </c>
      <c r="R1192">
        <f>-0.0024260585*3600</f>
        <v>-8.7338106</v>
      </c>
    </row>
    <row r="1193" spans="1:18" x14ac:dyDescent="0.3">
      <c r="A1193" s="4" t="s">
        <v>47</v>
      </c>
      <c r="B1193" s="10" t="s">
        <v>359</v>
      </c>
      <c r="C1193">
        <v>298.56416899999999</v>
      </c>
      <c r="D1193">
        <v>100.266166</v>
      </c>
      <c r="E1193">
        <v>13.128</v>
      </c>
      <c r="F1193">
        <v>13.1256</v>
      </c>
      <c r="G1193">
        <v>0.23899999999999999</v>
      </c>
      <c r="H1193">
        <v>0</v>
      </c>
      <c r="I1193">
        <f>IF(D1193&lt;200,1,2)</f>
        <v>1</v>
      </c>
      <c r="J1193" t="s">
        <v>0</v>
      </c>
      <c r="K1193" t="s">
        <v>61</v>
      </c>
      <c r="L1193">
        <v>0</v>
      </c>
      <c r="M1193" t="s">
        <v>52</v>
      </c>
      <c r="N1193">
        <v>1</v>
      </c>
      <c r="O1193" t="s">
        <v>63</v>
      </c>
      <c r="P1193" s="2">
        <v>0.53125</v>
      </c>
      <c r="Q1193">
        <f>-0.0010175121*3600</f>
        <v>-3.6630435599999998</v>
      </c>
      <c r="R1193">
        <f>-0.0024396587*3600</f>
        <v>-8.7827713200000002</v>
      </c>
    </row>
    <row r="1194" spans="1:18" x14ac:dyDescent="0.3">
      <c r="A1194" s="4" t="s">
        <v>47</v>
      </c>
      <c r="B1194" s="10" t="s">
        <v>359</v>
      </c>
      <c r="C1194">
        <v>298.56421399999999</v>
      </c>
      <c r="D1194">
        <v>100.26598799999999</v>
      </c>
      <c r="E1194">
        <v>13.128</v>
      </c>
      <c r="F1194">
        <v>13.1256</v>
      </c>
      <c r="G1194">
        <v>0.23899999999999999</v>
      </c>
      <c r="H1194">
        <v>0</v>
      </c>
      <c r="I1194">
        <f t="shared" si="0"/>
        <v>1</v>
      </c>
      <c r="J1194" t="s">
        <v>0</v>
      </c>
      <c r="K1194" t="s">
        <v>61</v>
      </c>
      <c r="L1194">
        <v>0</v>
      </c>
      <c r="M1194" t="s">
        <v>52</v>
      </c>
      <c r="N1194">
        <v>1</v>
      </c>
      <c r="O1194" t="s">
        <v>63</v>
      </c>
      <c r="P1194" s="2">
        <v>0.53125</v>
      </c>
      <c r="Q1194">
        <f>-0.0007808644*3600</f>
        <v>-2.8111118399999997</v>
      </c>
      <c r="R1194">
        <f>-0.0023313193*3600</f>
        <v>-8.3927494800000009</v>
      </c>
    </row>
    <row r="1195" spans="1:18" x14ac:dyDescent="0.3">
      <c r="A1195" s="4" t="s">
        <v>47</v>
      </c>
      <c r="B1195" s="10" t="s">
        <v>359</v>
      </c>
      <c r="C1195">
        <v>298.56444299999998</v>
      </c>
      <c r="D1195">
        <v>100.266322</v>
      </c>
      <c r="E1195">
        <v>13.128</v>
      </c>
      <c r="F1195">
        <v>13.1256</v>
      </c>
      <c r="G1195">
        <v>0.23899999999999999</v>
      </c>
      <c r="H1195">
        <v>0</v>
      </c>
      <c r="I1195">
        <f t="shared" si="0"/>
        <v>1</v>
      </c>
      <c r="J1195" t="s">
        <v>0</v>
      </c>
      <c r="K1195" t="s">
        <v>61</v>
      </c>
      <c r="L1195">
        <v>0</v>
      </c>
      <c r="M1195" t="s">
        <v>52</v>
      </c>
      <c r="N1195">
        <v>1</v>
      </c>
      <c r="O1195" t="s">
        <v>63</v>
      </c>
      <c r="P1195" s="2">
        <v>0.53125</v>
      </c>
      <c r="Q1195">
        <f>-0.0009749142*3600</f>
        <v>-3.5096911199999998</v>
      </c>
      <c r="R1195">
        <f>-0.0024519676*3600</f>
        <v>-8.8270833599999996</v>
      </c>
    </row>
    <row r="1196" spans="1:18" x14ac:dyDescent="0.3">
      <c r="A1196" s="4" t="s">
        <v>47</v>
      </c>
      <c r="B1196" s="10" t="s">
        <v>359</v>
      </c>
      <c r="C1196">
        <v>98.565289000000007</v>
      </c>
      <c r="D1196">
        <v>299.69179200000002</v>
      </c>
      <c r="E1196">
        <v>13.127599999999999</v>
      </c>
      <c r="F1196">
        <v>13.1252</v>
      </c>
      <c r="G1196">
        <v>0.23899999999999999</v>
      </c>
      <c r="H1196">
        <v>0</v>
      </c>
      <c r="I1196">
        <f t="shared" si="0"/>
        <v>2</v>
      </c>
      <c r="J1196" t="s">
        <v>0</v>
      </c>
      <c r="K1196" t="s">
        <v>61</v>
      </c>
      <c r="L1196">
        <v>3.4000000000000002E-2</v>
      </c>
      <c r="M1196" t="s">
        <v>52</v>
      </c>
      <c r="N1196">
        <v>1</v>
      </c>
      <c r="O1196" t="s">
        <v>53</v>
      </c>
      <c r="P1196" s="2">
        <v>0.53125</v>
      </c>
      <c r="Q1196">
        <f>-0.0010673884*3600</f>
        <v>-3.8425982400000001</v>
      </c>
      <c r="R1196">
        <f>-0.0030906778*3600</f>
        <v>-11.12644008</v>
      </c>
    </row>
    <row r="1197" spans="1:18" x14ac:dyDescent="0.3">
      <c r="A1197" s="4" t="s">
        <v>47</v>
      </c>
      <c r="B1197" s="10" t="s">
        <v>359</v>
      </c>
      <c r="C1197">
        <v>98.565218000000002</v>
      </c>
      <c r="D1197">
        <v>299.69195400000001</v>
      </c>
      <c r="E1197">
        <v>13.127599999999999</v>
      </c>
      <c r="F1197">
        <v>13.1252</v>
      </c>
      <c r="G1197">
        <v>0.23899999999999999</v>
      </c>
      <c r="H1197">
        <v>0</v>
      </c>
      <c r="I1197">
        <f t="shared" si="0"/>
        <v>2</v>
      </c>
      <c r="J1197" t="s">
        <v>0</v>
      </c>
      <c r="K1197" t="s">
        <v>61</v>
      </c>
      <c r="L1197">
        <v>0</v>
      </c>
      <c r="M1197" t="s">
        <v>52</v>
      </c>
      <c r="N1197">
        <v>1</v>
      </c>
      <c r="O1197" t="s">
        <v>63</v>
      </c>
      <c r="P1197" s="2">
        <v>0.53125</v>
      </c>
      <c r="Q1197">
        <f>-0.0008375401*3600</f>
        <v>-3.0151443600000003</v>
      </c>
      <c r="R1197">
        <f>-0.0025362081*3600</f>
        <v>-9.1303491599999997</v>
      </c>
    </row>
    <row r="1198" spans="1:18" x14ac:dyDescent="0.3">
      <c r="A1198" s="4" t="s">
        <v>47</v>
      </c>
      <c r="B1198" s="10" t="s">
        <v>359</v>
      </c>
      <c r="C1198">
        <v>98.564497000000003</v>
      </c>
      <c r="D1198">
        <v>299.78029900000001</v>
      </c>
      <c r="E1198">
        <v>13.127599999999999</v>
      </c>
      <c r="F1198">
        <v>13.1252</v>
      </c>
      <c r="G1198">
        <v>0.23899999999999999</v>
      </c>
      <c r="H1198">
        <v>0</v>
      </c>
      <c r="I1198">
        <f t="shared" si="0"/>
        <v>2</v>
      </c>
      <c r="J1198" t="s">
        <v>0</v>
      </c>
      <c r="K1198" t="s">
        <v>61</v>
      </c>
      <c r="L1198">
        <v>0</v>
      </c>
      <c r="M1198" t="s">
        <v>52</v>
      </c>
      <c r="N1198">
        <v>1</v>
      </c>
      <c r="O1198" t="s">
        <v>63</v>
      </c>
      <c r="P1198" s="2">
        <v>0.53125</v>
      </c>
      <c r="Q1198">
        <f>-0.0007381607*3600</f>
        <v>-2.65737852</v>
      </c>
      <c r="R1198">
        <f>-0.0023903987*3600</f>
        <v>-8.6054353199999998</v>
      </c>
    </row>
    <row r="1199" spans="1:18" x14ac:dyDescent="0.3">
      <c r="A1199" s="4" t="s">
        <v>47</v>
      </c>
      <c r="B1199" s="10" t="s">
        <v>359</v>
      </c>
      <c r="C1199">
        <v>98.565470000000005</v>
      </c>
      <c r="D1199">
        <v>299.78036900000001</v>
      </c>
      <c r="E1199">
        <v>13.127599999999999</v>
      </c>
      <c r="F1199">
        <v>13.1252</v>
      </c>
      <c r="G1199">
        <v>0.23899999999999999</v>
      </c>
      <c r="H1199">
        <v>0</v>
      </c>
      <c r="I1199">
        <f t="shared" si="0"/>
        <v>2</v>
      </c>
      <c r="J1199" t="s">
        <v>0</v>
      </c>
      <c r="K1199" t="s">
        <v>61</v>
      </c>
      <c r="L1199">
        <v>0</v>
      </c>
      <c r="M1199" t="s">
        <v>52</v>
      </c>
      <c r="N1199">
        <v>1</v>
      </c>
      <c r="O1199" t="s">
        <v>63</v>
      </c>
      <c r="P1199" s="2">
        <v>0.53194444444444444</v>
      </c>
      <c r="Q1199">
        <f>-0.0007388368*3600</f>
        <v>-2.6598124800000003</v>
      </c>
      <c r="R1199">
        <f>-0.0023270324*3600</f>
        <v>-8.3773166400000001</v>
      </c>
    </row>
    <row r="1200" spans="1:18" x14ac:dyDescent="0.3">
      <c r="A1200" s="4" t="s">
        <v>47</v>
      </c>
      <c r="B1200" s="10" t="s">
        <v>359</v>
      </c>
      <c r="C1200">
        <v>98.567601999999994</v>
      </c>
      <c r="D1200">
        <v>299.780305</v>
      </c>
      <c r="E1200">
        <v>13.127599999999999</v>
      </c>
      <c r="F1200">
        <v>13.1252</v>
      </c>
      <c r="G1200">
        <v>0.23899999999999999</v>
      </c>
      <c r="H1200">
        <v>0</v>
      </c>
      <c r="I1200">
        <f t="shared" si="0"/>
        <v>2</v>
      </c>
      <c r="J1200" t="s">
        <v>0</v>
      </c>
      <c r="K1200" t="s">
        <v>61</v>
      </c>
      <c r="L1200">
        <v>0</v>
      </c>
      <c r="M1200" t="s">
        <v>52</v>
      </c>
      <c r="N1200">
        <v>1</v>
      </c>
      <c r="O1200" t="s">
        <v>63</v>
      </c>
      <c r="P1200" s="2">
        <v>0.53194444444444444</v>
      </c>
      <c r="Q1200">
        <f>-0.0008283284*3600</f>
        <v>-2.9819822399999998</v>
      </c>
      <c r="R1200">
        <f>-0.0023758428*3600</f>
        <v>-8.5530340799999998</v>
      </c>
    </row>
    <row r="1201" spans="1:19" x14ac:dyDescent="0.3">
      <c r="A1201" s="4" t="s">
        <v>47</v>
      </c>
      <c r="B1201" s="10" t="s">
        <v>359</v>
      </c>
      <c r="C1201">
        <v>98.566301999999993</v>
      </c>
      <c r="D1201">
        <v>299.78039000000001</v>
      </c>
      <c r="E1201">
        <v>13.127599999999999</v>
      </c>
      <c r="F1201">
        <v>13.1252</v>
      </c>
      <c r="G1201">
        <v>0.23899999999999999</v>
      </c>
      <c r="H1201">
        <v>0</v>
      </c>
      <c r="I1201">
        <f t="shared" ref="I1201:I1208" si="1">IF(D1201&lt;200,1,2)</f>
        <v>2</v>
      </c>
      <c r="J1201" t="s">
        <v>0</v>
      </c>
      <c r="K1201" t="s">
        <v>61</v>
      </c>
      <c r="L1201">
        <v>0</v>
      </c>
      <c r="M1201" t="s">
        <v>52</v>
      </c>
      <c r="N1201">
        <v>1</v>
      </c>
      <c r="O1201" t="s">
        <v>63</v>
      </c>
      <c r="P1201" s="2">
        <v>0.53194444444444444</v>
      </c>
      <c r="Q1201">
        <f>-0.0009142944*3600</f>
        <v>-3.2914598399999999</v>
      </c>
      <c r="R1201">
        <f>-0.0024624873*3600</f>
        <v>-8.8649542799999992</v>
      </c>
    </row>
    <row r="1202" spans="1:19" x14ac:dyDescent="0.3">
      <c r="A1202" s="4" t="s">
        <v>47</v>
      </c>
      <c r="B1202" s="10" t="s">
        <v>359</v>
      </c>
      <c r="C1202">
        <v>98.566562000000005</v>
      </c>
      <c r="D1202">
        <v>299.780325</v>
      </c>
      <c r="E1202">
        <v>13.127599999999999</v>
      </c>
      <c r="F1202">
        <v>13.1252</v>
      </c>
      <c r="G1202">
        <v>0.23899999999999999</v>
      </c>
      <c r="H1202">
        <v>0</v>
      </c>
      <c r="I1202">
        <f t="shared" si="1"/>
        <v>2</v>
      </c>
      <c r="J1202" t="s">
        <v>0</v>
      </c>
      <c r="K1202" t="s">
        <v>61</v>
      </c>
      <c r="L1202">
        <v>0</v>
      </c>
      <c r="M1202" t="s">
        <v>52</v>
      </c>
      <c r="N1202">
        <v>1</v>
      </c>
      <c r="O1202" t="s">
        <v>63</v>
      </c>
      <c r="P1202" s="2">
        <v>0.53194444444444444</v>
      </c>
      <c r="Q1202">
        <f>-0.0007374857*3600</f>
        <v>-2.65494852</v>
      </c>
      <c r="R1202">
        <f>-0.0024040106*3600</f>
        <v>-8.6544381599999998</v>
      </c>
    </row>
    <row r="1203" spans="1:19" x14ac:dyDescent="0.3">
      <c r="A1203" s="4" t="s">
        <v>47</v>
      </c>
      <c r="B1203" s="10" t="s">
        <v>359</v>
      </c>
      <c r="C1203">
        <v>98.566471000000007</v>
      </c>
      <c r="D1203">
        <v>299.78040600000003</v>
      </c>
      <c r="E1203">
        <v>13.127599999999999</v>
      </c>
      <c r="F1203">
        <v>13.1252</v>
      </c>
      <c r="G1203">
        <v>0.23899999999999999</v>
      </c>
      <c r="H1203">
        <v>0</v>
      </c>
      <c r="I1203">
        <f t="shared" si="1"/>
        <v>2</v>
      </c>
      <c r="J1203" t="s">
        <v>0</v>
      </c>
      <c r="K1203" t="s">
        <v>61</v>
      </c>
      <c r="L1203">
        <v>0</v>
      </c>
      <c r="M1203" t="s">
        <v>52</v>
      </c>
      <c r="N1203">
        <v>1</v>
      </c>
      <c r="O1203" t="s">
        <v>63</v>
      </c>
      <c r="P1203" s="2">
        <v>0.53194444444444444</v>
      </c>
      <c r="Q1203">
        <f>-0.0006374477*3600</f>
        <v>-2.2948117199999998</v>
      </c>
      <c r="R1203">
        <f>-0.002450939*3600</f>
        <v>-8.8233803999999996</v>
      </c>
    </row>
    <row r="1204" spans="1:19" x14ac:dyDescent="0.3">
      <c r="A1204" s="4" t="s">
        <v>47</v>
      </c>
      <c r="B1204" s="10" t="s">
        <v>359</v>
      </c>
      <c r="C1204">
        <v>98.565965000000006</v>
      </c>
      <c r="D1204">
        <v>299.78137900000002</v>
      </c>
      <c r="E1204">
        <v>13.127599999999999</v>
      </c>
      <c r="F1204">
        <v>13.1252</v>
      </c>
      <c r="G1204">
        <v>0.23899999999999999</v>
      </c>
      <c r="H1204">
        <v>0</v>
      </c>
      <c r="I1204">
        <f t="shared" si="1"/>
        <v>2</v>
      </c>
      <c r="J1204" t="s">
        <v>0</v>
      </c>
      <c r="K1204" t="s">
        <v>61</v>
      </c>
      <c r="L1204">
        <v>0</v>
      </c>
      <c r="M1204" t="s">
        <v>52</v>
      </c>
      <c r="N1204">
        <v>1</v>
      </c>
      <c r="O1204" t="s">
        <v>63</v>
      </c>
      <c r="P1204" s="2">
        <v>0.53194444444444444</v>
      </c>
      <c r="Q1204">
        <f>-0.0008446698*3600</f>
        <v>-3.0408112799999998</v>
      </c>
      <c r="R1204">
        <f>-0.0023828266*3600</f>
        <v>-8.5781757600000006</v>
      </c>
    </row>
    <row r="1205" spans="1:19" x14ac:dyDescent="0.3">
      <c r="A1205" s="4" t="s">
        <v>47</v>
      </c>
      <c r="B1205" s="10" t="s">
        <v>359</v>
      </c>
      <c r="C1205">
        <v>98.565870000000004</v>
      </c>
      <c r="D1205">
        <v>299.691868</v>
      </c>
      <c r="E1205">
        <v>13.1275</v>
      </c>
      <c r="F1205">
        <v>13.1251</v>
      </c>
      <c r="G1205">
        <v>0.23899999999999999</v>
      </c>
      <c r="H1205">
        <v>0</v>
      </c>
      <c r="I1205">
        <f t="shared" si="1"/>
        <v>2</v>
      </c>
      <c r="J1205" t="s">
        <v>0</v>
      </c>
      <c r="K1205" t="s">
        <v>61</v>
      </c>
      <c r="L1205">
        <v>3.4000000000000002E-2</v>
      </c>
      <c r="M1205" t="s">
        <v>52</v>
      </c>
      <c r="N1205">
        <v>1</v>
      </c>
      <c r="O1205" t="s">
        <v>53</v>
      </c>
      <c r="P1205" s="2">
        <v>0.53194444444444444</v>
      </c>
      <c r="Q1205">
        <f>-0.0010315054*3600</f>
        <v>-3.71341944</v>
      </c>
      <c r="R1205">
        <f>-0.0029293655*3600</f>
        <v>-10.5457158</v>
      </c>
    </row>
    <row r="1206" spans="1:19" x14ac:dyDescent="0.3">
      <c r="A1206" s="4" t="s">
        <v>47</v>
      </c>
      <c r="B1206" s="10" t="s">
        <v>359</v>
      </c>
      <c r="C1206">
        <v>98.564909999999998</v>
      </c>
      <c r="D1206">
        <v>299.73449699999998</v>
      </c>
      <c r="E1206">
        <v>13.1275</v>
      </c>
      <c r="F1206">
        <v>13.1251</v>
      </c>
      <c r="G1206">
        <v>0.23899999999999999</v>
      </c>
      <c r="H1206">
        <v>0</v>
      </c>
      <c r="I1206">
        <f t="shared" si="1"/>
        <v>2</v>
      </c>
      <c r="J1206" t="s">
        <v>0</v>
      </c>
      <c r="K1206" t="s">
        <v>50</v>
      </c>
      <c r="L1206" t="s">
        <v>51</v>
      </c>
      <c r="M1206">
        <v>0</v>
      </c>
      <c r="N1206" t="s">
        <v>57</v>
      </c>
      <c r="O1206">
        <v>1</v>
      </c>
      <c r="P1206" t="s">
        <v>53</v>
      </c>
      <c r="Q1206" s="2">
        <v>0.53263888888888888</v>
      </c>
      <c r="R1206">
        <f>-0.0014145606*3600</f>
        <v>-5.0924181600000002</v>
      </c>
      <c r="S1206">
        <f>-0.0027106485*3600</f>
        <v>-9.7583346000000013</v>
      </c>
    </row>
    <row r="1207" spans="1:19" x14ac:dyDescent="0.3">
      <c r="A1207" s="4" t="s">
        <v>47</v>
      </c>
      <c r="B1207" s="10" t="s">
        <v>359</v>
      </c>
      <c r="C1207">
        <v>98.564752999999996</v>
      </c>
      <c r="D1207">
        <v>299.73448300000001</v>
      </c>
      <c r="E1207">
        <v>13.1275</v>
      </c>
      <c r="F1207">
        <v>13.1251</v>
      </c>
      <c r="G1207">
        <v>0.23899999999999999</v>
      </c>
      <c r="H1207">
        <v>0</v>
      </c>
      <c r="I1207">
        <f t="shared" si="1"/>
        <v>2</v>
      </c>
      <c r="J1207" t="s">
        <v>0</v>
      </c>
      <c r="K1207" t="s">
        <v>50</v>
      </c>
      <c r="L1207" t="s">
        <v>51</v>
      </c>
      <c r="M1207">
        <v>0</v>
      </c>
      <c r="N1207" t="s">
        <v>57</v>
      </c>
      <c r="O1207">
        <v>1</v>
      </c>
      <c r="P1207" t="s">
        <v>53</v>
      </c>
      <c r="Q1207" s="2">
        <v>0.53263888888888888</v>
      </c>
      <c r="R1207">
        <f>0.0011082679*3600</f>
        <v>3.9897644399999996</v>
      </c>
      <c r="S1207">
        <f>0.0029375378*3600</f>
        <v>10.57513608</v>
      </c>
    </row>
    <row r="1208" spans="1:19" x14ac:dyDescent="0.3">
      <c r="A1208" s="4" t="s">
        <v>47</v>
      </c>
      <c r="B1208" s="10" t="s">
        <v>359</v>
      </c>
      <c r="C1208">
        <v>98.564079000000007</v>
      </c>
      <c r="D1208">
        <v>299.73456800000002</v>
      </c>
      <c r="E1208">
        <v>13.1275</v>
      </c>
      <c r="F1208">
        <v>13.1251</v>
      </c>
      <c r="G1208">
        <v>0.23899999999999999</v>
      </c>
      <c r="H1208">
        <v>0</v>
      </c>
      <c r="I1208">
        <f t="shared" si="1"/>
        <v>2</v>
      </c>
      <c r="J1208" t="s">
        <v>0</v>
      </c>
      <c r="K1208" t="s">
        <v>50</v>
      </c>
      <c r="L1208" t="s">
        <v>51</v>
      </c>
      <c r="M1208">
        <v>0</v>
      </c>
      <c r="N1208" t="s">
        <v>57</v>
      </c>
      <c r="O1208">
        <v>1</v>
      </c>
      <c r="P1208" t="s">
        <v>53</v>
      </c>
      <c r="Q1208" s="2">
        <v>0.53263888888888888</v>
      </c>
      <c r="R1208">
        <f>0.0011160053*3600</f>
        <v>4.0176190800000002</v>
      </c>
      <c r="S1208">
        <f>0.0029880726*3600</f>
        <v>10.75706136</v>
      </c>
    </row>
    <row r="1209" spans="1:19" x14ac:dyDescent="0.3">
      <c r="A1209" s="4" t="s">
        <v>47</v>
      </c>
      <c r="B1209" s="10" t="s">
        <v>359</v>
      </c>
      <c r="C1209">
        <v>98.564875000000001</v>
      </c>
      <c r="D1209">
        <v>299.73456900000002</v>
      </c>
      <c r="E1209">
        <v>13.1275</v>
      </c>
      <c r="F1209">
        <v>13.1251</v>
      </c>
      <c r="G1209">
        <v>0.23899999999999999</v>
      </c>
      <c r="H1209">
        <v>0</v>
      </c>
      <c r="I1209">
        <f>IF(D1209&lt;200,1,2)</f>
        <v>2</v>
      </c>
      <c r="J1209" t="s">
        <v>0</v>
      </c>
      <c r="K1209" t="s">
        <v>50</v>
      </c>
      <c r="L1209" t="s">
        <v>51</v>
      </c>
      <c r="M1209">
        <v>0</v>
      </c>
      <c r="N1209" t="s">
        <v>57</v>
      </c>
      <c r="O1209">
        <v>1</v>
      </c>
      <c r="P1209" t="s">
        <v>53</v>
      </c>
      <c r="Q1209" s="2">
        <v>0.53263888888888888</v>
      </c>
      <c r="R1209">
        <f>0.0009851969*3600</f>
        <v>3.5467088399999995</v>
      </c>
      <c r="S1209">
        <f>0.0030325961*3600</f>
        <v>10.917345959999999</v>
      </c>
    </row>
    <row r="1210" spans="1:19" x14ac:dyDescent="0.3">
      <c r="A1210" s="4" t="s">
        <v>47</v>
      </c>
      <c r="B1210" s="10" t="s">
        <v>359</v>
      </c>
      <c r="C1210">
        <v>98.564650999999998</v>
      </c>
      <c r="D1210">
        <v>299.734511</v>
      </c>
      <c r="E1210">
        <v>13.1275</v>
      </c>
      <c r="F1210">
        <v>13.1251</v>
      </c>
      <c r="G1210">
        <v>0.23899999999999999</v>
      </c>
      <c r="H1210">
        <v>0</v>
      </c>
      <c r="I1210">
        <f t="shared" ref="I1210:I1215" si="2">IF(D1210&lt;200,1,2)</f>
        <v>2</v>
      </c>
      <c r="J1210" t="s">
        <v>0</v>
      </c>
      <c r="K1210" t="s">
        <v>50</v>
      </c>
      <c r="L1210" t="s">
        <v>51</v>
      </c>
      <c r="M1210">
        <v>0</v>
      </c>
      <c r="N1210" t="s">
        <v>57</v>
      </c>
      <c r="O1210">
        <v>1</v>
      </c>
      <c r="P1210" t="s">
        <v>53</v>
      </c>
      <c r="Q1210" s="2">
        <v>0.53263888888888888</v>
      </c>
      <c r="R1210">
        <f>-0.0009494531*3600</f>
        <v>-3.41803116</v>
      </c>
      <c r="S1210">
        <f>-0.0026968886*3600</f>
        <v>-9.7087989599999993</v>
      </c>
    </row>
    <row r="1211" spans="1:19" x14ac:dyDescent="0.3">
      <c r="A1211" s="4" t="s">
        <v>47</v>
      </c>
      <c r="B1211" s="10" t="s">
        <v>359</v>
      </c>
      <c r="C1211">
        <v>98.565036000000006</v>
      </c>
      <c r="D1211">
        <v>299.73455200000001</v>
      </c>
      <c r="E1211">
        <v>13.1275</v>
      </c>
      <c r="F1211">
        <v>13.1251</v>
      </c>
      <c r="G1211">
        <v>0.23899999999999999</v>
      </c>
      <c r="H1211">
        <v>0</v>
      </c>
      <c r="I1211">
        <f t="shared" si="2"/>
        <v>2</v>
      </c>
      <c r="J1211" t="s">
        <v>0</v>
      </c>
      <c r="K1211" t="s">
        <v>50</v>
      </c>
      <c r="L1211" t="s">
        <v>51</v>
      </c>
      <c r="M1211">
        <v>0</v>
      </c>
      <c r="N1211" t="s">
        <v>57</v>
      </c>
      <c r="O1211">
        <v>1</v>
      </c>
      <c r="P1211" t="s">
        <v>53</v>
      </c>
      <c r="Q1211" s="2">
        <v>0.53263888888888888</v>
      </c>
      <c r="R1211">
        <f>-0.0010613434*3600</f>
        <v>-3.8208362400000002</v>
      </c>
      <c r="S1211">
        <f>-0.0026292434*3600</f>
        <v>-9.4652762399999997</v>
      </c>
    </row>
    <row r="1212" spans="1:19" x14ac:dyDescent="0.3">
      <c r="A1212" s="4" t="s">
        <v>47</v>
      </c>
      <c r="B1212" s="10" t="s">
        <v>359</v>
      </c>
      <c r="C1212">
        <v>98.564993000000001</v>
      </c>
      <c r="D1212">
        <v>299.73441100000002</v>
      </c>
      <c r="E1212">
        <v>13.1275</v>
      </c>
      <c r="F1212">
        <v>13.1251</v>
      </c>
      <c r="G1212">
        <v>0.23899999999999999</v>
      </c>
      <c r="H1212">
        <v>0</v>
      </c>
      <c r="I1212">
        <f t="shared" si="2"/>
        <v>2</v>
      </c>
      <c r="J1212" t="s">
        <v>0</v>
      </c>
      <c r="K1212" t="s">
        <v>50</v>
      </c>
      <c r="L1212" t="s">
        <v>51</v>
      </c>
      <c r="M1212">
        <v>0</v>
      </c>
      <c r="N1212" t="s">
        <v>57</v>
      </c>
      <c r="O1212">
        <v>1</v>
      </c>
      <c r="P1212" t="s">
        <v>53</v>
      </c>
      <c r="Q1212" s="2">
        <v>0.53263888888888888</v>
      </c>
      <c r="R1212">
        <f>-0.0011833982*3600</f>
        <v>-4.2602335199999999</v>
      </c>
      <c r="S1212">
        <f>-0.0026022476*3600</f>
        <v>-9.3680913599999993</v>
      </c>
    </row>
    <row r="1213" spans="1:19" x14ac:dyDescent="0.3">
      <c r="A1213" s="4" t="s">
        <v>47</v>
      </c>
      <c r="B1213" s="10" t="s">
        <v>359</v>
      </c>
      <c r="C1213">
        <v>98.565663999999998</v>
      </c>
      <c r="D1213">
        <v>299.73452600000002</v>
      </c>
      <c r="E1213">
        <v>13.1275</v>
      </c>
      <c r="F1213">
        <v>13.1251</v>
      </c>
      <c r="G1213">
        <v>0.23899999999999999</v>
      </c>
      <c r="H1213">
        <v>0</v>
      </c>
      <c r="I1213">
        <f t="shared" si="2"/>
        <v>2</v>
      </c>
      <c r="J1213" t="s">
        <v>0</v>
      </c>
      <c r="K1213" t="s">
        <v>50</v>
      </c>
      <c r="L1213" t="s">
        <v>51</v>
      </c>
      <c r="M1213">
        <v>0</v>
      </c>
      <c r="N1213" t="s">
        <v>57</v>
      </c>
      <c r="O1213">
        <v>1</v>
      </c>
      <c r="P1213" t="s">
        <v>53</v>
      </c>
      <c r="Q1213" s="2">
        <v>0.53263888888888888</v>
      </c>
      <c r="R1213">
        <f>0.0016011202*3600</f>
        <v>5.7640327200000003</v>
      </c>
      <c r="S1213">
        <f>0.0029102942*3600</f>
        <v>10.47705912</v>
      </c>
    </row>
    <row r="1214" spans="1:19" x14ac:dyDescent="0.3">
      <c r="A1214" s="4" t="s">
        <v>47</v>
      </c>
      <c r="B1214" s="10" t="s">
        <v>359</v>
      </c>
      <c r="C1214">
        <v>98.565337</v>
      </c>
      <c r="D1214">
        <v>299.69077900000002</v>
      </c>
      <c r="E1214">
        <v>13.127599999999999</v>
      </c>
      <c r="F1214">
        <v>13.1252</v>
      </c>
      <c r="G1214">
        <v>0.23899999999999999</v>
      </c>
      <c r="H1214">
        <v>0</v>
      </c>
      <c r="I1214">
        <f t="shared" si="2"/>
        <v>2</v>
      </c>
      <c r="J1214" t="s">
        <v>0</v>
      </c>
      <c r="K1214" t="s">
        <v>50</v>
      </c>
      <c r="L1214" t="s">
        <v>51</v>
      </c>
      <c r="M1214">
        <v>0</v>
      </c>
      <c r="N1214" t="s">
        <v>57</v>
      </c>
      <c r="O1214">
        <v>1</v>
      </c>
      <c r="P1214" t="s">
        <v>53</v>
      </c>
      <c r="Q1214" s="2">
        <v>0.53333333333333333</v>
      </c>
      <c r="R1214">
        <f>-0.0015801167*3600</f>
        <v>-5.68842012</v>
      </c>
      <c r="S1214">
        <f>-0.0027365043*3600</f>
        <v>-9.85141548</v>
      </c>
    </row>
    <row r="1215" spans="1:19" x14ac:dyDescent="0.3">
      <c r="A1215" s="4" t="s">
        <v>47</v>
      </c>
      <c r="B1215" s="10" t="s">
        <v>359</v>
      </c>
      <c r="C1215">
        <v>98.564895000000007</v>
      </c>
      <c r="D1215">
        <v>299.71445499999999</v>
      </c>
      <c r="E1215">
        <v>13.127599999999999</v>
      </c>
      <c r="F1215">
        <v>13.1252</v>
      </c>
      <c r="G1215">
        <v>0.23899999999999999</v>
      </c>
      <c r="H1215">
        <v>0</v>
      </c>
      <c r="I1215">
        <f t="shared" si="2"/>
        <v>2</v>
      </c>
      <c r="J1215" t="s">
        <v>0</v>
      </c>
      <c r="K1215" t="s">
        <v>50</v>
      </c>
      <c r="L1215" t="s">
        <v>51</v>
      </c>
      <c r="M1215">
        <v>0</v>
      </c>
      <c r="N1215" t="s">
        <v>57</v>
      </c>
      <c r="O1215">
        <v>1</v>
      </c>
      <c r="P1215" t="s">
        <v>53</v>
      </c>
      <c r="Q1215" s="2">
        <v>0.53333333333333333</v>
      </c>
      <c r="R1215">
        <f>0.0011917315*3600</f>
        <v>4.2902334</v>
      </c>
      <c r="S1215">
        <f>0.0030743851*3600</f>
        <v>11.067786359999999</v>
      </c>
    </row>
    <row r="1216" spans="1:19" x14ac:dyDescent="0.3">
      <c r="A1216" s="4" t="s">
        <v>47</v>
      </c>
      <c r="B1216" s="12" t="s">
        <v>49</v>
      </c>
      <c r="C1216">
        <v>88.408033000000003</v>
      </c>
      <c r="D1216">
        <v>98.213341</v>
      </c>
      <c r="E1216">
        <v>40.967500000000001</v>
      </c>
      <c r="F1216">
        <v>40.944400000000002</v>
      </c>
      <c r="G1216">
        <v>0.23899999999999999</v>
      </c>
      <c r="H1216">
        <v>0.245</v>
      </c>
      <c r="J1216" t="s">
        <v>0</v>
      </c>
      <c r="K1216" t="s">
        <v>50</v>
      </c>
      <c r="L1216" t="s">
        <v>51</v>
      </c>
      <c r="M1216">
        <v>0</v>
      </c>
      <c r="N1216" t="s">
        <v>57</v>
      </c>
      <c r="O1216">
        <v>1</v>
      </c>
      <c r="P1216" t="s">
        <v>53</v>
      </c>
      <c r="Q1216" s="2">
        <v>0.53333333333333333</v>
      </c>
      <c r="R1216">
        <f>0.0011377044*3600</f>
        <v>4.0957358399999997</v>
      </c>
      <c r="S1216">
        <f>0.0030920881*3600</f>
        <v>11.13151716</v>
      </c>
    </row>
    <row r="1217" spans="1:19" x14ac:dyDescent="0.3">
      <c r="A1217" s="4" t="s">
        <v>47</v>
      </c>
      <c r="B1217" s="12" t="s">
        <v>49</v>
      </c>
      <c r="C1217">
        <v>288.40669200000002</v>
      </c>
      <c r="D1217">
        <v>301.786721</v>
      </c>
      <c r="E1217">
        <v>40.967599999999997</v>
      </c>
      <c r="F1217">
        <v>40.944400000000002</v>
      </c>
      <c r="G1217">
        <v>0.23899999999999999</v>
      </c>
      <c r="H1217">
        <v>0.245</v>
      </c>
      <c r="J1217" t="s">
        <v>0</v>
      </c>
      <c r="K1217" t="s">
        <v>50</v>
      </c>
      <c r="L1217" t="s">
        <v>51</v>
      </c>
      <c r="M1217">
        <v>0</v>
      </c>
      <c r="N1217" t="s">
        <v>57</v>
      </c>
      <c r="O1217">
        <v>1</v>
      </c>
      <c r="P1217" t="s">
        <v>53</v>
      </c>
      <c r="Q1217" s="2">
        <v>0.53333333333333333</v>
      </c>
      <c r="R1217">
        <f>0.0010244557*3600</f>
        <v>3.6880405200000004</v>
      </c>
      <c r="S1217">
        <f>0.0031944069*3600</f>
        <v>11.499864840000001</v>
      </c>
    </row>
    <row r="1218" spans="1:19" x14ac:dyDescent="0.3">
      <c r="A1218" s="4" t="s">
        <v>47</v>
      </c>
      <c r="B1218" s="12" t="s">
        <v>49</v>
      </c>
      <c r="C1218">
        <v>88.407410999999996</v>
      </c>
      <c r="D1218">
        <v>98.213267999999999</v>
      </c>
      <c r="E1218">
        <v>40.967599999999997</v>
      </c>
      <c r="F1218">
        <v>40.944400000000002</v>
      </c>
      <c r="G1218">
        <v>0.23899999999999999</v>
      </c>
      <c r="H1218">
        <v>0.245</v>
      </c>
      <c r="J1218" t="s">
        <v>0</v>
      </c>
      <c r="K1218" t="s">
        <v>50</v>
      </c>
      <c r="L1218" t="s">
        <v>51</v>
      </c>
      <c r="M1218">
        <v>0</v>
      </c>
      <c r="N1218" t="s">
        <v>57</v>
      </c>
      <c r="O1218">
        <v>1</v>
      </c>
      <c r="P1218" t="s">
        <v>53</v>
      </c>
      <c r="Q1218" s="2">
        <v>0.53333333333333333</v>
      </c>
      <c r="R1218">
        <f>-0.0010058396*3600</f>
        <v>-3.6210225599999997</v>
      </c>
      <c r="S1218">
        <f>-0.0027002635*3600</f>
        <v>-9.7209485999999998</v>
      </c>
    </row>
    <row r="1219" spans="1:19" x14ac:dyDescent="0.3">
      <c r="A1219" s="4" t="s">
        <v>47</v>
      </c>
      <c r="B1219" s="12" t="s">
        <v>49</v>
      </c>
      <c r="C1219">
        <v>288.40695299999999</v>
      </c>
      <c r="D1219">
        <v>301.78703899999999</v>
      </c>
      <c r="E1219">
        <v>40.967399999999998</v>
      </c>
      <c r="F1219">
        <v>40.944200000000002</v>
      </c>
      <c r="G1219">
        <v>0.23899999999999999</v>
      </c>
      <c r="H1219">
        <v>0.245</v>
      </c>
      <c r="J1219" t="s">
        <v>0</v>
      </c>
      <c r="K1219" t="s">
        <v>50</v>
      </c>
      <c r="L1219" t="s">
        <v>51</v>
      </c>
      <c r="M1219">
        <v>0</v>
      </c>
      <c r="N1219" t="s">
        <v>57</v>
      </c>
      <c r="O1219">
        <v>1</v>
      </c>
      <c r="P1219" t="s">
        <v>53</v>
      </c>
      <c r="Q1219" s="2">
        <v>0.53333333333333333</v>
      </c>
      <c r="R1219">
        <f>-0.0010976629*3600</f>
        <v>-3.9515864399999998</v>
      </c>
      <c r="S1219">
        <f>-0.0026582232*3600</f>
        <v>-9.5696035199999994</v>
      </c>
    </row>
    <row r="1220" spans="1:19" x14ac:dyDescent="0.3">
      <c r="A1220" s="4" t="s">
        <v>47</v>
      </c>
      <c r="B1220" s="12" t="s">
        <v>49</v>
      </c>
      <c r="C1220">
        <v>88.407492000000005</v>
      </c>
      <c r="D1220">
        <v>98.213431999999997</v>
      </c>
      <c r="E1220">
        <v>40.967599999999997</v>
      </c>
      <c r="F1220">
        <v>40.944499999999998</v>
      </c>
      <c r="G1220">
        <v>0.23899999999999999</v>
      </c>
      <c r="H1220">
        <v>0.245</v>
      </c>
      <c r="J1220" t="s">
        <v>0</v>
      </c>
      <c r="K1220" t="s">
        <v>50</v>
      </c>
      <c r="L1220" t="s">
        <v>51</v>
      </c>
      <c r="M1220">
        <v>0</v>
      </c>
      <c r="N1220" t="s">
        <v>57</v>
      </c>
      <c r="O1220">
        <v>1</v>
      </c>
      <c r="P1220" t="s">
        <v>53</v>
      </c>
      <c r="Q1220" s="2">
        <v>0.53333333333333333</v>
      </c>
      <c r="R1220">
        <f>-0.0011452361*3600</f>
        <v>-4.1228499599999999</v>
      </c>
      <c r="S1220">
        <f>-0.0026392724*3600</f>
        <v>-9.5013806399999989</v>
      </c>
    </row>
    <row r="1221" spans="1:19" x14ac:dyDescent="0.3">
      <c r="A1221" s="4" t="s">
        <v>47</v>
      </c>
      <c r="B1221" s="12" t="s">
        <v>49</v>
      </c>
      <c r="C1221">
        <v>288.40664500000003</v>
      </c>
      <c r="D1221">
        <v>301.78680300000002</v>
      </c>
      <c r="E1221">
        <v>40.967500000000001</v>
      </c>
      <c r="F1221">
        <v>40.944299999999998</v>
      </c>
      <c r="G1221">
        <v>0.23899999999999999</v>
      </c>
      <c r="H1221">
        <v>0.245</v>
      </c>
      <c r="J1221" t="s">
        <v>0</v>
      </c>
      <c r="K1221" t="s">
        <v>50</v>
      </c>
      <c r="L1221" t="s">
        <v>51</v>
      </c>
      <c r="M1221">
        <v>0</v>
      </c>
      <c r="N1221" t="s">
        <v>57</v>
      </c>
      <c r="O1221">
        <v>1</v>
      </c>
      <c r="P1221" t="s">
        <v>53</v>
      </c>
      <c r="Q1221" s="2">
        <v>0.53333333333333333</v>
      </c>
      <c r="R1221">
        <f>0.0016630823*3600</f>
        <v>5.9870962800000003</v>
      </c>
      <c r="S1221">
        <f>0.0030093354*3600</f>
        <v>10.83360744</v>
      </c>
    </row>
    <row r="1222" spans="1:19" x14ac:dyDescent="0.3">
      <c r="A1222" s="4" t="s">
        <v>47</v>
      </c>
      <c r="B1222" s="12" t="s">
        <v>49</v>
      </c>
      <c r="C1222">
        <v>88.408608000000001</v>
      </c>
      <c r="D1222">
        <v>98.213277000000005</v>
      </c>
      <c r="E1222">
        <v>40.9679</v>
      </c>
      <c r="F1222">
        <v>40.944699999999997</v>
      </c>
      <c r="G1222">
        <v>0.23899999999999999</v>
      </c>
      <c r="H1222">
        <v>0.245</v>
      </c>
      <c r="J1222" t="s">
        <v>0</v>
      </c>
      <c r="K1222" t="s">
        <v>50</v>
      </c>
      <c r="L1222" t="s">
        <v>51</v>
      </c>
      <c r="M1222">
        <v>0</v>
      </c>
      <c r="N1222" t="s">
        <v>57</v>
      </c>
      <c r="O1222">
        <v>1</v>
      </c>
      <c r="P1222" t="s">
        <v>53</v>
      </c>
      <c r="Q1222" s="2">
        <v>0.53333333333333333</v>
      </c>
      <c r="R1222">
        <f>-0.0016375231*3600</f>
        <v>-5.8950831599999995</v>
      </c>
      <c r="S1222">
        <f>-0.0027601569*3600</f>
        <v>-9.9365648400000008</v>
      </c>
    </row>
    <row r="1223" spans="1:19" x14ac:dyDescent="0.3">
      <c r="A1223" s="4" t="s">
        <v>47</v>
      </c>
      <c r="B1223" s="12" t="s">
        <v>49</v>
      </c>
      <c r="C1223">
        <v>288.40780599999999</v>
      </c>
      <c r="D1223">
        <v>301.78666800000002</v>
      </c>
      <c r="E1223">
        <v>40.967799999999997</v>
      </c>
      <c r="F1223">
        <v>40.944600000000001</v>
      </c>
      <c r="G1223">
        <v>0.23899999999999999</v>
      </c>
      <c r="H1223">
        <v>0.245</v>
      </c>
      <c r="J1223" t="s">
        <v>0</v>
      </c>
      <c r="K1223" t="s">
        <v>50</v>
      </c>
      <c r="L1223" t="s">
        <v>51</v>
      </c>
      <c r="M1223">
        <v>0</v>
      </c>
      <c r="N1223" t="s">
        <v>57</v>
      </c>
      <c r="O1223">
        <v>1</v>
      </c>
      <c r="P1223" t="s">
        <v>53</v>
      </c>
      <c r="Q1223" s="2">
        <v>0.53402777777777777</v>
      </c>
      <c r="R1223">
        <f>0.0011936656*3600</f>
        <v>4.2971961600000004</v>
      </c>
      <c r="S1223">
        <f>0.003060563*3600</f>
        <v>11.018026799999999</v>
      </c>
    </row>
    <row r="1224" spans="1:19" x14ac:dyDescent="0.3">
      <c r="A1224" s="4" t="s">
        <v>47</v>
      </c>
      <c r="B1224" s="12" t="s">
        <v>49</v>
      </c>
      <c r="C1224">
        <v>88.408603999999997</v>
      </c>
      <c r="D1224">
        <v>98.213241999999994</v>
      </c>
      <c r="E1224">
        <v>40.9679</v>
      </c>
      <c r="F1224">
        <v>40.944699999999997</v>
      </c>
      <c r="G1224">
        <v>0.23899999999999999</v>
      </c>
      <c r="H1224">
        <v>0.245</v>
      </c>
      <c r="J1224" t="s">
        <v>0</v>
      </c>
      <c r="K1224" t="s">
        <v>50</v>
      </c>
      <c r="L1224" t="s">
        <v>51</v>
      </c>
      <c r="M1224">
        <v>0</v>
      </c>
      <c r="N1224" t="s">
        <v>57</v>
      </c>
      <c r="O1224">
        <v>1</v>
      </c>
      <c r="P1224" t="s">
        <v>53</v>
      </c>
      <c r="Q1224" s="2">
        <v>0.53402777777777777</v>
      </c>
      <c r="R1224">
        <f>0.0012320986*3600</f>
        <v>4.4355549600000002</v>
      </c>
      <c r="S1224">
        <f>0.0031548174*3600</f>
        <v>11.357342640000001</v>
      </c>
    </row>
    <row r="1225" spans="1:19" x14ac:dyDescent="0.3">
      <c r="A1225" s="4" t="s">
        <v>47</v>
      </c>
      <c r="B1225" s="12" t="s">
        <v>49</v>
      </c>
      <c r="C1225">
        <v>288.40771599999999</v>
      </c>
      <c r="D1225">
        <v>301.78662500000002</v>
      </c>
      <c r="E1225">
        <v>40.967700000000001</v>
      </c>
      <c r="F1225">
        <v>40.944600000000001</v>
      </c>
      <c r="G1225">
        <v>0.23899999999999999</v>
      </c>
      <c r="H1225">
        <v>0.245</v>
      </c>
      <c r="J1225" t="s">
        <v>0</v>
      </c>
      <c r="K1225" t="s">
        <v>50</v>
      </c>
      <c r="L1225" t="s">
        <v>51</v>
      </c>
      <c r="M1225">
        <v>0</v>
      </c>
      <c r="N1225" t="s">
        <v>57</v>
      </c>
      <c r="O1225">
        <v>1</v>
      </c>
      <c r="P1225" t="s">
        <v>53</v>
      </c>
      <c r="Q1225" s="2">
        <v>0.53402777777777777</v>
      </c>
      <c r="R1225">
        <f>0.0011284211*3600</f>
        <v>4.0623159599999994</v>
      </c>
      <c r="S1225">
        <f>0.0032156091*3600</f>
        <v>11.57619276</v>
      </c>
    </row>
    <row r="1226" spans="1:19" x14ac:dyDescent="0.3">
      <c r="A1226" s="4" t="s">
        <v>47</v>
      </c>
      <c r="B1226" s="12" t="s">
        <v>49</v>
      </c>
      <c r="C1226">
        <v>88.408522000000005</v>
      </c>
      <c r="D1226">
        <v>98.213352</v>
      </c>
      <c r="E1226">
        <v>40.967799999999997</v>
      </c>
      <c r="F1226">
        <v>40.944699999999997</v>
      </c>
      <c r="G1226">
        <v>0.23899999999999999</v>
      </c>
      <c r="H1226">
        <v>0.245</v>
      </c>
      <c r="J1226" t="s">
        <v>0</v>
      </c>
      <c r="K1226" t="s">
        <v>50</v>
      </c>
      <c r="L1226" t="s">
        <v>51</v>
      </c>
      <c r="M1226">
        <v>0</v>
      </c>
      <c r="N1226" t="s">
        <v>57</v>
      </c>
      <c r="O1226">
        <v>1</v>
      </c>
      <c r="P1226" t="s">
        <v>53</v>
      </c>
      <c r="Q1226" s="2">
        <v>0.53402777777777777</v>
      </c>
      <c r="R1226">
        <f>-0.0010078948*3600</f>
        <v>-3.6284212799999995</v>
      </c>
      <c r="S1226">
        <f>-0.002714571*3600</f>
        <v>-9.7724555999999989</v>
      </c>
    </row>
    <row r="1227" spans="1:19" x14ac:dyDescent="0.3">
      <c r="A1227" s="4" t="s">
        <v>47</v>
      </c>
      <c r="B1227" s="12" t="s">
        <v>49</v>
      </c>
      <c r="C1227">
        <v>288.40755999999999</v>
      </c>
      <c r="D1227">
        <v>301.786587</v>
      </c>
      <c r="E1227">
        <v>40.967500000000001</v>
      </c>
      <c r="F1227">
        <v>40.944400000000002</v>
      </c>
      <c r="G1227">
        <v>0.23899999999999999</v>
      </c>
      <c r="H1227">
        <v>0.245</v>
      </c>
      <c r="J1227" t="s">
        <v>0</v>
      </c>
      <c r="K1227" t="s">
        <v>50</v>
      </c>
      <c r="L1227" t="s">
        <v>51</v>
      </c>
      <c r="M1227">
        <v>0</v>
      </c>
      <c r="N1227" t="s">
        <v>57</v>
      </c>
      <c r="O1227">
        <v>1</v>
      </c>
      <c r="P1227" t="s">
        <v>53</v>
      </c>
      <c r="Q1227" s="2">
        <v>0.53402777777777777</v>
      </c>
      <c r="R1227">
        <f>-0.0011713562*3600</f>
        <v>-4.2168823199999999</v>
      </c>
      <c r="S1227">
        <f>-0.0027128343*3600</f>
        <v>-9.7662034799999997</v>
      </c>
    </row>
    <row r="1228" spans="1:19" x14ac:dyDescent="0.3">
      <c r="A1228" s="4" t="s">
        <v>47</v>
      </c>
      <c r="B1228" s="4" t="s">
        <v>344</v>
      </c>
      <c r="C1228">
        <v>298.558807</v>
      </c>
      <c r="D1228">
        <v>100.524776</v>
      </c>
      <c r="E1228">
        <v>15.169499999999999</v>
      </c>
      <c r="F1228">
        <v>15.166399999999999</v>
      </c>
      <c r="G1228">
        <v>0.23899999999999999</v>
      </c>
      <c r="H1228">
        <v>0</v>
      </c>
      <c r="J1228" t="s">
        <v>0</v>
      </c>
      <c r="K1228" t="s">
        <v>50</v>
      </c>
      <c r="L1228" t="s">
        <v>51</v>
      </c>
      <c r="M1228">
        <v>0</v>
      </c>
      <c r="N1228" t="s">
        <v>57</v>
      </c>
      <c r="O1228">
        <v>1</v>
      </c>
      <c r="P1228" t="s">
        <v>53</v>
      </c>
      <c r="Q1228" s="2">
        <v>0.53402777777777777</v>
      </c>
      <c r="R1228">
        <f>-0.0012121716*3600</f>
        <v>-4.3638177599999999</v>
      </c>
      <c r="S1228">
        <f>-0.0026732548*3600</f>
        <v>-9.623717280000001</v>
      </c>
    </row>
    <row r="1229" spans="1:19" x14ac:dyDescent="0.3">
      <c r="A1229" s="4" t="s">
        <v>47</v>
      </c>
      <c r="B1229" s="4" t="s">
        <v>345</v>
      </c>
      <c r="C1229">
        <v>298.55867999999998</v>
      </c>
      <c r="D1229">
        <v>100.525064</v>
      </c>
      <c r="E1229">
        <v>15.169499999999999</v>
      </c>
      <c r="F1229">
        <v>15.166399999999999</v>
      </c>
      <c r="G1229">
        <v>0.23899999999999999</v>
      </c>
      <c r="H1229">
        <v>0</v>
      </c>
      <c r="J1229" t="s">
        <v>0</v>
      </c>
      <c r="K1229" t="s">
        <v>50</v>
      </c>
      <c r="L1229" t="s">
        <v>51</v>
      </c>
      <c r="M1229">
        <v>0</v>
      </c>
      <c r="N1229" t="s">
        <v>57</v>
      </c>
      <c r="O1229">
        <v>1</v>
      </c>
      <c r="P1229" t="s">
        <v>53</v>
      </c>
      <c r="Q1229" s="2">
        <v>0.53402777777777777</v>
      </c>
      <c r="R1229">
        <f>0.0016648817*3600</f>
        <v>5.9935741199999999</v>
      </c>
      <c r="S1229">
        <f>0.0030570964*3600</f>
        <v>11.00554704</v>
      </c>
    </row>
    <row r="1230" spans="1:19" x14ac:dyDescent="0.3">
      <c r="A1230" t="s">
        <v>29</v>
      </c>
      <c r="B1230">
        <v>18</v>
      </c>
      <c r="C1230" t="s">
        <v>30</v>
      </c>
      <c r="D1230" s="3">
        <v>0.86</v>
      </c>
      <c r="E1230" t="s">
        <v>31</v>
      </c>
      <c r="F1230" t="s">
        <v>32</v>
      </c>
      <c r="G1230" t="s">
        <v>33</v>
      </c>
      <c r="H1230" t="s">
        <v>34</v>
      </c>
    </row>
    <row r="1231" spans="1:19" x14ac:dyDescent="0.3">
      <c r="A1231" t="s">
        <v>35</v>
      </c>
      <c r="B1231" t="s">
        <v>54</v>
      </c>
      <c r="C1231" t="s">
        <v>35</v>
      </c>
      <c r="D1231" t="s">
        <v>55</v>
      </c>
    </row>
    <row r="1232" spans="1:19" x14ac:dyDescent="0.3">
      <c r="A1232" t="s">
        <v>38</v>
      </c>
      <c r="B1232" t="s">
        <v>39</v>
      </c>
      <c r="C1232">
        <v>0.13</v>
      </c>
    </row>
    <row r="1234" spans="1:18" x14ac:dyDescent="0.3">
      <c r="A1234" t="s">
        <v>29</v>
      </c>
      <c r="B1234">
        <v>18</v>
      </c>
      <c r="C1234" t="s">
        <v>30</v>
      </c>
      <c r="D1234" s="3">
        <v>0.86</v>
      </c>
      <c r="E1234" t="s">
        <v>31</v>
      </c>
      <c r="F1234" t="s">
        <v>32</v>
      </c>
      <c r="G1234" t="s">
        <v>33</v>
      </c>
      <c r="H1234" t="s">
        <v>34</v>
      </c>
    </row>
    <row r="1235" spans="1:18" x14ac:dyDescent="0.3">
      <c r="A1235" t="s">
        <v>35</v>
      </c>
      <c r="B1235" t="s">
        <v>54</v>
      </c>
      <c r="C1235" t="s">
        <v>35</v>
      </c>
      <c r="D1235" t="s">
        <v>55</v>
      </c>
    </row>
    <row r="1236" spans="1:18" x14ac:dyDescent="0.3">
      <c r="A1236" t="s">
        <v>38</v>
      </c>
      <c r="B1236" t="s">
        <v>39</v>
      </c>
      <c r="C1236">
        <v>0.13</v>
      </c>
    </row>
    <row r="1238" spans="1:18" x14ac:dyDescent="0.3">
      <c r="A1238" t="s">
        <v>47</v>
      </c>
      <c r="B1238" s="4" t="s">
        <v>356</v>
      </c>
      <c r="C1238">
        <v>298.06122299999998</v>
      </c>
      <c r="D1238">
        <v>101.82034</v>
      </c>
      <c r="E1238">
        <v>1.4819</v>
      </c>
      <c r="F1238">
        <v>1.4810000000000001</v>
      </c>
      <c r="G1238">
        <v>0.23899999999999999</v>
      </c>
      <c r="H1238">
        <v>0</v>
      </c>
      <c r="I1238">
        <v>1</v>
      </c>
      <c r="J1238" t="s">
        <v>0</v>
      </c>
      <c r="K1238" t="s">
        <v>61</v>
      </c>
      <c r="L1238">
        <v>3.4000000000000002E-2</v>
      </c>
      <c r="M1238" t="s">
        <v>52</v>
      </c>
      <c r="N1238">
        <v>1</v>
      </c>
      <c r="O1238" t="s">
        <v>53</v>
      </c>
      <c r="P1238" s="2">
        <v>0.53749999999999998</v>
      </c>
      <c r="Q1238">
        <f>0.0009897156*3600</f>
        <v>3.5629761599999998</v>
      </c>
      <c r="R1238">
        <f>0.0032837327*3600</f>
        <v>11.82143772</v>
      </c>
    </row>
    <row r="1239" spans="1:18" x14ac:dyDescent="0.3">
      <c r="A1239" t="s">
        <v>47</v>
      </c>
      <c r="B1239" s="4" t="s">
        <v>356</v>
      </c>
      <c r="C1239">
        <v>298.06031400000001</v>
      </c>
      <c r="D1239">
        <v>78.626306</v>
      </c>
      <c r="E1239">
        <v>1.4819</v>
      </c>
      <c r="F1239">
        <v>1.4810000000000001</v>
      </c>
      <c r="G1239">
        <v>0.23899999999999999</v>
      </c>
      <c r="H1239">
        <v>0</v>
      </c>
      <c r="I1239">
        <v>1</v>
      </c>
      <c r="J1239" t="s">
        <v>0</v>
      </c>
      <c r="K1239" t="s">
        <v>61</v>
      </c>
      <c r="L1239">
        <v>0</v>
      </c>
      <c r="M1239" t="s">
        <v>52</v>
      </c>
      <c r="N1239">
        <v>1</v>
      </c>
      <c r="O1239" t="s">
        <v>63</v>
      </c>
      <c r="P1239" s="2">
        <v>0.53749999999999998</v>
      </c>
      <c r="Q1239">
        <f>0.0011003775*3600</f>
        <v>3.9613589999999999</v>
      </c>
      <c r="R1239">
        <f>0.0035490272*3600</f>
        <v>12.776497919999999</v>
      </c>
    </row>
    <row r="1240" spans="1:18" x14ac:dyDescent="0.3">
      <c r="A1240" t="s">
        <v>47</v>
      </c>
      <c r="B1240" s="4" t="s">
        <v>356</v>
      </c>
      <c r="C1240">
        <v>298.06222100000002</v>
      </c>
      <c r="D1240">
        <v>78.626301999999995</v>
      </c>
      <c r="E1240">
        <v>1.4819</v>
      </c>
      <c r="F1240">
        <v>1.4810000000000001</v>
      </c>
      <c r="G1240">
        <v>0.23899999999999999</v>
      </c>
      <c r="H1240">
        <v>0</v>
      </c>
      <c r="I1240">
        <v>1</v>
      </c>
      <c r="J1240" t="s">
        <v>0</v>
      </c>
      <c r="K1240" t="s">
        <v>61</v>
      </c>
      <c r="L1240">
        <v>0</v>
      </c>
      <c r="M1240" t="s">
        <v>52</v>
      </c>
      <c r="N1240">
        <v>1</v>
      </c>
      <c r="O1240" t="s">
        <v>63</v>
      </c>
      <c r="P1240" s="2">
        <v>0.53749999999999998</v>
      </c>
      <c r="Q1240">
        <f>0.0011235292*3600</f>
        <v>4.0447051199999997</v>
      </c>
      <c r="R1240">
        <f>0.0035262695*3600</f>
        <v>12.694570199999999</v>
      </c>
    </row>
    <row r="1241" spans="1:18" x14ac:dyDescent="0.3">
      <c r="A1241" t="s">
        <v>47</v>
      </c>
      <c r="B1241" s="4" t="s">
        <v>356</v>
      </c>
      <c r="C1241">
        <v>298.06321300000002</v>
      </c>
      <c r="D1241">
        <v>78.626329999999996</v>
      </c>
      <c r="E1241">
        <v>1.4819</v>
      </c>
      <c r="F1241">
        <v>1.4810000000000001</v>
      </c>
      <c r="G1241">
        <v>0.23899999999999999</v>
      </c>
      <c r="H1241">
        <v>0</v>
      </c>
      <c r="I1241">
        <v>1</v>
      </c>
      <c r="J1241" t="s">
        <v>0</v>
      </c>
      <c r="K1241" t="s">
        <v>61</v>
      </c>
      <c r="L1241">
        <v>0</v>
      </c>
      <c r="M1241" t="s">
        <v>52</v>
      </c>
      <c r="N1241">
        <v>1</v>
      </c>
      <c r="O1241" t="s">
        <v>63</v>
      </c>
      <c r="P1241" s="2">
        <v>0.53749999999999998</v>
      </c>
      <c r="Q1241">
        <f>0.0011487028*3600</f>
        <v>4.1353300800000001</v>
      </c>
      <c r="R1241">
        <f>0.0035620671*3600</f>
        <v>12.823441559999999</v>
      </c>
    </row>
    <row r="1242" spans="1:18" x14ac:dyDescent="0.3">
      <c r="A1242" t="s">
        <v>47</v>
      </c>
      <c r="B1242" s="4" t="s">
        <v>356</v>
      </c>
      <c r="C1242">
        <v>298.06426699999997</v>
      </c>
      <c r="D1242">
        <v>78.626315000000005</v>
      </c>
      <c r="E1242">
        <v>1.4819</v>
      </c>
      <c r="F1242">
        <v>1.4810000000000001</v>
      </c>
      <c r="G1242">
        <v>0.23899999999999999</v>
      </c>
      <c r="H1242">
        <v>0</v>
      </c>
      <c r="I1242">
        <v>1</v>
      </c>
      <c r="J1242" t="s">
        <v>0</v>
      </c>
      <c r="K1242" t="s">
        <v>61</v>
      </c>
      <c r="L1242">
        <v>0</v>
      </c>
      <c r="M1242" t="s">
        <v>52</v>
      </c>
      <c r="N1242">
        <v>1</v>
      </c>
      <c r="O1242" t="s">
        <v>63</v>
      </c>
      <c r="P1242" s="2">
        <v>0.53749999999999998</v>
      </c>
      <c r="Q1242">
        <f>0.0011189919*3600</f>
        <v>4.02837084</v>
      </c>
      <c r="R1242">
        <f>0.0035238357*3600</f>
        <v>12.68580852</v>
      </c>
    </row>
    <row r="1243" spans="1:18" x14ac:dyDescent="0.3">
      <c r="A1243" t="s">
        <v>47</v>
      </c>
      <c r="B1243" s="4" t="s">
        <v>356</v>
      </c>
      <c r="C1243">
        <v>298.064526</v>
      </c>
      <c r="D1243">
        <v>78.626296999999994</v>
      </c>
      <c r="E1243">
        <v>1.4819</v>
      </c>
      <c r="F1243">
        <v>1.4810000000000001</v>
      </c>
      <c r="G1243">
        <v>0.23899999999999999</v>
      </c>
      <c r="H1243">
        <v>0</v>
      </c>
      <c r="I1243">
        <v>1</v>
      </c>
      <c r="J1243" t="s">
        <v>0</v>
      </c>
      <c r="K1243" t="s">
        <v>61</v>
      </c>
      <c r="L1243">
        <v>0</v>
      </c>
      <c r="M1243" t="s">
        <v>52</v>
      </c>
      <c r="N1243">
        <v>1</v>
      </c>
      <c r="O1243" t="s">
        <v>63</v>
      </c>
      <c r="P1243" s="2">
        <v>0.53749999999999998</v>
      </c>
      <c r="Q1243">
        <f>0.0009165062*3600</f>
        <v>3.2994223200000001</v>
      </c>
      <c r="R1243">
        <f>0.0035324057*3600</f>
        <v>12.71666052</v>
      </c>
    </row>
    <row r="1244" spans="1:18" x14ac:dyDescent="0.3">
      <c r="A1244" t="s">
        <v>47</v>
      </c>
      <c r="B1244" s="4" t="s">
        <v>356</v>
      </c>
      <c r="C1244">
        <v>298.06509499999999</v>
      </c>
      <c r="D1244">
        <v>78.626294000000001</v>
      </c>
      <c r="E1244">
        <v>1.4819</v>
      </c>
      <c r="F1244">
        <v>1.4810000000000001</v>
      </c>
      <c r="G1244">
        <v>0.23899999999999999</v>
      </c>
      <c r="H1244">
        <v>0</v>
      </c>
      <c r="I1244">
        <v>1</v>
      </c>
      <c r="J1244" t="s">
        <v>0</v>
      </c>
      <c r="K1244" t="s">
        <v>61</v>
      </c>
      <c r="L1244">
        <v>0</v>
      </c>
      <c r="M1244" t="s">
        <v>52</v>
      </c>
      <c r="N1244">
        <v>1</v>
      </c>
      <c r="O1244" t="s">
        <v>63</v>
      </c>
      <c r="P1244" s="2">
        <v>0.53749999999999998</v>
      </c>
      <c r="Q1244">
        <f>0.0010980339*3600</f>
        <v>3.9529220400000002</v>
      </c>
      <c r="R1244">
        <f>0.0034647199*3600</f>
        <v>12.47299164</v>
      </c>
    </row>
    <row r="1245" spans="1:18" x14ac:dyDescent="0.3">
      <c r="A1245" t="s">
        <v>47</v>
      </c>
      <c r="B1245" s="4" t="s">
        <v>356</v>
      </c>
      <c r="C1245">
        <v>298.066846</v>
      </c>
      <c r="D1245">
        <v>78.626330999999993</v>
      </c>
      <c r="E1245">
        <v>1.4819</v>
      </c>
      <c r="F1245">
        <v>1.4810000000000001</v>
      </c>
      <c r="G1245">
        <v>0.23899999999999999</v>
      </c>
      <c r="H1245">
        <v>0</v>
      </c>
      <c r="I1245">
        <v>1</v>
      </c>
      <c r="J1245" t="s">
        <v>0</v>
      </c>
      <c r="K1245" t="s">
        <v>61</v>
      </c>
      <c r="L1245">
        <v>0</v>
      </c>
      <c r="M1245" t="s">
        <v>52</v>
      </c>
      <c r="N1245">
        <v>1</v>
      </c>
      <c r="O1245" t="s">
        <v>63</v>
      </c>
      <c r="P1245" s="2">
        <v>0.53749999999999998</v>
      </c>
      <c r="Q1245">
        <f>0.0010596372*3600</f>
        <v>3.8146939200000003</v>
      </c>
      <c r="R1245">
        <f>0.0034933928*3600</f>
        <v>12.57621408</v>
      </c>
    </row>
    <row r="1246" spans="1:18" x14ac:dyDescent="0.3">
      <c r="A1246" t="s">
        <v>47</v>
      </c>
      <c r="B1246" s="4" t="s">
        <v>356</v>
      </c>
      <c r="C1246">
        <v>298.06746500000003</v>
      </c>
      <c r="D1246">
        <v>78.626225000000005</v>
      </c>
      <c r="E1246">
        <v>1.4819</v>
      </c>
      <c r="F1246">
        <v>1.4810000000000001</v>
      </c>
      <c r="G1246">
        <v>0.23899999999999999</v>
      </c>
      <c r="H1246">
        <v>0</v>
      </c>
      <c r="I1246">
        <v>1</v>
      </c>
      <c r="J1246" t="s">
        <v>0</v>
      </c>
      <c r="K1246" t="s">
        <v>61</v>
      </c>
      <c r="L1246">
        <v>0</v>
      </c>
      <c r="M1246" t="s">
        <v>52</v>
      </c>
      <c r="N1246">
        <v>1</v>
      </c>
      <c r="O1246" t="s">
        <v>63</v>
      </c>
      <c r="P1246" s="2">
        <v>0.53749999999999998</v>
      </c>
      <c r="Q1246">
        <f>0.0010583876*3600</f>
        <v>3.8101953600000003</v>
      </c>
      <c r="R1246">
        <f>0.0034163307*3600</f>
        <v>12.298790520000001</v>
      </c>
    </row>
    <row r="1247" spans="1:18" x14ac:dyDescent="0.3">
      <c r="A1247" t="s">
        <v>47</v>
      </c>
      <c r="B1247" s="4" t="s">
        <v>356</v>
      </c>
      <c r="C1247">
        <v>298.06766900000002</v>
      </c>
      <c r="D1247">
        <v>78.626439000000005</v>
      </c>
      <c r="E1247">
        <v>1.4819</v>
      </c>
      <c r="F1247">
        <v>1.4810000000000001</v>
      </c>
      <c r="G1247">
        <v>0.23899999999999999</v>
      </c>
      <c r="H1247">
        <v>0</v>
      </c>
      <c r="I1247">
        <v>1</v>
      </c>
      <c r="J1247" t="s">
        <v>0</v>
      </c>
      <c r="K1247" t="s">
        <v>61</v>
      </c>
      <c r="L1247">
        <v>0</v>
      </c>
      <c r="M1247" t="s">
        <v>52</v>
      </c>
      <c r="N1247">
        <v>1</v>
      </c>
      <c r="O1247" t="s">
        <v>63</v>
      </c>
      <c r="P1247" s="2">
        <v>0.53749999999999998</v>
      </c>
      <c r="Q1247">
        <f>0.0010032027*3600</f>
        <v>3.6115297199999996</v>
      </c>
      <c r="R1247">
        <f>0.0036127509*3600</f>
        <v>13.00590324</v>
      </c>
    </row>
    <row r="1248" spans="1:18" x14ac:dyDescent="0.3">
      <c r="A1248" t="s">
        <v>47</v>
      </c>
      <c r="B1248" s="4" t="s">
        <v>356</v>
      </c>
      <c r="C1248">
        <v>298.06764099999998</v>
      </c>
      <c r="D1248">
        <v>78.626351</v>
      </c>
      <c r="E1248">
        <v>1.4819</v>
      </c>
      <c r="F1248">
        <v>1.4810000000000001</v>
      </c>
      <c r="G1248">
        <v>0.23899999999999999</v>
      </c>
      <c r="H1248">
        <v>0</v>
      </c>
      <c r="I1248">
        <v>1</v>
      </c>
      <c r="J1248" t="s">
        <v>0</v>
      </c>
      <c r="K1248" t="s">
        <v>61</v>
      </c>
      <c r="L1248">
        <v>0</v>
      </c>
      <c r="M1248" t="s">
        <v>52</v>
      </c>
      <c r="N1248">
        <v>1</v>
      </c>
      <c r="O1248" t="s">
        <v>63</v>
      </c>
      <c r="P1248" s="2">
        <v>0.53749999999999998</v>
      </c>
      <c r="Q1248">
        <f>0.0012164471*3600</f>
        <v>4.3792095600000005</v>
      </c>
      <c r="R1248">
        <f>0.0035305879*3600</f>
        <v>12.71011644</v>
      </c>
    </row>
    <row r="1249" spans="1:18" x14ac:dyDescent="0.3">
      <c r="A1249" t="s">
        <v>47</v>
      </c>
      <c r="B1249" s="4" t="s">
        <v>356</v>
      </c>
      <c r="C1249">
        <v>298.06204700000001</v>
      </c>
      <c r="D1249">
        <v>78.626448999999994</v>
      </c>
      <c r="E1249">
        <v>1.4819</v>
      </c>
      <c r="F1249">
        <v>1.4810000000000001</v>
      </c>
      <c r="G1249">
        <v>0.23899999999999999</v>
      </c>
      <c r="H1249">
        <v>0</v>
      </c>
      <c r="I1249">
        <v>1</v>
      </c>
      <c r="J1249" t="s">
        <v>0</v>
      </c>
      <c r="K1249" t="s">
        <v>61</v>
      </c>
      <c r="L1249">
        <v>0</v>
      </c>
      <c r="M1249" t="s">
        <v>52</v>
      </c>
      <c r="N1249">
        <v>1</v>
      </c>
      <c r="O1249" t="s">
        <v>63</v>
      </c>
      <c r="P1249" s="2">
        <v>0.53819444444444442</v>
      </c>
      <c r="Q1249">
        <f>0.0011027695*3600</f>
        <v>3.9699701999999997</v>
      </c>
      <c r="R1249">
        <f>0.0036150853*3600</f>
        <v>13.01430708</v>
      </c>
    </row>
    <row r="1250" spans="1:18" x14ac:dyDescent="0.3">
      <c r="A1250" t="s">
        <v>47</v>
      </c>
      <c r="B1250" s="4" t="s">
        <v>356</v>
      </c>
      <c r="C1250">
        <v>298.062408</v>
      </c>
      <c r="D1250">
        <v>78.626459999999994</v>
      </c>
      <c r="E1250">
        <v>1.4819</v>
      </c>
      <c r="F1250">
        <v>1.4810000000000001</v>
      </c>
      <c r="G1250">
        <v>0.23899999999999999</v>
      </c>
      <c r="H1250">
        <v>0</v>
      </c>
      <c r="I1250">
        <v>1</v>
      </c>
      <c r="J1250" t="s">
        <v>0</v>
      </c>
      <c r="K1250" t="s">
        <v>61</v>
      </c>
      <c r="L1250">
        <v>0</v>
      </c>
      <c r="M1250" t="s">
        <v>52</v>
      </c>
      <c r="N1250">
        <v>1</v>
      </c>
      <c r="O1250" t="s">
        <v>63</v>
      </c>
      <c r="P1250" s="2">
        <v>0.53819444444444442</v>
      </c>
      <c r="Q1250">
        <f>0.0010001166*3600</f>
        <v>3.6004197600000003</v>
      </c>
      <c r="R1250">
        <f>0.0036152737*3600</f>
        <v>13.014985319999999</v>
      </c>
    </row>
    <row r="1251" spans="1:18" x14ac:dyDescent="0.3">
      <c r="A1251" t="s">
        <v>47</v>
      </c>
      <c r="B1251" s="4" t="s">
        <v>356</v>
      </c>
      <c r="C1251">
        <v>298.06273099999999</v>
      </c>
      <c r="D1251">
        <v>78.626328000000001</v>
      </c>
      <c r="E1251">
        <v>1.4819</v>
      </c>
      <c r="F1251">
        <v>1.4810000000000001</v>
      </c>
      <c r="G1251">
        <v>0.23899999999999999</v>
      </c>
      <c r="H1251">
        <v>0</v>
      </c>
      <c r="I1251">
        <v>1</v>
      </c>
      <c r="J1251" t="s">
        <v>0</v>
      </c>
      <c r="K1251" t="s">
        <v>61</v>
      </c>
      <c r="L1251">
        <v>0</v>
      </c>
      <c r="M1251" t="s">
        <v>52</v>
      </c>
      <c r="N1251">
        <v>1</v>
      </c>
      <c r="O1251" t="s">
        <v>63</v>
      </c>
      <c r="P1251" s="2">
        <v>0.53819444444444442</v>
      </c>
      <c r="Q1251">
        <f>0.0011377979*3600</f>
        <v>4.0960724399999995</v>
      </c>
      <c r="R1251">
        <f>0.0034971939*3600</f>
        <v>12.58989804</v>
      </c>
    </row>
    <row r="1252" spans="1:18" x14ac:dyDescent="0.3">
      <c r="A1252" t="s">
        <v>47</v>
      </c>
      <c r="B1252" s="4" t="s">
        <v>356</v>
      </c>
      <c r="C1252">
        <v>298.06262400000003</v>
      </c>
      <c r="D1252">
        <v>78.626570000000001</v>
      </c>
      <c r="E1252">
        <v>1.4819</v>
      </c>
      <c r="F1252">
        <v>1.4810000000000001</v>
      </c>
      <c r="G1252">
        <v>0.23899999999999999</v>
      </c>
      <c r="H1252">
        <v>0</v>
      </c>
      <c r="I1252">
        <v>1</v>
      </c>
      <c r="J1252" t="s">
        <v>0</v>
      </c>
      <c r="K1252" t="s">
        <v>61</v>
      </c>
      <c r="L1252">
        <v>0</v>
      </c>
      <c r="M1252" t="s">
        <v>52</v>
      </c>
      <c r="N1252">
        <v>1</v>
      </c>
      <c r="O1252" t="s">
        <v>63</v>
      </c>
      <c r="P1252" s="2">
        <v>0.53819444444444442</v>
      </c>
      <c r="Q1252">
        <f>0.001143793*3600</f>
        <v>4.1176547999999995</v>
      </c>
      <c r="R1252">
        <f>0.0037401017*3600</f>
        <v>13.464366119999999</v>
      </c>
    </row>
    <row r="1253" spans="1:18" x14ac:dyDescent="0.3">
      <c r="A1253" t="s">
        <v>47</v>
      </c>
      <c r="B1253" s="4" t="s">
        <v>356</v>
      </c>
      <c r="C1253">
        <v>298.06455099999999</v>
      </c>
      <c r="D1253">
        <v>78.626350000000002</v>
      </c>
      <c r="E1253">
        <v>1.4819</v>
      </c>
      <c r="F1253">
        <v>1.4810000000000001</v>
      </c>
      <c r="G1253">
        <v>0.23899999999999999</v>
      </c>
      <c r="H1253">
        <v>0</v>
      </c>
      <c r="I1253">
        <v>1</v>
      </c>
      <c r="J1253" t="s">
        <v>0</v>
      </c>
      <c r="K1253" t="s">
        <v>61</v>
      </c>
      <c r="L1253">
        <v>0</v>
      </c>
      <c r="M1253" t="s">
        <v>52</v>
      </c>
      <c r="N1253">
        <v>1</v>
      </c>
      <c r="O1253" t="s">
        <v>63</v>
      </c>
      <c r="P1253" s="2">
        <v>0.53819444444444442</v>
      </c>
      <c r="Q1253">
        <f>0.0011675904*3600</f>
        <v>4.2033254399999995</v>
      </c>
      <c r="R1253">
        <f>0.0035222727*3600</f>
        <v>12.68018172</v>
      </c>
    </row>
    <row r="1254" spans="1:18" x14ac:dyDescent="0.3">
      <c r="A1254" t="s">
        <v>47</v>
      </c>
      <c r="B1254" s="4" t="s">
        <v>356</v>
      </c>
      <c r="C1254">
        <v>298.06653299999999</v>
      </c>
      <c r="D1254">
        <v>78.626379999999997</v>
      </c>
      <c r="E1254">
        <v>1.4819</v>
      </c>
      <c r="F1254">
        <v>1.4810000000000001</v>
      </c>
      <c r="G1254">
        <v>0.23899999999999999</v>
      </c>
      <c r="H1254">
        <v>0</v>
      </c>
      <c r="I1254">
        <v>1</v>
      </c>
      <c r="J1254" t="s">
        <v>0</v>
      </c>
      <c r="K1254" t="s">
        <v>61</v>
      </c>
      <c r="L1254">
        <v>0</v>
      </c>
      <c r="M1254" t="s">
        <v>52</v>
      </c>
      <c r="N1254">
        <v>1</v>
      </c>
      <c r="O1254" t="s">
        <v>63</v>
      </c>
      <c r="P1254" s="2">
        <v>0.53819444444444442</v>
      </c>
      <c r="Q1254">
        <f>0.0012228083*3600</f>
        <v>4.4021098800000003</v>
      </c>
      <c r="R1254">
        <f>0.0035334549*3600</f>
        <v>12.72043764</v>
      </c>
    </row>
    <row r="1255" spans="1:18" x14ac:dyDescent="0.3">
      <c r="A1255" t="s">
        <v>47</v>
      </c>
      <c r="B1255" s="4" t="s">
        <v>356</v>
      </c>
      <c r="C1255">
        <v>298.06743399999999</v>
      </c>
      <c r="D1255">
        <v>78.626406000000003</v>
      </c>
      <c r="E1255">
        <v>1.4819</v>
      </c>
      <c r="F1255">
        <v>1.4810000000000001</v>
      </c>
      <c r="G1255">
        <v>0.23899999999999999</v>
      </c>
      <c r="H1255">
        <v>0</v>
      </c>
      <c r="I1255">
        <v>1</v>
      </c>
      <c r="J1255" t="s">
        <v>0</v>
      </c>
      <c r="K1255" t="s">
        <v>61</v>
      </c>
      <c r="L1255">
        <v>0</v>
      </c>
      <c r="M1255" t="s">
        <v>52</v>
      </c>
      <c r="N1255">
        <v>1</v>
      </c>
      <c r="O1255" t="s">
        <v>63</v>
      </c>
      <c r="P1255" s="2">
        <v>0.53819444444444442</v>
      </c>
      <c r="Q1255">
        <f>0.0012648752*3600</f>
        <v>4.5535507199999996</v>
      </c>
      <c r="R1255">
        <f>0.0035473677*3600</f>
        <v>12.77052372</v>
      </c>
    </row>
    <row r="1256" spans="1:18" x14ac:dyDescent="0.3">
      <c r="A1256" t="s">
        <v>47</v>
      </c>
      <c r="B1256" s="4" t="s">
        <v>356</v>
      </c>
      <c r="C1256">
        <v>298.06779799999998</v>
      </c>
      <c r="D1256">
        <v>78.626366000000004</v>
      </c>
      <c r="E1256">
        <v>1.4819</v>
      </c>
      <c r="F1256">
        <v>1.4810000000000001</v>
      </c>
      <c r="G1256">
        <v>0.23899999999999999</v>
      </c>
      <c r="H1256">
        <v>0</v>
      </c>
      <c r="I1256">
        <v>1</v>
      </c>
      <c r="J1256" t="s">
        <v>0</v>
      </c>
      <c r="K1256" t="s">
        <v>61</v>
      </c>
      <c r="L1256">
        <v>0</v>
      </c>
      <c r="M1256" t="s">
        <v>52</v>
      </c>
      <c r="N1256">
        <v>1</v>
      </c>
      <c r="O1256" t="s">
        <v>63</v>
      </c>
      <c r="P1256" s="2">
        <v>0.53819444444444442</v>
      </c>
      <c r="Q1256">
        <f>0.0012014022*3600</f>
        <v>4.3250479199999994</v>
      </c>
      <c r="R1256">
        <f>0.0035341632*3600</f>
        <v>12.72298752</v>
      </c>
    </row>
    <row r="1257" spans="1:18" x14ac:dyDescent="0.3">
      <c r="A1257" t="s">
        <v>47</v>
      </c>
      <c r="B1257" s="4" t="s">
        <v>356</v>
      </c>
      <c r="C1257">
        <v>298.06711200000001</v>
      </c>
      <c r="D1257">
        <v>78.626405000000005</v>
      </c>
      <c r="E1257">
        <v>1.4819</v>
      </c>
      <c r="F1257">
        <v>1.4810000000000001</v>
      </c>
      <c r="G1257">
        <v>0.23899999999999999</v>
      </c>
      <c r="H1257">
        <v>0</v>
      </c>
      <c r="I1257">
        <v>1</v>
      </c>
      <c r="J1257" t="s">
        <v>0</v>
      </c>
      <c r="K1257" t="s">
        <v>61</v>
      </c>
      <c r="L1257">
        <v>0</v>
      </c>
      <c r="M1257" t="s">
        <v>52</v>
      </c>
      <c r="N1257">
        <v>1</v>
      </c>
      <c r="O1257" t="s">
        <v>63</v>
      </c>
      <c r="P1257" s="2">
        <v>0.53819444444444442</v>
      </c>
      <c r="Q1257">
        <f>0.0008314809*3600</f>
        <v>2.9933312399999998</v>
      </c>
      <c r="R1257">
        <f>0.0035722478*3600</f>
        <v>12.860092079999999</v>
      </c>
    </row>
    <row r="1258" spans="1:18" x14ac:dyDescent="0.3">
      <c r="A1258" t="s">
        <v>47</v>
      </c>
      <c r="B1258" s="4" t="s">
        <v>356</v>
      </c>
      <c r="C1258">
        <v>298.06667599999997</v>
      </c>
      <c r="D1258">
        <v>78.626369999999994</v>
      </c>
      <c r="E1258">
        <v>1.4819</v>
      </c>
      <c r="F1258">
        <v>1.4810000000000001</v>
      </c>
      <c r="G1258">
        <v>0.23899999999999999</v>
      </c>
      <c r="H1258">
        <v>0</v>
      </c>
      <c r="I1258">
        <v>1</v>
      </c>
      <c r="J1258" t="s">
        <v>0</v>
      </c>
      <c r="K1258" t="s">
        <v>61</v>
      </c>
      <c r="L1258">
        <v>0</v>
      </c>
      <c r="M1258" t="s">
        <v>52</v>
      </c>
      <c r="N1258">
        <v>1</v>
      </c>
      <c r="O1258" t="s">
        <v>63</v>
      </c>
      <c r="P1258" s="2">
        <v>0.53819444444444442</v>
      </c>
      <c r="Q1258">
        <f>0.000836112*3600</f>
        <v>3.0100031999999999</v>
      </c>
      <c r="R1258">
        <f>0.003550662*3600</f>
        <v>12.7823832</v>
      </c>
    </row>
    <row r="1259" spans="1:18" x14ac:dyDescent="0.3">
      <c r="A1259" t="s">
        <v>47</v>
      </c>
      <c r="B1259" s="4" t="s">
        <v>356</v>
      </c>
      <c r="C1259">
        <v>298.064549</v>
      </c>
      <c r="D1259">
        <v>78.626694999999998</v>
      </c>
      <c r="E1259">
        <v>1.4819</v>
      </c>
      <c r="F1259">
        <v>1.4810000000000001</v>
      </c>
      <c r="G1259">
        <v>0.23899999999999999</v>
      </c>
      <c r="H1259">
        <v>0</v>
      </c>
      <c r="I1259">
        <v>1</v>
      </c>
      <c r="J1259" t="s">
        <v>0</v>
      </c>
      <c r="K1259" t="s">
        <v>61</v>
      </c>
      <c r="L1259">
        <v>0</v>
      </c>
      <c r="M1259" t="s">
        <v>52</v>
      </c>
      <c r="N1259">
        <v>1</v>
      </c>
      <c r="O1259" t="s">
        <v>63</v>
      </c>
      <c r="P1259" s="2">
        <v>0.53819444444444442</v>
      </c>
      <c r="Q1259">
        <f>0.0011201965*3600</f>
        <v>4.0327073999999996</v>
      </c>
      <c r="R1259">
        <f>0.0038356984*3600</f>
        <v>13.808514239999999</v>
      </c>
    </row>
    <row r="1260" spans="1:18" x14ac:dyDescent="0.3">
      <c r="A1260" t="s">
        <v>47</v>
      </c>
      <c r="B1260" s="4" t="s">
        <v>356</v>
      </c>
      <c r="C1260">
        <v>298.06429900000001</v>
      </c>
      <c r="D1260">
        <v>78.626433000000006</v>
      </c>
      <c r="E1260">
        <v>1.4819</v>
      </c>
      <c r="F1260">
        <v>1.4810000000000001</v>
      </c>
      <c r="G1260">
        <v>0.23899999999999999</v>
      </c>
      <c r="H1260">
        <v>0</v>
      </c>
      <c r="I1260">
        <v>1</v>
      </c>
      <c r="J1260" t="s">
        <v>0</v>
      </c>
      <c r="K1260" t="s">
        <v>61</v>
      </c>
      <c r="L1260">
        <v>0</v>
      </c>
      <c r="M1260" t="s">
        <v>52</v>
      </c>
      <c r="N1260">
        <v>1</v>
      </c>
      <c r="O1260" t="s">
        <v>63</v>
      </c>
      <c r="P1260" s="2">
        <v>0.53819444444444442</v>
      </c>
      <c r="Q1260">
        <f>0.0010181233*3600</f>
        <v>3.6652438800000002</v>
      </c>
      <c r="R1260">
        <f>0.0035749269*3600</f>
        <v>12.86973684</v>
      </c>
    </row>
    <row r="1261" spans="1:18" x14ac:dyDescent="0.3">
      <c r="A1261" t="s">
        <v>47</v>
      </c>
      <c r="B1261" s="4" t="s">
        <v>356</v>
      </c>
      <c r="C1261">
        <v>298.06425999999999</v>
      </c>
      <c r="D1261">
        <v>78.626317999999998</v>
      </c>
      <c r="E1261">
        <v>1.4819</v>
      </c>
      <c r="F1261">
        <v>1.4810000000000001</v>
      </c>
      <c r="G1261">
        <v>0.23899999999999999</v>
      </c>
      <c r="H1261">
        <v>0</v>
      </c>
      <c r="I1261">
        <v>1</v>
      </c>
      <c r="J1261" t="s">
        <v>0</v>
      </c>
      <c r="K1261" t="s">
        <v>61</v>
      </c>
      <c r="L1261">
        <v>0</v>
      </c>
      <c r="M1261" t="s">
        <v>52</v>
      </c>
      <c r="N1261">
        <v>1</v>
      </c>
      <c r="O1261" t="s">
        <v>63</v>
      </c>
      <c r="P1261" s="2">
        <v>0.53819444444444442</v>
      </c>
      <c r="Q1261">
        <f>0.0006906612*3600</f>
        <v>2.4863803200000003</v>
      </c>
      <c r="R1261">
        <f>0.0034313079*3600</f>
        <v>12.352708440000001</v>
      </c>
    </row>
    <row r="1262" spans="1:18" x14ac:dyDescent="0.3">
      <c r="A1262" t="s">
        <v>47</v>
      </c>
      <c r="B1262" s="4" t="s">
        <v>356</v>
      </c>
      <c r="C1262">
        <v>298.06471499999998</v>
      </c>
      <c r="D1262">
        <v>78.626447999999996</v>
      </c>
      <c r="E1262">
        <v>1.4819</v>
      </c>
      <c r="F1262">
        <v>1.4810000000000001</v>
      </c>
      <c r="G1262">
        <v>0.23899999999999999</v>
      </c>
      <c r="H1262">
        <v>0</v>
      </c>
      <c r="I1262">
        <v>1</v>
      </c>
      <c r="J1262" t="s">
        <v>0</v>
      </c>
      <c r="K1262" t="s">
        <v>61</v>
      </c>
      <c r="L1262">
        <v>0</v>
      </c>
      <c r="M1262" t="s">
        <v>52</v>
      </c>
      <c r="N1262">
        <v>1</v>
      </c>
      <c r="O1262" t="s">
        <v>63</v>
      </c>
      <c r="P1262" s="2">
        <v>0.53819444444444442</v>
      </c>
      <c r="Q1262">
        <f>0.0009887572*3600</f>
        <v>3.5595259199999996</v>
      </c>
      <c r="R1262">
        <f>0.0035652513*3600</f>
        <v>12.834904679999999</v>
      </c>
    </row>
    <row r="1263" spans="1:18" x14ac:dyDescent="0.3">
      <c r="A1263" t="s">
        <v>47</v>
      </c>
      <c r="B1263" s="4" t="s">
        <v>356</v>
      </c>
      <c r="C1263">
        <v>298.06304999999998</v>
      </c>
      <c r="D1263">
        <v>78.626309000000006</v>
      </c>
      <c r="E1263">
        <v>1.4819</v>
      </c>
      <c r="F1263">
        <v>1.4810000000000001</v>
      </c>
      <c r="G1263">
        <v>0.23899999999999999</v>
      </c>
      <c r="H1263">
        <v>0</v>
      </c>
      <c r="I1263">
        <v>1</v>
      </c>
      <c r="J1263" t="s">
        <v>0</v>
      </c>
      <c r="K1263" t="s">
        <v>61</v>
      </c>
      <c r="L1263">
        <v>0</v>
      </c>
      <c r="M1263" t="s">
        <v>52</v>
      </c>
      <c r="N1263">
        <v>1</v>
      </c>
      <c r="O1263" t="s">
        <v>63</v>
      </c>
      <c r="P1263" s="2">
        <v>0.53819444444444442</v>
      </c>
      <c r="Q1263">
        <f>0.0006949775*3600</f>
        <v>2.501919</v>
      </c>
      <c r="R1263">
        <f>0.0034338991*3600</f>
        <v>12.362036759999999</v>
      </c>
    </row>
    <row r="1264" spans="1:18" x14ac:dyDescent="0.3">
      <c r="A1264" t="s">
        <v>47</v>
      </c>
      <c r="B1264" s="4" t="s">
        <v>356</v>
      </c>
      <c r="C1264">
        <v>298.066058</v>
      </c>
      <c r="D1264">
        <v>78.626507000000004</v>
      </c>
      <c r="E1264">
        <v>1.4819</v>
      </c>
      <c r="F1264">
        <v>1.4810000000000001</v>
      </c>
      <c r="G1264">
        <v>0.23899999999999999</v>
      </c>
      <c r="H1264">
        <v>0</v>
      </c>
      <c r="I1264">
        <v>1</v>
      </c>
      <c r="J1264" t="s">
        <v>0</v>
      </c>
      <c r="K1264" t="s">
        <v>61</v>
      </c>
      <c r="L1264">
        <v>0</v>
      </c>
      <c r="M1264" t="s">
        <v>52</v>
      </c>
      <c r="N1264">
        <v>1</v>
      </c>
      <c r="O1264" t="s">
        <v>63</v>
      </c>
      <c r="P1264" s="2">
        <v>0.53819444444444442</v>
      </c>
      <c r="Q1264">
        <f>0.0012035076*3600</f>
        <v>4.33262736</v>
      </c>
      <c r="R1264">
        <f>0.0036188781*3600</f>
        <v>13.02796116</v>
      </c>
    </row>
    <row r="1265" spans="1:18" x14ac:dyDescent="0.3">
      <c r="A1265" t="s">
        <v>47</v>
      </c>
      <c r="B1265" s="4" t="s">
        <v>356</v>
      </c>
      <c r="C1265">
        <v>298.06639699999999</v>
      </c>
      <c r="D1265">
        <v>78.626452</v>
      </c>
      <c r="E1265">
        <v>1.4819</v>
      </c>
      <c r="F1265">
        <v>1.4810000000000001</v>
      </c>
      <c r="G1265">
        <v>0.23899999999999999</v>
      </c>
      <c r="H1265">
        <v>0</v>
      </c>
      <c r="I1265">
        <v>1</v>
      </c>
      <c r="J1265" t="s">
        <v>0</v>
      </c>
      <c r="K1265" t="s">
        <v>61</v>
      </c>
      <c r="L1265">
        <v>0</v>
      </c>
      <c r="M1265" t="s">
        <v>52</v>
      </c>
      <c r="N1265">
        <v>1</v>
      </c>
      <c r="O1265" t="s">
        <v>63</v>
      </c>
      <c r="P1265" s="2">
        <v>0.53819444444444442</v>
      </c>
      <c r="Q1265">
        <f>0.0010762663*3600</f>
        <v>3.8745586800000003</v>
      </c>
      <c r="R1265">
        <f>0.0035745215*3600</f>
        <v>12.8682774</v>
      </c>
    </row>
    <row r="1266" spans="1:18" x14ac:dyDescent="0.3">
      <c r="A1266" t="s">
        <v>47</v>
      </c>
      <c r="B1266" s="4" t="s">
        <v>356</v>
      </c>
      <c r="C1266">
        <v>298.066485</v>
      </c>
      <c r="D1266">
        <v>78.626321000000004</v>
      </c>
      <c r="E1266">
        <v>1.4819</v>
      </c>
      <c r="F1266">
        <v>1.4810000000000001</v>
      </c>
      <c r="G1266">
        <v>0.23899999999999999</v>
      </c>
      <c r="H1266">
        <v>0</v>
      </c>
      <c r="I1266">
        <v>1</v>
      </c>
      <c r="J1266" t="s">
        <v>0</v>
      </c>
      <c r="K1266" t="s">
        <v>61</v>
      </c>
      <c r="L1266">
        <v>0</v>
      </c>
      <c r="M1266" t="s">
        <v>52</v>
      </c>
      <c r="N1266">
        <v>1</v>
      </c>
      <c r="O1266" t="s">
        <v>63</v>
      </c>
      <c r="P1266" s="2">
        <v>0.53819444444444442</v>
      </c>
      <c r="Q1266">
        <f>0.0009547174*3600</f>
        <v>3.4369826400000001</v>
      </c>
      <c r="R1266">
        <f>0.0034472899*3600</f>
        <v>12.410243639999999</v>
      </c>
    </row>
    <row r="1267" spans="1:18" x14ac:dyDescent="0.3">
      <c r="A1267" t="s">
        <v>47</v>
      </c>
      <c r="B1267" s="4" t="s">
        <v>356</v>
      </c>
      <c r="C1267">
        <v>298.06642900000003</v>
      </c>
      <c r="D1267">
        <v>78.626405000000005</v>
      </c>
      <c r="E1267">
        <v>1.4819</v>
      </c>
      <c r="F1267">
        <v>1.4810000000000001</v>
      </c>
      <c r="G1267">
        <v>0.23899999999999999</v>
      </c>
      <c r="H1267">
        <v>0</v>
      </c>
      <c r="I1267">
        <v>1</v>
      </c>
      <c r="J1267" t="s">
        <v>0</v>
      </c>
      <c r="K1267" t="s">
        <v>61</v>
      </c>
      <c r="L1267">
        <v>0</v>
      </c>
      <c r="M1267" t="s">
        <v>52</v>
      </c>
      <c r="N1267">
        <v>1</v>
      </c>
      <c r="O1267" t="s">
        <v>63</v>
      </c>
      <c r="P1267" s="2">
        <v>0.53819444444444442</v>
      </c>
      <c r="Q1267">
        <f>0.0008854927*3600</f>
        <v>3.18777372</v>
      </c>
      <c r="R1267">
        <f>0.0035377827*3600</f>
        <v>12.73601772</v>
      </c>
    </row>
    <row r="1268" spans="1:18" x14ac:dyDescent="0.3">
      <c r="A1268" t="s">
        <v>47</v>
      </c>
      <c r="B1268" s="4" t="s">
        <v>356</v>
      </c>
      <c r="C1268">
        <v>298.06687599999998</v>
      </c>
      <c r="D1268">
        <v>78.626481999999996</v>
      </c>
      <c r="E1268">
        <v>1.4819</v>
      </c>
      <c r="F1268">
        <v>1.4810000000000001</v>
      </c>
      <c r="G1268">
        <v>0.23899999999999999</v>
      </c>
      <c r="H1268">
        <v>0</v>
      </c>
      <c r="I1268">
        <v>1</v>
      </c>
      <c r="J1268" t="s">
        <v>0</v>
      </c>
      <c r="K1268" t="s">
        <v>61</v>
      </c>
      <c r="L1268">
        <v>0</v>
      </c>
      <c r="M1268" t="s">
        <v>52</v>
      </c>
      <c r="N1268">
        <v>1</v>
      </c>
      <c r="O1268" t="s">
        <v>63</v>
      </c>
      <c r="P1268" s="2">
        <v>0.53819444444444442</v>
      </c>
      <c r="Q1268">
        <f>0.0010126268*3600</f>
        <v>3.64545648</v>
      </c>
      <c r="R1268">
        <f>0.0036145567*3600</f>
        <v>13.012404119999999</v>
      </c>
    </row>
    <row r="1269" spans="1:18" x14ac:dyDescent="0.3">
      <c r="A1269" t="s">
        <v>47</v>
      </c>
      <c r="B1269" s="4" t="s">
        <v>356</v>
      </c>
      <c r="C1269">
        <v>298.06664599999999</v>
      </c>
      <c r="D1269">
        <v>78.626462000000004</v>
      </c>
      <c r="E1269">
        <v>1.4819</v>
      </c>
      <c r="F1269">
        <v>1.4810000000000001</v>
      </c>
      <c r="G1269">
        <v>0.23899999999999999</v>
      </c>
      <c r="H1269">
        <v>0</v>
      </c>
      <c r="I1269">
        <v>1</v>
      </c>
      <c r="J1269" t="s">
        <v>0</v>
      </c>
      <c r="K1269" t="s">
        <v>61</v>
      </c>
      <c r="L1269">
        <v>0</v>
      </c>
      <c r="M1269" t="s">
        <v>52</v>
      </c>
      <c r="N1269">
        <v>1</v>
      </c>
      <c r="O1269" t="s">
        <v>63</v>
      </c>
      <c r="P1269" s="2">
        <v>0.53819444444444442</v>
      </c>
      <c r="Q1269">
        <f>0.0008067684*3600</f>
        <v>2.9043662400000003</v>
      </c>
      <c r="R1269">
        <f>0.0035981321*3600</f>
        <v>12.95327556</v>
      </c>
    </row>
    <row r="1270" spans="1:18" x14ac:dyDescent="0.3">
      <c r="A1270" t="s">
        <v>47</v>
      </c>
      <c r="B1270" s="4" t="s">
        <v>356</v>
      </c>
      <c r="C1270">
        <v>298.06591600000002</v>
      </c>
      <c r="D1270">
        <v>78.626363999999995</v>
      </c>
      <c r="E1270">
        <v>1.4819</v>
      </c>
      <c r="F1270">
        <v>1.4810000000000001</v>
      </c>
      <c r="G1270">
        <v>0.23899999999999999</v>
      </c>
      <c r="H1270">
        <v>0</v>
      </c>
      <c r="I1270">
        <v>1</v>
      </c>
      <c r="J1270" t="s">
        <v>0</v>
      </c>
      <c r="K1270" t="s">
        <v>61</v>
      </c>
      <c r="L1270">
        <v>0</v>
      </c>
      <c r="M1270" t="s">
        <v>52</v>
      </c>
      <c r="N1270">
        <v>1</v>
      </c>
      <c r="O1270" t="s">
        <v>63</v>
      </c>
      <c r="P1270" s="2">
        <v>0.53819444444444442</v>
      </c>
      <c r="Q1270">
        <f>0.0009214911*3600</f>
        <v>3.3173679599999999</v>
      </c>
      <c r="R1270">
        <f>0.0035209738*3600</f>
        <v>12.675505680000001</v>
      </c>
    </row>
    <row r="1271" spans="1:18" x14ac:dyDescent="0.3">
      <c r="A1271" t="s">
        <v>47</v>
      </c>
      <c r="B1271" s="4" t="s">
        <v>356</v>
      </c>
      <c r="C1271">
        <v>298.06294600000001</v>
      </c>
      <c r="D1271">
        <v>78.626527999999993</v>
      </c>
      <c r="E1271">
        <v>1.4819</v>
      </c>
      <c r="F1271">
        <v>1.4810000000000001</v>
      </c>
      <c r="G1271">
        <v>0.23899999999999999</v>
      </c>
      <c r="H1271">
        <v>0</v>
      </c>
      <c r="I1271">
        <v>1</v>
      </c>
      <c r="J1271" t="s">
        <v>0</v>
      </c>
      <c r="K1271" t="s">
        <v>61</v>
      </c>
      <c r="L1271">
        <v>0</v>
      </c>
      <c r="M1271" t="s">
        <v>52</v>
      </c>
      <c r="N1271">
        <v>1</v>
      </c>
      <c r="O1271" t="s">
        <v>63</v>
      </c>
      <c r="P1271" s="2">
        <v>0.53819444444444442</v>
      </c>
      <c r="Q1271">
        <f>0.0009710562*3600</f>
        <v>3.4958023200000001</v>
      </c>
      <c r="R1271">
        <f>0.0036532181*3600</f>
        <v>13.151585160000002</v>
      </c>
    </row>
    <row r="1272" spans="1:18" x14ac:dyDescent="0.3">
      <c r="A1272" t="s">
        <v>47</v>
      </c>
      <c r="B1272" s="4" t="s">
        <v>356</v>
      </c>
      <c r="C1272">
        <v>298.06258600000001</v>
      </c>
      <c r="D1272">
        <v>78.626437999999993</v>
      </c>
      <c r="E1272">
        <v>1.4819</v>
      </c>
      <c r="F1272">
        <v>1.4810000000000001</v>
      </c>
      <c r="G1272">
        <v>0.23899999999999999</v>
      </c>
      <c r="H1272">
        <v>0</v>
      </c>
      <c r="I1272">
        <v>1</v>
      </c>
      <c r="J1272" t="s">
        <v>0</v>
      </c>
      <c r="K1272" t="s">
        <v>61</v>
      </c>
      <c r="L1272">
        <v>0</v>
      </c>
      <c r="M1272" t="s">
        <v>52</v>
      </c>
      <c r="N1272">
        <v>1</v>
      </c>
      <c r="O1272" t="s">
        <v>63</v>
      </c>
      <c r="P1272" s="2">
        <v>0.53819444444444442</v>
      </c>
      <c r="Q1272">
        <f>0.0008504253*3600</f>
        <v>3.06153108</v>
      </c>
      <c r="R1272">
        <f>0.0035647983*3600</f>
        <v>12.83327388</v>
      </c>
    </row>
    <row r="1273" spans="1:18" x14ac:dyDescent="0.3">
      <c r="A1273" t="s">
        <v>47</v>
      </c>
      <c r="B1273" s="4" t="s">
        <v>356</v>
      </c>
      <c r="C1273">
        <v>298.06292500000001</v>
      </c>
      <c r="D1273">
        <v>78.626250999999996</v>
      </c>
      <c r="E1273">
        <v>1.4819</v>
      </c>
      <c r="F1273">
        <v>1.4810000000000001</v>
      </c>
      <c r="G1273">
        <v>0.23899999999999999</v>
      </c>
      <c r="H1273">
        <v>0</v>
      </c>
      <c r="I1273">
        <v>1</v>
      </c>
      <c r="J1273" t="s">
        <v>0</v>
      </c>
      <c r="K1273" t="s">
        <v>61</v>
      </c>
      <c r="L1273">
        <v>0</v>
      </c>
      <c r="M1273" t="s">
        <v>52</v>
      </c>
      <c r="N1273">
        <v>1</v>
      </c>
      <c r="O1273" t="s">
        <v>63</v>
      </c>
      <c r="P1273" s="2">
        <v>0.53819444444444442</v>
      </c>
      <c r="Q1273">
        <f>0.0008822199*3600</f>
        <v>3.1759916400000003</v>
      </c>
      <c r="R1273">
        <f>0.0033867408*3600</f>
        <v>12.19226688</v>
      </c>
    </row>
    <row r="1274" spans="1:18" x14ac:dyDescent="0.3">
      <c r="A1274" t="s">
        <v>47</v>
      </c>
      <c r="B1274" s="4" t="s">
        <v>356</v>
      </c>
      <c r="C1274">
        <v>298.06302799999997</v>
      </c>
      <c r="D1274">
        <v>78.626302999999993</v>
      </c>
      <c r="E1274">
        <v>1.4819</v>
      </c>
      <c r="F1274">
        <v>1.4810000000000001</v>
      </c>
      <c r="G1274">
        <v>0.23899999999999999</v>
      </c>
      <c r="H1274">
        <v>0</v>
      </c>
      <c r="I1274">
        <v>1</v>
      </c>
      <c r="J1274" t="s">
        <v>0</v>
      </c>
      <c r="K1274" t="s">
        <v>61</v>
      </c>
      <c r="L1274">
        <v>0</v>
      </c>
      <c r="M1274" t="s">
        <v>52</v>
      </c>
      <c r="N1274">
        <v>1</v>
      </c>
      <c r="O1274" t="s">
        <v>63</v>
      </c>
      <c r="P1274" s="2">
        <v>0.53819444444444442</v>
      </c>
      <c r="Q1274">
        <f>0.0007902984*3600</f>
        <v>2.8450742399999998</v>
      </c>
      <c r="R1274">
        <f>0.0034367483*3600</f>
        <v>12.372293879999999</v>
      </c>
    </row>
    <row r="1275" spans="1:18" x14ac:dyDescent="0.3">
      <c r="A1275" t="s">
        <v>47</v>
      </c>
      <c r="B1275" s="4" t="s">
        <v>356</v>
      </c>
      <c r="C1275">
        <v>298.06556499999999</v>
      </c>
      <c r="D1275">
        <v>78.626518000000004</v>
      </c>
      <c r="E1275">
        <v>1.4819</v>
      </c>
      <c r="F1275">
        <v>1.4810000000000001</v>
      </c>
      <c r="G1275">
        <v>0.23899999999999999</v>
      </c>
      <c r="H1275">
        <v>0</v>
      </c>
      <c r="I1275">
        <v>1</v>
      </c>
      <c r="J1275" t="s">
        <v>0</v>
      </c>
      <c r="K1275" t="s">
        <v>61</v>
      </c>
      <c r="L1275">
        <v>0</v>
      </c>
      <c r="M1275" t="s">
        <v>52</v>
      </c>
      <c r="N1275">
        <v>1</v>
      </c>
      <c r="O1275" t="s">
        <v>63</v>
      </c>
      <c r="P1275" s="2">
        <v>0.53819444444444442</v>
      </c>
      <c r="Q1275">
        <f>0.0010136375*3600</f>
        <v>3.6490949999999995</v>
      </c>
      <c r="R1275">
        <f>0.0036386586*3600</f>
        <v>13.09917096</v>
      </c>
    </row>
    <row r="1276" spans="1:18" x14ac:dyDescent="0.3">
      <c r="A1276" t="s">
        <v>47</v>
      </c>
      <c r="B1276" s="4" t="s">
        <v>356</v>
      </c>
      <c r="C1276">
        <v>298.06769200000002</v>
      </c>
      <c r="D1276">
        <v>78.626411000000004</v>
      </c>
      <c r="E1276">
        <v>1.4819</v>
      </c>
      <c r="F1276">
        <v>1.4810000000000001</v>
      </c>
      <c r="G1276">
        <v>0.23899999999999999</v>
      </c>
      <c r="H1276">
        <v>0</v>
      </c>
      <c r="I1276">
        <v>1</v>
      </c>
      <c r="J1276" t="s">
        <v>0</v>
      </c>
      <c r="K1276" t="s">
        <v>61</v>
      </c>
      <c r="L1276">
        <v>0</v>
      </c>
      <c r="M1276" t="s">
        <v>52</v>
      </c>
      <c r="N1276">
        <v>1</v>
      </c>
      <c r="O1276" t="s">
        <v>63</v>
      </c>
      <c r="P1276" s="2">
        <v>0.53819444444444442</v>
      </c>
      <c r="Q1276">
        <f>0.0010480835*3600</f>
        <v>3.7731005999999998</v>
      </c>
      <c r="R1276">
        <f>0.0035202305*3600</f>
        <v>12.672829799999999</v>
      </c>
    </row>
    <row r="1277" spans="1:18" x14ac:dyDescent="0.3">
      <c r="A1277" t="s">
        <v>47</v>
      </c>
      <c r="B1277" s="4" t="s">
        <v>356</v>
      </c>
      <c r="C1277">
        <v>298.067834</v>
      </c>
      <c r="D1277">
        <v>78.626469</v>
      </c>
      <c r="E1277">
        <v>1.4819</v>
      </c>
      <c r="F1277">
        <v>1.4810000000000001</v>
      </c>
      <c r="G1277">
        <v>0.23899999999999999</v>
      </c>
      <c r="H1277">
        <v>0</v>
      </c>
      <c r="I1277">
        <v>1</v>
      </c>
      <c r="J1277" t="s">
        <v>0</v>
      </c>
      <c r="K1277" t="s">
        <v>61</v>
      </c>
      <c r="L1277">
        <v>0</v>
      </c>
      <c r="M1277" t="s">
        <v>52</v>
      </c>
      <c r="N1277">
        <v>1</v>
      </c>
      <c r="O1277" t="s">
        <v>63</v>
      </c>
      <c r="P1277" s="2">
        <v>0.53819444444444442</v>
      </c>
      <c r="Q1277">
        <f>0.0009418457*3600</f>
        <v>3.3906445199999999</v>
      </c>
      <c r="R1277">
        <f>0.0036076317*3600</f>
        <v>12.98747412</v>
      </c>
    </row>
    <row r="1278" spans="1:18" x14ac:dyDescent="0.3">
      <c r="A1278" t="s">
        <v>47</v>
      </c>
      <c r="B1278" s="4" t="s">
        <v>356</v>
      </c>
      <c r="C1278">
        <v>298.06823700000001</v>
      </c>
      <c r="D1278">
        <v>78.626390000000001</v>
      </c>
      <c r="E1278">
        <v>1.4819</v>
      </c>
      <c r="F1278">
        <v>1.4810000000000001</v>
      </c>
      <c r="G1278">
        <v>0.23899999999999999</v>
      </c>
      <c r="H1278">
        <v>0</v>
      </c>
      <c r="I1278">
        <v>1</v>
      </c>
      <c r="J1278" t="s">
        <v>0</v>
      </c>
      <c r="K1278" t="s">
        <v>61</v>
      </c>
      <c r="L1278">
        <v>0</v>
      </c>
      <c r="M1278" t="s">
        <v>52</v>
      </c>
      <c r="N1278">
        <v>1</v>
      </c>
      <c r="O1278" t="s">
        <v>63</v>
      </c>
      <c r="P1278" s="2">
        <v>0.53819444444444442</v>
      </c>
      <c r="Q1278">
        <f>0.0011140562*3600</f>
        <v>4.0106023200000003</v>
      </c>
      <c r="R1278">
        <f>0.0035476088*3600</f>
        <v>12.771391680000001</v>
      </c>
    </row>
    <row r="1279" spans="1:18" x14ac:dyDescent="0.3">
      <c r="A1279" t="s">
        <v>47</v>
      </c>
      <c r="B1279" s="4" t="s">
        <v>356</v>
      </c>
      <c r="C1279">
        <v>298.06805400000002</v>
      </c>
      <c r="D1279">
        <v>78.626345000000001</v>
      </c>
      <c r="E1279">
        <v>1.4819</v>
      </c>
      <c r="F1279">
        <v>1.4810000000000001</v>
      </c>
      <c r="G1279">
        <v>0.23899999999999999</v>
      </c>
      <c r="H1279">
        <v>0</v>
      </c>
      <c r="I1279">
        <v>1</v>
      </c>
      <c r="J1279" t="s">
        <v>0</v>
      </c>
      <c r="K1279" t="s">
        <v>61</v>
      </c>
      <c r="L1279">
        <v>0</v>
      </c>
      <c r="M1279" t="s">
        <v>52</v>
      </c>
      <c r="N1279">
        <v>1</v>
      </c>
      <c r="O1279" t="s">
        <v>63</v>
      </c>
      <c r="P1279" s="2">
        <v>0.53819444444444442</v>
      </c>
      <c r="Q1279">
        <f>0.0007973831*3600</f>
        <v>2.8705791599999997</v>
      </c>
      <c r="R1279">
        <f>0.0034716109*3600</f>
        <v>12.497799239999999</v>
      </c>
    </row>
    <row r="1280" spans="1:18" x14ac:dyDescent="0.3">
      <c r="A1280" t="s">
        <v>47</v>
      </c>
      <c r="B1280" s="4" t="s">
        <v>356</v>
      </c>
      <c r="C1280">
        <v>298.06719700000002</v>
      </c>
      <c r="D1280">
        <v>78.626332000000005</v>
      </c>
      <c r="E1280">
        <v>1.4819</v>
      </c>
      <c r="F1280">
        <v>1.4810000000000001</v>
      </c>
      <c r="G1280">
        <v>0.23899999999999999</v>
      </c>
      <c r="H1280">
        <v>0</v>
      </c>
      <c r="I1280">
        <v>1</v>
      </c>
      <c r="J1280" t="s">
        <v>0</v>
      </c>
      <c r="K1280" t="s">
        <v>61</v>
      </c>
      <c r="L1280">
        <v>0</v>
      </c>
      <c r="M1280" t="s">
        <v>52</v>
      </c>
      <c r="N1280">
        <v>1</v>
      </c>
      <c r="O1280" t="s">
        <v>63</v>
      </c>
      <c r="P1280" s="2">
        <v>0.53819444444444442</v>
      </c>
      <c r="Q1280">
        <f>0.0007399799*3600</f>
        <v>2.6639276399999998</v>
      </c>
      <c r="R1280">
        <f>0.0034620315*3600</f>
        <v>12.463313400000001</v>
      </c>
    </row>
    <row r="1281" spans="1:18" x14ac:dyDescent="0.3">
      <c r="A1281" t="s">
        <v>47</v>
      </c>
      <c r="B1281" s="4" t="s">
        <v>356</v>
      </c>
      <c r="C1281">
        <v>298.06649399999998</v>
      </c>
      <c r="D1281">
        <v>78.626418000000001</v>
      </c>
      <c r="E1281">
        <v>1.4819</v>
      </c>
      <c r="F1281">
        <v>1.4810000000000001</v>
      </c>
      <c r="G1281">
        <v>0.23899999999999999</v>
      </c>
      <c r="H1281">
        <v>0</v>
      </c>
      <c r="I1281">
        <v>1</v>
      </c>
      <c r="J1281" t="s">
        <v>0</v>
      </c>
      <c r="K1281" t="s">
        <v>61</v>
      </c>
      <c r="L1281">
        <v>0</v>
      </c>
      <c r="M1281" t="s">
        <v>52</v>
      </c>
      <c r="N1281">
        <v>1</v>
      </c>
      <c r="O1281" t="s">
        <v>63</v>
      </c>
      <c r="P1281" s="2">
        <v>0.53819444444444442</v>
      </c>
      <c r="Q1281">
        <f>0.0008411074*3600</f>
        <v>3.02798664</v>
      </c>
      <c r="R1281">
        <f>0.0035426876*3600</f>
        <v>12.753675359999999</v>
      </c>
    </row>
    <row r="1282" spans="1:18" x14ac:dyDescent="0.3">
      <c r="A1282" t="s">
        <v>47</v>
      </c>
      <c r="B1282" s="4" t="s">
        <v>356</v>
      </c>
      <c r="C1282">
        <v>298.06528200000002</v>
      </c>
      <c r="D1282">
        <v>78.626403999999994</v>
      </c>
      <c r="E1282">
        <v>1.4819</v>
      </c>
      <c r="F1282">
        <v>1.4810000000000001</v>
      </c>
      <c r="G1282">
        <v>0.23899999999999999</v>
      </c>
      <c r="H1282">
        <v>0</v>
      </c>
      <c r="I1282">
        <v>1</v>
      </c>
      <c r="J1282" t="s">
        <v>0</v>
      </c>
      <c r="K1282" t="s">
        <v>61</v>
      </c>
      <c r="L1282">
        <v>0</v>
      </c>
      <c r="M1282" t="s">
        <v>52</v>
      </c>
      <c r="N1282">
        <v>1</v>
      </c>
      <c r="O1282" t="s">
        <v>63</v>
      </c>
      <c r="P1282" s="2">
        <v>0.53888888888888886</v>
      </c>
      <c r="Q1282">
        <f>0.0008206645*3600</f>
        <v>2.9543922</v>
      </c>
      <c r="R1282">
        <f>0.0035339782*3600</f>
        <v>12.722321520000001</v>
      </c>
    </row>
    <row r="1283" spans="1:18" x14ac:dyDescent="0.3">
      <c r="A1283" t="s">
        <v>47</v>
      </c>
      <c r="B1283" s="4" t="s">
        <v>356</v>
      </c>
      <c r="C1283">
        <v>298.06421</v>
      </c>
      <c r="D1283">
        <v>78.626424999999998</v>
      </c>
      <c r="E1283">
        <v>1.4819</v>
      </c>
      <c r="F1283">
        <v>1.4810000000000001</v>
      </c>
      <c r="G1283">
        <v>0.23899999999999999</v>
      </c>
      <c r="H1283">
        <v>0</v>
      </c>
      <c r="I1283">
        <v>1</v>
      </c>
      <c r="J1283" t="s">
        <v>0</v>
      </c>
      <c r="K1283" t="s">
        <v>61</v>
      </c>
      <c r="L1283">
        <v>0</v>
      </c>
      <c r="M1283" t="s">
        <v>52</v>
      </c>
      <c r="N1283">
        <v>1</v>
      </c>
      <c r="O1283" t="s">
        <v>63</v>
      </c>
      <c r="P1283" s="2">
        <v>0.53888888888888886</v>
      </c>
      <c r="Q1283">
        <f>0.0007983874*3600</f>
        <v>2.8741946400000002</v>
      </c>
      <c r="R1283">
        <f>0.0035223296*3600</f>
        <v>12.680386560000001</v>
      </c>
    </row>
    <row r="1284" spans="1:18" x14ac:dyDescent="0.3">
      <c r="A1284" t="s">
        <v>47</v>
      </c>
      <c r="B1284" s="4" t="s">
        <v>356</v>
      </c>
      <c r="C1284">
        <v>298.064142</v>
      </c>
      <c r="D1284">
        <v>78.626407</v>
      </c>
      <c r="E1284">
        <v>1.4819</v>
      </c>
      <c r="F1284">
        <v>1.4810000000000001</v>
      </c>
      <c r="G1284">
        <v>0.23899999999999999</v>
      </c>
      <c r="H1284">
        <v>0</v>
      </c>
      <c r="I1284">
        <v>1</v>
      </c>
      <c r="J1284" t="s">
        <v>0</v>
      </c>
      <c r="K1284" t="s">
        <v>61</v>
      </c>
      <c r="L1284">
        <v>0</v>
      </c>
      <c r="M1284" t="s">
        <v>52</v>
      </c>
      <c r="N1284">
        <v>1</v>
      </c>
      <c r="O1284" t="s">
        <v>63</v>
      </c>
      <c r="P1284" s="2">
        <v>0.53888888888888886</v>
      </c>
      <c r="Q1284">
        <f>0.0008268909*3600</f>
        <v>2.9768072400000003</v>
      </c>
      <c r="R1284">
        <f>0.0035331566*3600</f>
        <v>12.71936376</v>
      </c>
    </row>
    <row r="1285" spans="1:18" x14ac:dyDescent="0.3">
      <c r="A1285" t="s">
        <v>47</v>
      </c>
      <c r="B1285" s="4" t="s">
        <v>356</v>
      </c>
      <c r="C1285">
        <v>298.06413800000001</v>
      </c>
      <c r="D1285">
        <v>78.626423000000003</v>
      </c>
      <c r="E1285">
        <v>1.4819</v>
      </c>
      <c r="F1285">
        <v>1.4810000000000001</v>
      </c>
      <c r="G1285">
        <v>0.23899999999999999</v>
      </c>
      <c r="H1285">
        <v>0</v>
      </c>
      <c r="I1285">
        <v>1</v>
      </c>
      <c r="J1285" t="s">
        <v>0</v>
      </c>
      <c r="K1285" t="s">
        <v>61</v>
      </c>
      <c r="L1285">
        <v>0</v>
      </c>
      <c r="M1285" t="s">
        <v>52</v>
      </c>
      <c r="N1285">
        <v>1</v>
      </c>
      <c r="O1285" t="s">
        <v>63</v>
      </c>
      <c r="P1285" s="2">
        <v>0.53888888888888886</v>
      </c>
      <c r="Q1285">
        <f>0.0008573171*3600</f>
        <v>3.0863415600000002</v>
      </c>
      <c r="R1285">
        <f>0.0035386698*3600</f>
        <v>12.739211280000001</v>
      </c>
    </row>
    <row r="1286" spans="1:18" x14ac:dyDescent="0.3">
      <c r="A1286" t="s">
        <v>47</v>
      </c>
      <c r="B1286" s="4" t="s">
        <v>356</v>
      </c>
      <c r="C1286">
        <v>298.06418600000001</v>
      </c>
      <c r="D1286">
        <v>78.626339000000002</v>
      </c>
      <c r="E1286">
        <v>1.4819</v>
      </c>
      <c r="F1286">
        <v>1.4810000000000001</v>
      </c>
      <c r="G1286">
        <v>0.23899999999999999</v>
      </c>
      <c r="H1286">
        <v>0</v>
      </c>
      <c r="I1286">
        <v>1</v>
      </c>
      <c r="J1286" t="s">
        <v>0</v>
      </c>
      <c r="K1286" t="s">
        <v>61</v>
      </c>
      <c r="L1286">
        <v>0</v>
      </c>
      <c r="M1286" t="s">
        <v>52</v>
      </c>
      <c r="N1286">
        <v>1</v>
      </c>
      <c r="O1286" t="s">
        <v>63</v>
      </c>
      <c r="P1286" s="2">
        <v>0.53888888888888886</v>
      </c>
      <c r="Q1286">
        <f>0.0007769304*3600</f>
        <v>2.7969494400000001</v>
      </c>
      <c r="R1286">
        <f>0.0034640068*3600</f>
        <v>12.47042448</v>
      </c>
    </row>
    <row r="1287" spans="1:18" x14ac:dyDescent="0.3">
      <c r="A1287" t="s">
        <v>47</v>
      </c>
      <c r="B1287" s="4" t="s">
        <v>356</v>
      </c>
      <c r="C1287">
        <v>298.06392099999999</v>
      </c>
      <c r="D1287">
        <v>78.626424999999998</v>
      </c>
      <c r="E1287">
        <v>1.4819</v>
      </c>
      <c r="F1287">
        <v>1.4810000000000001</v>
      </c>
      <c r="G1287">
        <v>0.23899999999999999</v>
      </c>
      <c r="H1287">
        <v>0</v>
      </c>
      <c r="I1287">
        <v>1</v>
      </c>
      <c r="J1287" t="s">
        <v>0</v>
      </c>
      <c r="K1287" t="s">
        <v>61</v>
      </c>
      <c r="L1287">
        <v>0</v>
      </c>
      <c r="M1287" t="s">
        <v>52</v>
      </c>
      <c r="N1287">
        <v>1</v>
      </c>
      <c r="O1287" t="s">
        <v>63</v>
      </c>
      <c r="P1287" s="2">
        <v>0.53888888888888886</v>
      </c>
      <c r="Q1287">
        <f>0.0008315422*3600</f>
        <v>2.9935519199999998</v>
      </c>
      <c r="R1287">
        <f>0.0035189528*3600</f>
        <v>12.668230079999999</v>
      </c>
    </row>
    <row r="1288" spans="1:18" x14ac:dyDescent="0.3">
      <c r="A1288" t="s">
        <v>47</v>
      </c>
      <c r="B1288" s="4" t="s">
        <v>356</v>
      </c>
      <c r="C1288">
        <v>298.06332600000002</v>
      </c>
      <c r="D1288">
        <v>78.626553000000001</v>
      </c>
      <c r="E1288">
        <v>1.4819</v>
      </c>
      <c r="F1288">
        <v>1.4810000000000001</v>
      </c>
      <c r="G1288">
        <v>0.23899999999999999</v>
      </c>
      <c r="H1288">
        <v>0</v>
      </c>
      <c r="I1288">
        <v>1</v>
      </c>
      <c r="J1288" t="s">
        <v>0</v>
      </c>
      <c r="K1288" t="s">
        <v>61</v>
      </c>
      <c r="L1288">
        <v>0</v>
      </c>
      <c r="M1288" t="s">
        <v>52</v>
      </c>
      <c r="N1288">
        <v>1</v>
      </c>
      <c r="O1288" t="s">
        <v>63</v>
      </c>
      <c r="P1288" s="2">
        <v>0.53888888888888886</v>
      </c>
      <c r="Q1288">
        <f>0.00087618*3600</f>
        <v>3.1542479999999999</v>
      </c>
      <c r="R1288">
        <f>0.0036677847*3600</f>
        <v>13.20402492</v>
      </c>
    </row>
    <row r="1289" spans="1:18" x14ac:dyDescent="0.3">
      <c r="A1289" t="s">
        <v>47</v>
      </c>
      <c r="B1289" s="4" t="s">
        <v>356</v>
      </c>
      <c r="C1289">
        <v>298.06344000000001</v>
      </c>
      <c r="D1289">
        <v>78.626322999999999</v>
      </c>
      <c r="E1289">
        <v>1.4819</v>
      </c>
      <c r="F1289">
        <v>1.4810000000000001</v>
      </c>
      <c r="G1289">
        <v>0.23899999999999999</v>
      </c>
      <c r="H1289">
        <v>0</v>
      </c>
      <c r="I1289">
        <v>1</v>
      </c>
      <c r="J1289" t="s">
        <v>0</v>
      </c>
      <c r="K1289" t="s">
        <v>61</v>
      </c>
      <c r="L1289">
        <v>0</v>
      </c>
      <c r="M1289" t="s">
        <v>52</v>
      </c>
      <c r="N1289">
        <v>1</v>
      </c>
      <c r="O1289" t="s">
        <v>63</v>
      </c>
      <c r="P1289" s="2">
        <v>0.53888888888888886</v>
      </c>
      <c r="Q1289">
        <f>0.000854105*3600</f>
        <v>3.0747779999999998</v>
      </c>
      <c r="R1289">
        <f>0.0034591041*3600</f>
        <v>12.45277476</v>
      </c>
    </row>
    <row r="1290" spans="1:18" x14ac:dyDescent="0.3">
      <c r="A1290" t="s">
        <v>47</v>
      </c>
      <c r="B1290" s="4" t="s">
        <v>356</v>
      </c>
      <c r="C1290">
        <v>298.06340399999999</v>
      </c>
      <c r="D1290">
        <v>78.626392999999993</v>
      </c>
      <c r="E1290">
        <v>1.4819</v>
      </c>
      <c r="F1290">
        <v>1.4810000000000001</v>
      </c>
      <c r="G1290">
        <v>0.23899999999999999</v>
      </c>
      <c r="H1290">
        <v>0</v>
      </c>
      <c r="I1290">
        <v>1</v>
      </c>
      <c r="J1290" t="s">
        <v>0</v>
      </c>
      <c r="K1290" t="s">
        <v>61</v>
      </c>
      <c r="L1290">
        <v>0</v>
      </c>
      <c r="M1290" t="s">
        <v>52</v>
      </c>
      <c r="N1290">
        <v>1</v>
      </c>
      <c r="O1290" t="s">
        <v>63</v>
      </c>
      <c r="P1290" s="2">
        <v>0.53888888888888886</v>
      </c>
      <c r="Q1290">
        <f>0.0007721246*3600</f>
        <v>2.77964856</v>
      </c>
      <c r="R1290">
        <f>0.0035156398*3600</f>
        <v>12.656303279999999</v>
      </c>
    </row>
    <row r="1291" spans="1:18" x14ac:dyDescent="0.3">
      <c r="A1291" t="s">
        <v>47</v>
      </c>
      <c r="B1291" s="4" t="s">
        <v>356</v>
      </c>
      <c r="C1291">
        <v>298.063266</v>
      </c>
      <c r="D1291">
        <v>78.626445000000004</v>
      </c>
      <c r="E1291">
        <v>1.4819</v>
      </c>
      <c r="F1291">
        <v>1.4810000000000001</v>
      </c>
      <c r="G1291">
        <v>0.23899999999999999</v>
      </c>
      <c r="H1291">
        <v>0</v>
      </c>
      <c r="I1291">
        <v>1</v>
      </c>
      <c r="J1291" t="s">
        <v>0</v>
      </c>
      <c r="K1291" t="s">
        <v>61</v>
      </c>
      <c r="L1291">
        <v>0</v>
      </c>
      <c r="M1291" t="s">
        <v>52</v>
      </c>
      <c r="N1291">
        <v>1</v>
      </c>
      <c r="O1291" t="s">
        <v>63</v>
      </c>
      <c r="P1291" s="2">
        <v>0.53888888888888886</v>
      </c>
      <c r="Q1291">
        <f>0.0008846093*3600</f>
        <v>3.1845934799999998</v>
      </c>
      <c r="R1291">
        <f>0.0035674061*3600</f>
        <v>12.842661959999999</v>
      </c>
    </row>
    <row r="1292" spans="1:18" x14ac:dyDescent="0.3">
      <c r="A1292" t="s">
        <v>47</v>
      </c>
      <c r="B1292" s="4" t="s">
        <v>356</v>
      </c>
      <c r="C1292">
        <v>298.06574699999999</v>
      </c>
      <c r="D1292">
        <v>78.626580000000004</v>
      </c>
      <c r="E1292">
        <v>1.4819</v>
      </c>
      <c r="F1292">
        <v>1.4810000000000001</v>
      </c>
      <c r="G1292">
        <v>0.23899999999999999</v>
      </c>
      <c r="H1292">
        <v>0</v>
      </c>
      <c r="I1292">
        <v>1</v>
      </c>
      <c r="J1292" t="s">
        <v>0</v>
      </c>
      <c r="K1292" t="s">
        <v>61</v>
      </c>
      <c r="L1292">
        <v>0</v>
      </c>
      <c r="M1292" t="s">
        <v>52</v>
      </c>
      <c r="N1292">
        <v>1</v>
      </c>
      <c r="O1292" t="s">
        <v>63</v>
      </c>
      <c r="P1292" s="2">
        <v>0.53888888888888886</v>
      </c>
      <c r="Q1292">
        <f>0.0011613798*3600</f>
        <v>4.18096728</v>
      </c>
      <c r="R1292">
        <f>0.0036912091*3600</f>
        <v>13.28835276</v>
      </c>
    </row>
    <row r="1293" spans="1:18" x14ac:dyDescent="0.3">
      <c r="A1293" t="s">
        <v>47</v>
      </c>
      <c r="B1293" s="4" t="s">
        <v>356</v>
      </c>
      <c r="C1293">
        <v>298.06606499999998</v>
      </c>
      <c r="D1293">
        <v>78.626497000000001</v>
      </c>
      <c r="E1293">
        <v>1.4819</v>
      </c>
      <c r="F1293">
        <v>1.4810000000000001</v>
      </c>
      <c r="G1293">
        <v>0.23899999999999999</v>
      </c>
      <c r="H1293">
        <v>0</v>
      </c>
      <c r="I1293">
        <v>1</v>
      </c>
      <c r="J1293" t="s">
        <v>0</v>
      </c>
      <c r="K1293" t="s">
        <v>61</v>
      </c>
      <c r="L1293">
        <v>0</v>
      </c>
      <c r="M1293" t="s">
        <v>52</v>
      </c>
      <c r="N1293">
        <v>1</v>
      </c>
      <c r="O1293" t="s">
        <v>63</v>
      </c>
      <c r="P1293" s="2">
        <v>0.53888888888888886</v>
      </c>
      <c r="Q1293">
        <f>0.0010979002*3600</f>
        <v>3.9524407200000002</v>
      </c>
      <c r="R1293">
        <f>0.0036445838*3600</f>
        <v>13.12050168</v>
      </c>
    </row>
    <row r="1294" spans="1:18" x14ac:dyDescent="0.3">
      <c r="A1294" t="s">
        <v>47</v>
      </c>
      <c r="B1294" s="4" t="s">
        <v>356</v>
      </c>
      <c r="C1294">
        <v>298.06502899999998</v>
      </c>
      <c r="D1294">
        <v>78.626497000000001</v>
      </c>
      <c r="E1294">
        <v>1.4819</v>
      </c>
      <c r="F1294">
        <v>1.4810000000000001</v>
      </c>
      <c r="G1294">
        <v>0.23899999999999999</v>
      </c>
      <c r="H1294">
        <v>0</v>
      </c>
      <c r="I1294">
        <v>1</v>
      </c>
      <c r="J1294" t="s">
        <v>0</v>
      </c>
      <c r="K1294" t="s">
        <v>61</v>
      </c>
      <c r="L1294">
        <v>0</v>
      </c>
      <c r="M1294" t="s">
        <v>52</v>
      </c>
      <c r="N1294">
        <v>1</v>
      </c>
      <c r="O1294" t="s">
        <v>63</v>
      </c>
      <c r="P1294" s="2">
        <v>0.53888888888888886</v>
      </c>
      <c r="Q1294">
        <f>0.0008321951*3600</f>
        <v>2.9959023600000001</v>
      </c>
      <c r="R1294">
        <f>0.0036259805*3600</f>
        <v>13.0535298</v>
      </c>
    </row>
    <row r="1295" spans="1:18" x14ac:dyDescent="0.3">
      <c r="A1295" t="s">
        <v>47</v>
      </c>
      <c r="B1295" s="4" t="s">
        <v>356</v>
      </c>
      <c r="C1295">
        <v>298.065628</v>
      </c>
      <c r="D1295">
        <v>78.626355000000004</v>
      </c>
      <c r="E1295">
        <v>1.4819</v>
      </c>
      <c r="F1295">
        <v>1.4810000000000001</v>
      </c>
      <c r="G1295">
        <v>0.23899999999999999</v>
      </c>
      <c r="H1295">
        <v>0</v>
      </c>
      <c r="I1295">
        <v>1</v>
      </c>
      <c r="J1295" t="s">
        <v>0</v>
      </c>
      <c r="K1295" t="s">
        <v>61</v>
      </c>
      <c r="L1295">
        <v>0</v>
      </c>
      <c r="M1295" t="s">
        <v>52</v>
      </c>
      <c r="N1295">
        <v>1</v>
      </c>
      <c r="O1295" t="s">
        <v>63</v>
      </c>
      <c r="P1295" s="2">
        <v>0.53888888888888886</v>
      </c>
      <c r="Q1295">
        <f>0.0008006077*3600</f>
        <v>2.8821877199999997</v>
      </c>
      <c r="R1295">
        <f>0.0035012268*3600</f>
        <v>12.604416479999999</v>
      </c>
    </row>
    <row r="1296" spans="1:18" x14ac:dyDescent="0.3">
      <c r="A1296" t="s">
        <v>47</v>
      </c>
      <c r="B1296" s="4" t="s">
        <v>356</v>
      </c>
      <c r="C1296">
        <v>298.06584099999998</v>
      </c>
      <c r="D1296">
        <v>78.626379</v>
      </c>
      <c r="E1296">
        <v>1.4819</v>
      </c>
      <c r="F1296">
        <v>1.4810000000000001</v>
      </c>
      <c r="G1296">
        <v>0.23899999999999999</v>
      </c>
      <c r="H1296">
        <v>0</v>
      </c>
      <c r="I1296">
        <v>1</v>
      </c>
      <c r="J1296" t="s">
        <v>0</v>
      </c>
      <c r="K1296" t="s">
        <v>61</v>
      </c>
      <c r="L1296">
        <v>0</v>
      </c>
      <c r="M1296" t="s">
        <v>52</v>
      </c>
      <c r="N1296">
        <v>1</v>
      </c>
      <c r="O1296" t="s">
        <v>63</v>
      </c>
      <c r="P1296" s="2">
        <v>0.53888888888888886</v>
      </c>
      <c r="Q1296">
        <f>0.0006937905*3600</f>
        <v>2.4976457999999999</v>
      </c>
      <c r="R1296">
        <f>0.003534761*3600</f>
        <v>12.7251396</v>
      </c>
    </row>
    <row r="1297" spans="1:18" x14ac:dyDescent="0.3">
      <c r="A1297" t="s">
        <v>47</v>
      </c>
      <c r="B1297" s="4" t="s">
        <v>356</v>
      </c>
      <c r="C1297">
        <v>298.06631700000003</v>
      </c>
      <c r="D1297">
        <v>78.626333000000002</v>
      </c>
      <c r="E1297">
        <v>1.4819</v>
      </c>
      <c r="F1297">
        <v>1.4810000000000001</v>
      </c>
      <c r="G1297">
        <v>0.23899999999999999</v>
      </c>
      <c r="H1297">
        <v>0</v>
      </c>
      <c r="I1297">
        <v>1</v>
      </c>
      <c r="J1297" t="s">
        <v>0</v>
      </c>
      <c r="K1297" t="s">
        <v>61</v>
      </c>
      <c r="L1297">
        <v>0</v>
      </c>
      <c r="M1297" t="s">
        <v>52</v>
      </c>
      <c r="N1297">
        <v>1</v>
      </c>
      <c r="O1297" t="s">
        <v>63</v>
      </c>
      <c r="P1297" s="2">
        <v>0.53888888888888886</v>
      </c>
      <c r="Q1297">
        <f>0.0007116914*3600</f>
        <v>2.56208904</v>
      </c>
      <c r="R1297">
        <f>0.0034641995*3600</f>
        <v>12.471118199999999</v>
      </c>
    </row>
    <row r="1298" spans="1:18" x14ac:dyDescent="0.3">
      <c r="A1298" t="s">
        <v>47</v>
      </c>
      <c r="B1298" s="4" t="s">
        <v>356</v>
      </c>
      <c r="C1298">
        <v>298.06622700000003</v>
      </c>
      <c r="D1298">
        <v>78.626400000000004</v>
      </c>
      <c r="E1298">
        <v>1.4819</v>
      </c>
      <c r="F1298">
        <v>1.4810000000000001</v>
      </c>
      <c r="G1298">
        <v>0.23899999999999999</v>
      </c>
      <c r="H1298">
        <v>0</v>
      </c>
      <c r="I1298">
        <v>1</v>
      </c>
      <c r="J1298" t="s">
        <v>0</v>
      </c>
      <c r="K1298" t="s">
        <v>61</v>
      </c>
      <c r="L1298">
        <v>0</v>
      </c>
      <c r="M1298" t="s">
        <v>52</v>
      </c>
      <c r="N1298">
        <v>1</v>
      </c>
      <c r="O1298" t="s">
        <v>63</v>
      </c>
      <c r="P1298" s="2">
        <v>0.53888888888888886</v>
      </c>
      <c r="Q1298">
        <f>0.0007456628*3600</f>
        <v>2.6843860799999999</v>
      </c>
      <c r="R1298">
        <f>0.0035378906*3600</f>
        <v>12.73640616</v>
      </c>
    </row>
    <row r="1299" spans="1:18" x14ac:dyDescent="0.3">
      <c r="A1299" t="s">
        <v>47</v>
      </c>
      <c r="B1299" s="4" t="s">
        <v>356</v>
      </c>
      <c r="C1299">
        <v>298.06504200000001</v>
      </c>
      <c r="D1299">
        <v>78.626453999999995</v>
      </c>
      <c r="E1299">
        <v>1.4819</v>
      </c>
      <c r="F1299">
        <v>1.4810000000000001</v>
      </c>
      <c r="G1299">
        <v>0.23899999999999999</v>
      </c>
      <c r="H1299">
        <v>0</v>
      </c>
      <c r="I1299">
        <v>1</v>
      </c>
      <c r="J1299" t="s">
        <v>0</v>
      </c>
      <c r="K1299" t="s">
        <v>61</v>
      </c>
      <c r="L1299">
        <v>0</v>
      </c>
      <c r="M1299" t="s">
        <v>52</v>
      </c>
      <c r="N1299">
        <v>1</v>
      </c>
      <c r="O1299" t="s">
        <v>63</v>
      </c>
      <c r="P1299" s="2">
        <v>0.53888888888888886</v>
      </c>
      <c r="Q1299">
        <f>0.000742931*3600</f>
        <v>2.6745516</v>
      </c>
      <c r="R1299">
        <f>0.0035881024*3600</f>
        <v>12.91716864</v>
      </c>
    </row>
    <row r="1300" spans="1:18" x14ac:dyDescent="0.3">
      <c r="A1300" t="s">
        <v>47</v>
      </c>
      <c r="B1300" s="4" t="s">
        <v>356</v>
      </c>
      <c r="C1300">
        <v>298.06190600000002</v>
      </c>
      <c r="D1300">
        <v>78.626503999999997</v>
      </c>
      <c r="E1300">
        <v>1.4819</v>
      </c>
      <c r="F1300">
        <v>1.4810000000000001</v>
      </c>
      <c r="G1300">
        <v>0.23899999999999999</v>
      </c>
      <c r="H1300">
        <v>0</v>
      </c>
      <c r="I1300">
        <v>1</v>
      </c>
      <c r="J1300" t="s">
        <v>0</v>
      </c>
      <c r="K1300" t="s">
        <v>61</v>
      </c>
      <c r="L1300">
        <v>0</v>
      </c>
      <c r="M1300" t="s">
        <v>52</v>
      </c>
      <c r="N1300">
        <v>1</v>
      </c>
      <c r="O1300" t="s">
        <v>63</v>
      </c>
      <c r="P1300" s="2">
        <v>0.53888888888888886</v>
      </c>
      <c r="Q1300">
        <f>0.0009191803*3600</f>
        <v>3.3090490799999999</v>
      </c>
      <c r="R1300">
        <f>0.0036496492*3600</f>
        <v>13.13873712</v>
      </c>
    </row>
    <row r="1301" spans="1:18" x14ac:dyDescent="0.3">
      <c r="A1301" t="s">
        <v>47</v>
      </c>
      <c r="B1301" s="4" t="s">
        <v>356</v>
      </c>
      <c r="C1301">
        <v>298.06221699999998</v>
      </c>
      <c r="D1301">
        <v>78.626344000000003</v>
      </c>
      <c r="E1301">
        <v>1.4819</v>
      </c>
      <c r="F1301">
        <v>1.4810000000000001</v>
      </c>
      <c r="G1301">
        <v>0.23899999999999999</v>
      </c>
      <c r="H1301">
        <v>0</v>
      </c>
      <c r="I1301">
        <v>1</v>
      </c>
      <c r="J1301" t="s">
        <v>0</v>
      </c>
      <c r="K1301" t="s">
        <v>61</v>
      </c>
      <c r="L1301">
        <v>0</v>
      </c>
      <c r="M1301" t="s">
        <v>52</v>
      </c>
      <c r="N1301">
        <v>1</v>
      </c>
      <c r="O1301" t="s">
        <v>63</v>
      </c>
      <c r="P1301" s="2">
        <v>0.53888888888888886</v>
      </c>
      <c r="Q1301">
        <f>0.001051545*3600</f>
        <v>3.7855620000000001</v>
      </c>
      <c r="R1301">
        <f>0.003472264*3600</f>
        <v>12.500150400000001</v>
      </c>
    </row>
    <row r="1302" spans="1:18" x14ac:dyDescent="0.3">
      <c r="A1302" t="s">
        <v>47</v>
      </c>
      <c r="B1302" s="4" t="s">
        <v>356</v>
      </c>
      <c r="C1302">
        <v>298.06410799999998</v>
      </c>
      <c r="D1302">
        <v>78.626459999999994</v>
      </c>
      <c r="E1302">
        <v>1.4819</v>
      </c>
      <c r="F1302">
        <v>1.4810000000000001</v>
      </c>
      <c r="G1302">
        <v>0.23899999999999999</v>
      </c>
      <c r="H1302">
        <v>0</v>
      </c>
      <c r="I1302">
        <v>1</v>
      </c>
      <c r="J1302" t="s">
        <v>0</v>
      </c>
      <c r="K1302" t="s">
        <v>61</v>
      </c>
      <c r="L1302">
        <v>0</v>
      </c>
      <c r="M1302" t="s">
        <v>52</v>
      </c>
      <c r="N1302">
        <v>1</v>
      </c>
      <c r="O1302" t="s">
        <v>63</v>
      </c>
      <c r="P1302" s="2">
        <v>0.53888888888888886</v>
      </c>
      <c r="Q1302">
        <f>0.0010064658*3600</f>
        <v>3.6232768800000001</v>
      </c>
      <c r="R1302">
        <f>0.0035823719*3600</f>
        <v>12.89653884</v>
      </c>
    </row>
    <row r="1303" spans="1:18" x14ac:dyDescent="0.3">
      <c r="A1303" t="s">
        <v>47</v>
      </c>
      <c r="B1303" s="4" t="s">
        <v>356</v>
      </c>
      <c r="C1303">
        <v>298.06459100000001</v>
      </c>
      <c r="D1303">
        <v>78.626530000000002</v>
      </c>
      <c r="E1303">
        <v>1.4819</v>
      </c>
      <c r="F1303">
        <v>1.4810000000000001</v>
      </c>
      <c r="G1303">
        <v>0.23899999999999999</v>
      </c>
      <c r="H1303">
        <v>0</v>
      </c>
      <c r="I1303">
        <v>1</v>
      </c>
      <c r="J1303" t="s">
        <v>0</v>
      </c>
      <c r="K1303" t="s">
        <v>61</v>
      </c>
      <c r="L1303">
        <v>0</v>
      </c>
      <c r="M1303" t="s">
        <v>52</v>
      </c>
      <c r="N1303">
        <v>1</v>
      </c>
      <c r="O1303" t="s">
        <v>63</v>
      </c>
      <c r="P1303" s="2">
        <v>0.53888888888888886</v>
      </c>
      <c r="Q1303">
        <f>0.0010116472*3600</f>
        <v>3.6419299199999995</v>
      </c>
      <c r="R1303">
        <f>0.003671538*3600</f>
        <v>13.2175368</v>
      </c>
    </row>
    <row r="1304" spans="1:18" x14ac:dyDescent="0.3">
      <c r="A1304" t="s">
        <v>47</v>
      </c>
      <c r="B1304" s="4" t="s">
        <v>356</v>
      </c>
      <c r="C1304">
        <v>298.06432699999999</v>
      </c>
      <c r="D1304">
        <v>78.626579000000007</v>
      </c>
      <c r="E1304">
        <v>1.4819</v>
      </c>
      <c r="F1304">
        <v>1.4810000000000001</v>
      </c>
      <c r="G1304">
        <v>0.23899999999999999</v>
      </c>
      <c r="H1304">
        <v>0</v>
      </c>
      <c r="I1304">
        <v>1</v>
      </c>
      <c r="J1304" t="s">
        <v>0</v>
      </c>
      <c r="K1304" t="s">
        <v>61</v>
      </c>
      <c r="L1304">
        <v>0</v>
      </c>
      <c r="M1304" t="s">
        <v>52</v>
      </c>
      <c r="N1304">
        <v>1</v>
      </c>
      <c r="O1304" t="s">
        <v>63</v>
      </c>
      <c r="P1304" s="2">
        <v>0.53888888888888886</v>
      </c>
      <c r="Q1304">
        <f>0.0009850972*3600</f>
        <v>3.5463499199999999</v>
      </c>
      <c r="R1304">
        <f>0.0037050321*3600</f>
        <v>13.33811556</v>
      </c>
    </row>
    <row r="1305" spans="1:18" x14ac:dyDescent="0.3">
      <c r="A1305" t="s">
        <v>47</v>
      </c>
      <c r="B1305" s="4" t="s">
        <v>356</v>
      </c>
      <c r="C1305">
        <v>298.065337</v>
      </c>
      <c r="D1305">
        <v>78.626585000000006</v>
      </c>
      <c r="E1305">
        <v>1.4819</v>
      </c>
      <c r="F1305">
        <v>1.4810000000000001</v>
      </c>
      <c r="G1305">
        <v>0.23899999999999999</v>
      </c>
      <c r="H1305">
        <v>0</v>
      </c>
      <c r="I1305">
        <v>1</v>
      </c>
      <c r="J1305" t="s">
        <v>0</v>
      </c>
      <c r="K1305" t="s">
        <v>61</v>
      </c>
      <c r="L1305">
        <v>0</v>
      </c>
      <c r="M1305" t="s">
        <v>52</v>
      </c>
      <c r="N1305">
        <v>1</v>
      </c>
      <c r="O1305" t="s">
        <v>63</v>
      </c>
      <c r="P1305" s="2">
        <v>0.53888888888888886</v>
      </c>
      <c r="Q1305">
        <f>0.0010268621*3600</f>
        <v>3.69670356</v>
      </c>
      <c r="R1305">
        <f>0.0037128981*3600</f>
        <v>13.36643316</v>
      </c>
    </row>
    <row r="1306" spans="1:18" x14ac:dyDescent="0.3">
      <c r="A1306" t="s">
        <v>47</v>
      </c>
      <c r="B1306" s="4" t="s">
        <v>356</v>
      </c>
      <c r="C1306">
        <v>298.06312500000001</v>
      </c>
      <c r="D1306">
        <v>78.626576</v>
      </c>
      <c r="E1306">
        <v>1.4819</v>
      </c>
      <c r="F1306">
        <v>1.4810000000000001</v>
      </c>
      <c r="G1306">
        <v>0.23899999999999999</v>
      </c>
      <c r="H1306">
        <v>0</v>
      </c>
      <c r="I1306">
        <v>1</v>
      </c>
      <c r="J1306" t="s">
        <v>0</v>
      </c>
      <c r="K1306" t="s">
        <v>61</v>
      </c>
      <c r="L1306">
        <v>0</v>
      </c>
      <c r="M1306" t="s">
        <v>52</v>
      </c>
      <c r="N1306">
        <v>1</v>
      </c>
      <c r="O1306" t="s">
        <v>63</v>
      </c>
      <c r="P1306" s="2">
        <v>0.53888888888888886</v>
      </c>
      <c r="Q1306">
        <f>0.0008641359*3600</f>
        <v>3.1108892400000001</v>
      </c>
      <c r="R1306">
        <f>0.0036986849*3600</f>
        <v>13.31526564</v>
      </c>
    </row>
    <row r="1307" spans="1:18" x14ac:dyDescent="0.3">
      <c r="A1307" t="s">
        <v>47</v>
      </c>
      <c r="B1307" s="4" t="s">
        <v>356</v>
      </c>
      <c r="C1307">
        <v>298.06482099999999</v>
      </c>
      <c r="D1307">
        <v>78.626750000000001</v>
      </c>
      <c r="E1307">
        <v>1.4819</v>
      </c>
      <c r="F1307">
        <v>1.4810000000000001</v>
      </c>
      <c r="G1307">
        <v>0.23899999999999999</v>
      </c>
      <c r="H1307">
        <v>0</v>
      </c>
      <c r="I1307">
        <v>1</v>
      </c>
      <c r="J1307" t="s">
        <v>0</v>
      </c>
      <c r="K1307" t="s">
        <v>61</v>
      </c>
      <c r="L1307">
        <v>0</v>
      </c>
      <c r="M1307" t="s">
        <v>52</v>
      </c>
      <c r="N1307">
        <v>1</v>
      </c>
      <c r="O1307" t="s">
        <v>63</v>
      </c>
      <c r="P1307" s="2">
        <v>0.53888888888888886</v>
      </c>
      <c r="Q1307">
        <f>0.0011730868*3600</f>
        <v>4.2231124800000002</v>
      </c>
      <c r="R1307">
        <f>0.0038742695*3600</f>
        <v>13.9473702</v>
      </c>
    </row>
    <row r="1308" spans="1:18" x14ac:dyDescent="0.3">
      <c r="A1308" t="s">
        <v>47</v>
      </c>
      <c r="B1308" s="4" t="s">
        <v>356</v>
      </c>
      <c r="C1308">
        <v>298.06597199999999</v>
      </c>
      <c r="D1308">
        <v>78.626562000000007</v>
      </c>
      <c r="E1308">
        <v>1.4819</v>
      </c>
      <c r="F1308">
        <v>1.4810000000000001</v>
      </c>
      <c r="G1308">
        <v>0.23899999999999999</v>
      </c>
      <c r="H1308">
        <v>0</v>
      </c>
      <c r="I1308">
        <v>1</v>
      </c>
      <c r="J1308" t="s">
        <v>0</v>
      </c>
      <c r="K1308" t="s">
        <v>61</v>
      </c>
      <c r="L1308">
        <v>0</v>
      </c>
      <c r="M1308" t="s">
        <v>52</v>
      </c>
      <c r="N1308">
        <v>1</v>
      </c>
      <c r="O1308" t="s">
        <v>63</v>
      </c>
      <c r="P1308" s="2">
        <v>0.53888888888888886</v>
      </c>
      <c r="Q1308">
        <f>0.001076168*3600</f>
        <v>3.8742047999999998</v>
      </c>
      <c r="R1308">
        <f>0.0036874639*3600</f>
        <v>13.27487004</v>
      </c>
    </row>
    <row r="1309" spans="1:18" x14ac:dyDescent="0.3">
      <c r="A1309" t="s">
        <v>47</v>
      </c>
      <c r="B1309" s="4" t="s">
        <v>356</v>
      </c>
      <c r="C1309">
        <v>298.06657999999999</v>
      </c>
      <c r="D1309">
        <v>78.626661999999996</v>
      </c>
      <c r="E1309">
        <v>1.4819</v>
      </c>
      <c r="F1309">
        <v>1.4810000000000001</v>
      </c>
      <c r="G1309">
        <v>0.23899999999999999</v>
      </c>
      <c r="H1309">
        <v>0</v>
      </c>
      <c r="I1309">
        <v>1</v>
      </c>
      <c r="J1309" t="s">
        <v>0</v>
      </c>
      <c r="K1309" t="s">
        <v>61</v>
      </c>
      <c r="L1309">
        <v>0</v>
      </c>
      <c r="M1309" t="s">
        <v>52</v>
      </c>
      <c r="N1309">
        <v>1</v>
      </c>
      <c r="O1309" t="s">
        <v>63</v>
      </c>
      <c r="P1309" s="2">
        <v>0.53888888888888886</v>
      </c>
      <c r="Q1309">
        <f>0.0010327344*3600</f>
        <v>3.7178438399999996</v>
      </c>
      <c r="R1309">
        <f>0.0038142284*3600</f>
        <v>13.731222239999999</v>
      </c>
    </row>
    <row r="1310" spans="1:18" x14ac:dyDescent="0.3">
      <c r="A1310" t="s">
        <v>47</v>
      </c>
      <c r="B1310" s="4" t="s">
        <v>356</v>
      </c>
      <c r="C1310">
        <v>298.06668000000002</v>
      </c>
      <c r="D1310">
        <v>78.626649</v>
      </c>
      <c r="E1310">
        <v>1.4819</v>
      </c>
      <c r="F1310">
        <v>1.4810000000000001</v>
      </c>
      <c r="G1310">
        <v>0.23899999999999999</v>
      </c>
      <c r="H1310">
        <v>0</v>
      </c>
      <c r="I1310">
        <v>1</v>
      </c>
      <c r="J1310" t="s">
        <v>0</v>
      </c>
      <c r="K1310" t="s">
        <v>61</v>
      </c>
      <c r="L1310">
        <v>0</v>
      </c>
      <c r="M1310" t="s">
        <v>52</v>
      </c>
      <c r="N1310">
        <v>1</v>
      </c>
      <c r="O1310" t="s">
        <v>63</v>
      </c>
      <c r="P1310" s="2">
        <v>0.53888888888888886</v>
      </c>
      <c r="Q1310">
        <f>0.0009944596*3600</f>
        <v>3.5800545600000002</v>
      </c>
      <c r="R1310">
        <f>0.0037844857*3600</f>
        <v>13.62414852</v>
      </c>
    </row>
    <row r="1311" spans="1:18" x14ac:dyDescent="0.3">
      <c r="A1311" t="s">
        <v>47</v>
      </c>
      <c r="B1311" s="4" t="s">
        <v>356</v>
      </c>
      <c r="C1311">
        <v>298.06512700000002</v>
      </c>
      <c r="D1311">
        <v>78.626463999999999</v>
      </c>
      <c r="E1311">
        <v>1.4819</v>
      </c>
      <c r="F1311">
        <v>1.4810000000000001</v>
      </c>
      <c r="G1311">
        <v>0.23899999999999999</v>
      </c>
      <c r="H1311">
        <v>0</v>
      </c>
      <c r="I1311">
        <v>1</v>
      </c>
      <c r="J1311" t="s">
        <v>0</v>
      </c>
      <c r="K1311" t="s">
        <v>61</v>
      </c>
      <c r="L1311">
        <v>0</v>
      </c>
      <c r="M1311" t="s">
        <v>52</v>
      </c>
      <c r="N1311">
        <v>1</v>
      </c>
      <c r="O1311" t="s">
        <v>63</v>
      </c>
      <c r="P1311" s="2">
        <v>0.53888888888888886</v>
      </c>
      <c r="Q1311">
        <f>0.0009199759*3600</f>
        <v>3.31191324</v>
      </c>
      <c r="R1311">
        <f>0.0035982722*3600</f>
        <v>12.953779920000001</v>
      </c>
    </row>
    <row r="1312" spans="1:18" x14ac:dyDescent="0.3">
      <c r="A1312" t="s">
        <v>47</v>
      </c>
      <c r="B1312" s="4" t="s">
        <v>356</v>
      </c>
      <c r="C1312">
        <v>298.06577199999998</v>
      </c>
      <c r="D1312">
        <v>78.626547000000002</v>
      </c>
      <c r="E1312">
        <v>1.4819</v>
      </c>
      <c r="F1312">
        <v>1.4810000000000001</v>
      </c>
      <c r="G1312">
        <v>0.23899999999999999</v>
      </c>
      <c r="H1312">
        <v>0</v>
      </c>
      <c r="I1312">
        <v>1</v>
      </c>
      <c r="J1312" t="s">
        <v>0</v>
      </c>
      <c r="K1312" t="s">
        <v>61</v>
      </c>
      <c r="L1312">
        <v>0</v>
      </c>
      <c r="M1312" t="s">
        <v>52</v>
      </c>
      <c r="N1312">
        <v>1</v>
      </c>
      <c r="O1312" t="s">
        <v>63</v>
      </c>
      <c r="P1312" s="2">
        <v>0.53888888888888886</v>
      </c>
      <c r="Q1312">
        <f>0.0010432994*3600</f>
        <v>3.7558778400000001</v>
      </c>
      <c r="R1312">
        <f>0.0037017106*3600</f>
        <v>13.32615816</v>
      </c>
    </row>
    <row r="1313" spans="1:18" x14ac:dyDescent="0.3">
      <c r="A1313" t="s">
        <v>47</v>
      </c>
      <c r="B1313" s="4" t="s">
        <v>356</v>
      </c>
      <c r="C1313">
        <v>298.066622</v>
      </c>
      <c r="D1313">
        <v>78.626559</v>
      </c>
      <c r="E1313">
        <v>1.4819</v>
      </c>
      <c r="F1313">
        <v>1.4810000000000001</v>
      </c>
      <c r="G1313">
        <v>0.23899999999999999</v>
      </c>
      <c r="H1313">
        <v>0</v>
      </c>
      <c r="I1313">
        <v>1</v>
      </c>
      <c r="J1313" t="s">
        <v>0</v>
      </c>
      <c r="K1313" t="s">
        <v>61</v>
      </c>
      <c r="L1313">
        <v>0</v>
      </c>
      <c r="M1313" t="s">
        <v>52</v>
      </c>
      <c r="N1313">
        <v>1</v>
      </c>
      <c r="O1313" t="s">
        <v>63</v>
      </c>
      <c r="P1313" s="2">
        <v>0.53888888888888886</v>
      </c>
      <c r="Q1313">
        <f>0.0009789422*3600</f>
        <v>3.5241919200000003</v>
      </c>
      <c r="R1313">
        <f>0.0036945729*3600</f>
        <v>13.30046244</v>
      </c>
    </row>
    <row r="1314" spans="1:18" x14ac:dyDescent="0.3">
      <c r="A1314" t="s">
        <v>47</v>
      </c>
      <c r="B1314" s="4" t="s">
        <v>356</v>
      </c>
      <c r="C1314">
        <v>298.067274</v>
      </c>
      <c r="D1314">
        <v>78.626345999999998</v>
      </c>
      <c r="E1314">
        <v>1.4819</v>
      </c>
      <c r="F1314">
        <v>1.4810000000000001</v>
      </c>
      <c r="G1314">
        <v>0.23899999999999999</v>
      </c>
      <c r="H1314">
        <v>0</v>
      </c>
      <c r="I1314">
        <v>1</v>
      </c>
      <c r="J1314" t="s">
        <v>0</v>
      </c>
      <c r="K1314" t="s">
        <v>61</v>
      </c>
      <c r="L1314">
        <v>0</v>
      </c>
      <c r="M1314" t="s">
        <v>52</v>
      </c>
      <c r="N1314">
        <v>1</v>
      </c>
      <c r="O1314" t="s">
        <v>63</v>
      </c>
      <c r="P1314" s="2">
        <v>0.53888888888888886</v>
      </c>
      <c r="Q1314">
        <f>0.0007324018*3600</f>
        <v>2.63664648</v>
      </c>
      <c r="R1314">
        <f>0.0034775148*3600</f>
        <v>12.51905328</v>
      </c>
    </row>
    <row r="1315" spans="1:18" x14ac:dyDescent="0.3">
      <c r="A1315" t="s">
        <v>47</v>
      </c>
      <c r="B1315" s="4" t="s">
        <v>356</v>
      </c>
      <c r="C1315">
        <v>298.06795599999998</v>
      </c>
      <c r="D1315">
        <v>78.626517000000007</v>
      </c>
      <c r="E1315">
        <v>1.4819</v>
      </c>
      <c r="F1315">
        <v>1.4810000000000001</v>
      </c>
      <c r="G1315">
        <v>0.23899999999999999</v>
      </c>
      <c r="H1315">
        <v>0</v>
      </c>
      <c r="I1315">
        <v>1</v>
      </c>
      <c r="J1315" t="s">
        <v>0</v>
      </c>
      <c r="K1315" t="s">
        <v>61</v>
      </c>
      <c r="L1315">
        <v>0</v>
      </c>
      <c r="M1315" t="s">
        <v>52</v>
      </c>
      <c r="N1315">
        <v>1</v>
      </c>
      <c r="O1315" t="s">
        <v>63</v>
      </c>
      <c r="P1315" s="2">
        <v>0.5395833333333333</v>
      </c>
      <c r="Q1315">
        <f>0.0007443439*3600</f>
        <v>2.6796380400000004</v>
      </c>
      <c r="R1315">
        <f>0.0036491602*3600</f>
        <v>13.13697672</v>
      </c>
    </row>
    <row r="1316" spans="1:18" x14ac:dyDescent="0.3">
      <c r="A1316" t="s">
        <v>47</v>
      </c>
      <c r="B1316" s="4" t="s">
        <v>356</v>
      </c>
      <c r="C1316">
        <v>298.06660099999999</v>
      </c>
      <c r="D1316">
        <v>78.626469999999998</v>
      </c>
      <c r="E1316">
        <v>1.4819</v>
      </c>
      <c r="F1316">
        <v>1.4810000000000001</v>
      </c>
      <c r="G1316">
        <v>0.23899999999999999</v>
      </c>
      <c r="H1316">
        <v>0</v>
      </c>
      <c r="I1316">
        <v>1</v>
      </c>
      <c r="J1316" t="s">
        <v>0</v>
      </c>
      <c r="K1316" t="s">
        <v>61</v>
      </c>
      <c r="L1316">
        <v>0</v>
      </c>
      <c r="M1316" t="s">
        <v>52</v>
      </c>
      <c r="N1316">
        <v>1</v>
      </c>
      <c r="O1316" t="s">
        <v>63</v>
      </c>
      <c r="P1316" s="2">
        <v>0.5395833333333333</v>
      </c>
      <c r="Q1316">
        <f>0.0007513047*3600</f>
        <v>2.7046969199999999</v>
      </c>
      <c r="R1316">
        <f>0.0035986222*3600</f>
        <v>12.955039920000001</v>
      </c>
    </row>
    <row r="1317" spans="1:18" x14ac:dyDescent="0.3">
      <c r="A1317" t="s">
        <v>47</v>
      </c>
      <c r="B1317" s="4" t="s">
        <v>356</v>
      </c>
      <c r="C1317">
        <v>298.06672300000002</v>
      </c>
      <c r="D1317">
        <v>78.626694999999998</v>
      </c>
      <c r="E1317">
        <v>1.4819</v>
      </c>
      <c r="F1317">
        <v>1.4810000000000001</v>
      </c>
      <c r="G1317">
        <v>0.23899999999999999</v>
      </c>
      <c r="H1317">
        <v>0</v>
      </c>
      <c r="I1317">
        <v>1</v>
      </c>
      <c r="J1317" t="s">
        <v>0</v>
      </c>
      <c r="K1317" t="s">
        <v>61</v>
      </c>
      <c r="L1317">
        <v>0</v>
      </c>
      <c r="M1317" t="s">
        <v>52</v>
      </c>
      <c r="N1317">
        <v>1</v>
      </c>
      <c r="O1317" t="s">
        <v>63</v>
      </c>
      <c r="P1317" s="2">
        <v>0.5395833333333333</v>
      </c>
      <c r="Q1317">
        <f>0.0008185804*3600</f>
        <v>2.9468894400000001</v>
      </c>
      <c r="R1317">
        <f>0.0038233645*3600</f>
        <v>13.7641122</v>
      </c>
    </row>
    <row r="1318" spans="1:18" x14ac:dyDescent="0.3">
      <c r="A1318" t="s">
        <v>47</v>
      </c>
      <c r="B1318" s="4" t="s">
        <v>356</v>
      </c>
      <c r="C1318">
        <v>298.06705299999999</v>
      </c>
      <c r="D1318">
        <v>78.626661999999996</v>
      </c>
      <c r="E1318">
        <v>1.4819</v>
      </c>
      <c r="F1318">
        <v>1.4810000000000001</v>
      </c>
      <c r="G1318">
        <v>0.23899999999999999</v>
      </c>
      <c r="H1318">
        <v>0</v>
      </c>
      <c r="I1318">
        <v>1</v>
      </c>
      <c r="J1318" t="s">
        <v>0</v>
      </c>
      <c r="K1318" t="s">
        <v>61</v>
      </c>
      <c r="L1318">
        <v>0</v>
      </c>
      <c r="M1318" t="s">
        <v>52</v>
      </c>
      <c r="N1318">
        <v>1</v>
      </c>
      <c r="O1318" t="s">
        <v>63</v>
      </c>
      <c r="P1318" s="2">
        <v>0.5395833333333333</v>
      </c>
      <c r="Q1318">
        <f>0.001058321*3600</f>
        <v>3.8099556000000003</v>
      </c>
      <c r="R1318">
        <f>0.0037902133*3600</f>
        <v>13.64476788</v>
      </c>
    </row>
    <row r="1319" spans="1:18" x14ac:dyDescent="0.3">
      <c r="A1319" t="s">
        <v>47</v>
      </c>
      <c r="B1319" s="4" t="s">
        <v>356</v>
      </c>
      <c r="C1319">
        <v>298.068557</v>
      </c>
      <c r="D1319">
        <v>78.626636000000005</v>
      </c>
      <c r="E1319">
        <v>1.4819</v>
      </c>
      <c r="F1319">
        <v>1.4810000000000001</v>
      </c>
      <c r="G1319">
        <v>0.23899999999999999</v>
      </c>
      <c r="H1319">
        <v>0</v>
      </c>
      <c r="I1319">
        <v>1</v>
      </c>
      <c r="J1319" t="s">
        <v>0</v>
      </c>
      <c r="K1319" t="s">
        <v>61</v>
      </c>
      <c r="L1319">
        <v>0</v>
      </c>
      <c r="M1319" t="s">
        <v>52</v>
      </c>
      <c r="N1319">
        <v>1</v>
      </c>
      <c r="O1319" t="s">
        <v>63</v>
      </c>
      <c r="P1319" s="2">
        <v>0.5395833333333333</v>
      </c>
      <c r="Q1319">
        <f>0.0009652807*3600</f>
        <v>3.4750105200000001</v>
      </c>
      <c r="R1319">
        <f>0.003764922*3600</f>
        <v>13.5537192</v>
      </c>
    </row>
    <row r="1320" spans="1:18" x14ac:dyDescent="0.3">
      <c r="A1320" t="s">
        <v>47</v>
      </c>
      <c r="B1320" s="4" t="s">
        <v>356</v>
      </c>
      <c r="C1320">
        <v>298.068579</v>
      </c>
      <c r="D1320">
        <v>78.626743000000005</v>
      </c>
      <c r="E1320">
        <v>1.4819</v>
      </c>
      <c r="F1320">
        <v>1.4810000000000001</v>
      </c>
      <c r="G1320">
        <v>0.23899999999999999</v>
      </c>
      <c r="H1320">
        <v>0</v>
      </c>
      <c r="I1320">
        <v>1</v>
      </c>
      <c r="J1320" t="s">
        <v>0</v>
      </c>
      <c r="K1320" t="s">
        <v>61</v>
      </c>
      <c r="L1320">
        <v>0</v>
      </c>
      <c r="M1320" t="s">
        <v>52</v>
      </c>
      <c r="N1320">
        <v>1</v>
      </c>
      <c r="O1320" t="s">
        <v>63</v>
      </c>
      <c r="P1320" s="2">
        <v>0.5395833333333333</v>
      </c>
      <c r="Q1320">
        <f>0.0009760898*3600</f>
        <v>3.5139232800000002</v>
      </c>
      <c r="R1320">
        <f>0.0038758077*3600</f>
        <v>13.952907720000001</v>
      </c>
    </row>
    <row r="1321" spans="1:18" x14ac:dyDescent="0.3">
      <c r="A1321" t="s">
        <v>47</v>
      </c>
      <c r="B1321" s="4" t="s">
        <v>356</v>
      </c>
      <c r="C1321">
        <v>298.06841700000001</v>
      </c>
      <c r="D1321">
        <v>78.626439000000005</v>
      </c>
      <c r="E1321">
        <v>1.4819</v>
      </c>
      <c r="F1321">
        <v>1.4810000000000001</v>
      </c>
      <c r="G1321">
        <v>0.23899999999999999</v>
      </c>
      <c r="H1321">
        <v>0</v>
      </c>
      <c r="I1321">
        <v>1</v>
      </c>
      <c r="J1321" t="s">
        <v>0</v>
      </c>
      <c r="K1321" t="s">
        <v>61</v>
      </c>
      <c r="L1321">
        <v>0</v>
      </c>
      <c r="M1321" t="s">
        <v>52</v>
      </c>
      <c r="N1321">
        <v>1</v>
      </c>
      <c r="O1321" t="s">
        <v>63</v>
      </c>
      <c r="P1321" s="2">
        <v>0.5395833333333333</v>
      </c>
      <c r="Q1321">
        <f>0.0006854195*3600</f>
        <v>2.4675102</v>
      </c>
      <c r="R1321">
        <f>0.0035542808*3600</f>
        <v>12.79541088</v>
      </c>
    </row>
    <row r="1322" spans="1:18" x14ac:dyDescent="0.3">
      <c r="A1322" t="s">
        <v>47</v>
      </c>
      <c r="B1322" s="4" t="s">
        <v>356</v>
      </c>
      <c r="C1322">
        <v>298.06741599999998</v>
      </c>
      <c r="D1322">
        <v>78.626480999999998</v>
      </c>
      <c r="E1322">
        <v>1.4819</v>
      </c>
      <c r="F1322">
        <v>1.4810000000000001</v>
      </c>
      <c r="G1322">
        <v>0.23899999999999999</v>
      </c>
      <c r="H1322">
        <v>0</v>
      </c>
      <c r="I1322">
        <v>1</v>
      </c>
      <c r="J1322" t="s">
        <v>0</v>
      </c>
      <c r="K1322" t="s">
        <v>61</v>
      </c>
      <c r="L1322">
        <v>0</v>
      </c>
      <c r="M1322" t="s">
        <v>52</v>
      </c>
      <c r="N1322">
        <v>1</v>
      </c>
      <c r="O1322" t="s">
        <v>63</v>
      </c>
      <c r="P1322" s="2">
        <v>0.5395833333333333</v>
      </c>
      <c r="Q1322">
        <f>0.0007522809*3600</f>
        <v>2.7082112400000002</v>
      </c>
      <c r="R1322">
        <f>0.0036004825*3600</f>
        <v>12.961736999999999</v>
      </c>
    </row>
    <row r="1323" spans="1:18" x14ac:dyDescent="0.3">
      <c r="A1323" t="s">
        <v>47</v>
      </c>
      <c r="B1323" s="4" t="s">
        <v>356</v>
      </c>
      <c r="C1323">
        <v>298.06687599999998</v>
      </c>
      <c r="D1323">
        <v>78.626472000000007</v>
      </c>
      <c r="E1323">
        <v>1.4819</v>
      </c>
      <c r="F1323">
        <v>1.4810000000000001</v>
      </c>
      <c r="G1323">
        <v>0.23899999999999999</v>
      </c>
      <c r="H1323">
        <v>0</v>
      </c>
      <c r="I1323">
        <v>1</v>
      </c>
      <c r="J1323" t="s">
        <v>0</v>
      </c>
      <c r="K1323" t="s">
        <v>61</v>
      </c>
      <c r="L1323">
        <v>0</v>
      </c>
      <c r="M1323" t="s">
        <v>52</v>
      </c>
      <c r="N1323">
        <v>1</v>
      </c>
      <c r="O1323" t="s">
        <v>63</v>
      </c>
      <c r="P1323" s="2">
        <v>0.5395833333333333</v>
      </c>
      <c r="Q1323">
        <f>0.0006820589*3600</f>
        <v>2.4554120400000001</v>
      </c>
      <c r="R1323">
        <f>0.0035793378*3600</f>
        <v>12.88561608</v>
      </c>
    </row>
    <row r="1324" spans="1:18" x14ac:dyDescent="0.3">
      <c r="A1324" t="s">
        <v>47</v>
      </c>
      <c r="B1324" s="4" t="s">
        <v>356</v>
      </c>
      <c r="C1324">
        <v>298.06624399999998</v>
      </c>
      <c r="D1324">
        <v>78.626446999999999</v>
      </c>
      <c r="E1324">
        <v>1.4819</v>
      </c>
      <c r="F1324">
        <v>1.4810000000000001</v>
      </c>
      <c r="G1324">
        <v>0.23899999999999999</v>
      </c>
      <c r="H1324">
        <v>0</v>
      </c>
      <c r="I1324">
        <v>1</v>
      </c>
      <c r="J1324" t="s">
        <v>0</v>
      </c>
      <c r="K1324" t="s">
        <v>61</v>
      </c>
      <c r="L1324">
        <v>0</v>
      </c>
      <c r="M1324" t="s">
        <v>52</v>
      </c>
      <c r="N1324">
        <v>1</v>
      </c>
      <c r="O1324" t="s">
        <v>63</v>
      </c>
      <c r="P1324" s="2">
        <v>0.5395833333333333</v>
      </c>
      <c r="Q1324">
        <f>0.0007722331*3600</f>
        <v>2.7800391600000003</v>
      </c>
      <c r="R1324">
        <f>0.0035764842*3600</f>
        <v>12.87534312</v>
      </c>
    </row>
    <row r="1325" spans="1:18" x14ac:dyDescent="0.3">
      <c r="A1325" t="s">
        <v>47</v>
      </c>
      <c r="B1325" s="4" t="s">
        <v>356</v>
      </c>
      <c r="C1325">
        <v>298.06831899999997</v>
      </c>
      <c r="D1325">
        <v>78.626593999999997</v>
      </c>
      <c r="E1325">
        <v>1.4819</v>
      </c>
      <c r="F1325">
        <v>1.4810000000000001</v>
      </c>
      <c r="G1325">
        <v>0.23899999999999999</v>
      </c>
      <c r="H1325">
        <v>0</v>
      </c>
      <c r="I1325">
        <v>1</v>
      </c>
      <c r="J1325" t="s">
        <v>0</v>
      </c>
      <c r="K1325" t="s">
        <v>61</v>
      </c>
      <c r="L1325">
        <v>0</v>
      </c>
      <c r="M1325" t="s">
        <v>52</v>
      </c>
      <c r="N1325">
        <v>1</v>
      </c>
      <c r="O1325" t="s">
        <v>63</v>
      </c>
      <c r="P1325" s="2">
        <v>0.5395833333333333</v>
      </c>
      <c r="Q1325">
        <f>0.0009847935*3600</f>
        <v>3.5452566000000001</v>
      </c>
      <c r="R1325">
        <f>0.0037318546*3600</f>
        <v>13.43467656</v>
      </c>
    </row>
    <row r="1326" spans="1:18" x14ac:dyDescent="0.3">
      <c r="A1326" t="s">
        <v>47</v>
      </c>
      <c r="B1326" s="4" t="s">
        <v>356</v>
      </c>
      <c r="C1326">
        <v>298.06763699999999</v>
      </c>
      <c r="D1326">
        <v>78.626604999999998</v>
      </c>
      <c r="E1326">
        <v>1.4819</v>
      </c>
      <c r="F1326">
        <v>1.4810000000000001</v>
      </c>
      <c r="G1326">
        <v>0.23899999999999999</v>
      </c>
      <c r="H1326">
        <v>0</v>
      </c>
      <c r="I1326">
        <v>1</v>
      </c>
      <c r="J1326" t="s">
        <v>0</v>
      </c>
      <c r="K1326" t="s">
        <v>61</v>
      </c>
      <c r="L1326">
        <v>0</v>
      </c>
      <c r="M1326" t="s">
        <v>52</v>
      </c>
      <c r="N1326">
        <v>1</v>
      </c>
      <c r="O1326" t="s">
        <v>63</v>
      </c>
      <c r="P1326" s="2">
        <v>0.5395833333333333</v>
      </c>
      <c r="Q1326">
        <f>0.0010070306*3600</f>
        <v>3.6253101599999997</v>
      </c>
      <c r="R1326">
        <f>0.003717787*3600</f>
        <v>13.384033200000001</v>
      </c>
    </row>
    <row r="1327" spans="1:18" x14ac:dyDescent="0.3">
      <c r="A1327" t="s">
        <v>47</v>
      </c>
      <c r="B1327" s="4" t="s">
        <v>356</v>
      </c>
      <c r="C1327">
        <v>298.068197</v>
      </c>
      <c r="D1327">
        <v>78.626628999999994</v>
      </c>
      <c r="E1327">
        <v>1.4819</v>
      </c>
      <c r="F1327">
        <v>1.4810000000000001</v>
      </c>
      <c r="G1327">
        <v>0.23899999999999999</v>
      </c>
      <c r="H1327">
        <v>0</v>
      </c>
      <c r="I1327">
        <v>1</v>
      </c>
      <c r="J1327" t="s">
        <v>0</v>
      </c>
      <c r="K1327" t="s">
        <v>61</v>
      </c>
      <c r="L1327">
        <v>0</v>
      </c>
      <c r="M1327" t="s">
        <v>52</v>
      </c>
      <c r="N1327">
        <v>1</v>
      </c>
      <c r="O1327" t="s">
        <v>63</v>
      </c>
      <c r="P1327" s="2">
        <v>0.5395833333333333</v>
      </c>
      <c r="Q1327">
        <f>0.0010847429*3600</f>
        <v>3.9050744399999999</v>
      </c>
      <c r="R1327">
        <f>0.0037612476*3600</f>
        <v>13.540491359999999</v>
      </c>
    </row>
    <row r="1328" spans="1:18" x14ac:dyDescent="0.3">
      <c r="A1328" t="s">
        <v>47</v>
      </c>
      <c r="B1328" s="4" t="s">
        <v>356</v>
      </c>
      <c r="C1328">
        <v>298.06980700000003</v>
      </c>
      <c r="D1328">
        <v>78.626497999999998</v>
      </c>
      <c r="E1328">
        <v>1.4819</v>
      </c>
      <c r="F1328">
        <v>1.4810000000000001</v>
      </c>
      <c r="G1328">
        <v>0.23899999999999999</v>
      </c>
      <c r="H1328">
        <v>0</v>
      </c>
      <c r="I1328">
        <v>1</v>
      </c>
      <c r="J1328" t="s">
        <v>0</v>
      </c>
      <c r="K1328" t="s">
        <v>61</v>
      </c>
      <c r="L1328">
        <v>0</v>
      </c>
      <c r="M1328" t="s">
        <v>52</v>
      </c>
      <c r="N1328">
        <v>1</v>
      </c>
      <c r="O1328" t="s">
        <v>63</v>
      </c>
      <c r="P1328" s="2">
        <v>0.5395833333333333</v>
      </c>
      <c r="Q1328">
        <f>0.0009153719*3600</f>
        <v>3.2953388399999999</v>
      </c>
      <c r="R1328">
        <f>0.0036269496*3600</f>
        <v>13.057018560000001</v>
      </c>
    </row>
    <row r="1329" spans="1:18" x14ac:dyDescent="0.3">
      <c r="A1329" t="s">
        <v>47</v>
      </c>
      <c r="B1329" s="4" t="s">
        <v>356</v>
      </c>
      <c r="C1329">
        <v>298.06933299999997</v>
      </c>
      <c r="D1329">
        <v>78.626469999999998</v>
      </c>
      <c r="E1329">
        <v>1.4819</v>
      </c>
      <c r="F1329">
        <v>1.4810000000000001</v>
      </c>
      <c r="G1329">
        <v>0.23899999999999999</v>
      </c>
      <c r="H1329">
        <v>0</v>
      </c>
      <c r="I1329">
        <v>1</v>
      </c>
      <c r="J1329" t="s">
        <v>0</v>
      </c>
      <c r="K1329" t="s">
        <v>61</v>
      </c>
      <c r="L1329">
        <v>0</v>
      </c>
      <c r="M1329" t="s">
        <v>52</v>
      </c>
      <c r="N1329">
        <v>1</v>
      </c>
      <c r="O1329" t="s">
        <v>63</v>
      </c>
      <c r="P1329" s="2">
        <v>0.5395833333333333</v>
      </c>
      <c r="Q1329">
        <f>0.0007194282*3600</f>
        <v>2.58994152</v>
      </c>
      <c r="R1329">
        <f>0.0035969548*3600</f>
        <v>12.949037280000001</v>
      </c>
    </row>
    <row r="1330" spans="1:18" x14ac:dyDescent="0.3">
      <c r="A1330" t="s">
        <v>47</v>
      </c>
      <c r="B1330" s="4" t="s">
        <v>356</v>
      </c>
      <c r="C1330">
        <v>298.06843800000001</v>
      </c>
      <c r="D1330">
        <v>78.626340999999996</v>
      </c>
      <c r="E1330">
        <v>1.4819</v>
      </c>
      <c r="F1330">
        <v>1.4810000000000001</v>
      </c>
      <c r="G1330">
        <v>0.23899999999999999</v>
      </c>
      <c r="H1330">
        <v>0</v>
      </c>
      <c r="I1330">
        <v>1</v>
      </c>
      <c r="J1330" t="s">
        <v>0</v>
      </c>
      <c r="K1330" t="s">
        <v>61</v>
      </c>
      <c r="L1330">
        <v>0</v>
      </c>
      <c r="M1330" t="s">
        <v>52</v>
      </c>
      <c r="N1330">
        <v>1</v>
      </c>
      <c r="O1330" t="s">
        <v>63</v>
      </c>
      <c r="P1330" s="2">
        <v>0.5395833333333333</v>
      </c>
      <c r="Q1330">
        <f>0.0005846694*3600</f>
        <v>2.1048098400000002</v>
      </c>
      <c r="R1330">
        <f>0.0034426939*3600</f>
        <v>12.39369804</v>
      </c>
    </row>
    <row r="1331" spans="1:18" x14ac:dyDescent="0.3">
      <c r="A1331" t="s">
        <v>47</v>
      </c>
      <c r="B1331" s="4" t="s">
        <v>356</v>
      </c>
      <c r="C1331">
        <v>298.06729200000001</v>
      </c>
      <c r="D1331">
        <v>78.626548999999997</v>
      </c>
      <c r="E1331">
        <v>1.4819</v>
      </c>
      <c r="F1331">
        <v>1.4810000000000001</v>
      </c>
      <c r="G1331">
        <v>0.23899999999999999</v>
      </c>
      <c r="H1331">
        <v>0</v>
      </c>
      <c r="I1331">
        <v>1</v>
      </c>
      <c r="J1331" t="s">
        <v>0</v>
      </c>
      <c r="K1331" t="s">
        <v>61</v>
      </c>
      <c r="L1331">
        <v>0</v>
      </c>
      <c r="M1331" t="s">
        <v>52</v>
      </c>
      <c r="N1331">
        <v>1</v>
      </c>
      <c r="O1331" t="s">
        <v>63</v>
      </c>
      <c r="P1331" s="2">
        <v>0.5395833333333333</v>
      </c>
      <c r="Q1331">
        <f>0.0007159142*3600</f>
        <v>2.5772911199999999</v>
      </c>
      <c r="R1331">
        <f>0.0036654923*3600</f>
        <v>13.19577228</v>
      </c>
    </row>
    <row r="1332" spans="1:18" x14ac:dyDescent="0.3">
      <c r="A1332" t="s">
        <v>47</v>
      </c>
      <c r="B1332" s="4" t="s">
        <v>356</v>
      </c>
      <c r="C1332">
        <v>298.06866400000001</v>
      </c>
      <c r="D1332">
        <v>78.626598000000001</v>
      </c>
      <c r="E1332">
        <v>1.4819</v>
      </c>
      <c r="F1332">
        <v>1.4810000000000001</v>
      </c>
      <c r="G1332">
        <v>0.23899999999999999</v>
      </c>
      <c r="H1332">
        <v>0</v>
      </c>
      <c r="I1332">
        <v>1</v>
      </c>
      <c r="J1332" t="s">
        <v>0</v>
      </c>
      <c r="K1332" t="s">
        <v>61</v>
      </c>
      <c r="L1332">
        <v>0</v>
      </c>
      <c r="M1332" t="s">
        <v>52</v>
      </c>
      <c r="N1332">
        <v>1</v>
      </c>
      <c r="O1332" t="s">
        <v>63</v>
      </c>
      <c r="P1332" s="2">
        <v>0.5395833333333333</v>
      </c>
      <c r="Q1332">
        <f>0.0009347862*3600</f>
        <v>3.3652303200000002</v>
      </c>
      <c r="R1332">
        <f>0.0037298012*3600</f>
        <v>13.42728432</v>
      </c>
    </row>
    <row r="1333" spans="1:18" x14ac:dyDescent="0.3">
      <c r="A1333" t="s">
        <v>47</v>
      </c>
      <c r="B1333" s="4" t="s">
        <v>356</v>
      </c>
      <c r="C1333">
        <v>298.06894199999999</v>
      </c>
      <c r="D1333">
        <v>78.626628999999994</v>
      </c>
      <c r="E1333">
        <v>1.4819</v>
      </c>
      <c r="F1333">
        <v>1.4810000000000001</v>
      </c>
      <c r="G1333">
        <v>0.23899999999999999</v>
      </c>
      <c r="H1333">
        <v>0</v>
      </c>
      <c r="I1333">
        <v>1</v>
      </c>
      <c r="J1333" t="s">
        <v>0</v>
      </c>
      <c r="K1333" t="s">
        <v>61</v>
      </c>
      <c r="L1333">
        <v>0</v>
      </c>
      <c r="M1333" t="s">
        <v>52</v>
      </c>
      <c r="N1333">
        <v>1</v>
      </c>
      <c r="O1333" t="s">
        <v>63</v>
      </c>
      <c r="P1333" s="2">
        <v>0.5395833333333333</v>
      </c>
      <c r="Q1333">
        <f>0.0009031477*3600</f>
        <v>3.25133172</v>
      </c>
      <c r="R1333">
        <f>0.0037760973*3600</f>
        <v>13.59395028</v>
      </c>
    </row>
    <row r="1334" spans="1:18" x14ac:dyDescent="0.3">
      <c r="A1334" t="s">
        <v>47</v>
      </c>
      <c r="B1334" s="4" t="s">
        <v>356</v>
      </c>
      <c r="C1334">
        <v>298.06943899999999</v>
      </c>
      <c r="D1334">
        <v>78.626750000000001</v>
      </c>
      <c r="E1334">
        <v>1.4819</v>
      </c>
      <c r="F1334">
        <v>1.4810000000000001</v>
      </c>
      <c r="G1334">
        <v>0.23899999999999999</v>
      </c>
      <c r="H1334">
        <v>0</v>
      </c>
      <c r="I1334">
        <v>1</v>
      </c>
      <c r="J1334" t="s">
        <v>0</v>
      </c>
      <c r="K1334" t="s">
        <v>61</v>
      </c>
      <c r="L1334">
        <v>0</v>
      </c>
      <c r="M1334" t="s">
        <v>52</v>
      </c>
      <c r="N1334">
        <v>1</v>
      </c>
      <c r="O1334" t="s">
        <v>63</v>
      </c>
      <c r="P1334" s="2">
        <v>0.5395833333333333</v>
      </c>
      <c r="Q1334">
        <f>0.0009698311*3600</f>
        <v>3.4913919600000001</v>
      </c>
      <c r="R1334">
        <f>0.0039121901*3600</f>
        <v>14.083884359999999</v>
      </c>
    </row>
    <row r="1335" spans="1:18" x14ac:dyDescent="0.3">
      <c r="A1335" t="s">
        <v>47</v>
      </c>
      <c r="B1335" s="4" t="s">
        <v>356</v>
      </c>
      <c r="C1335">
        <v>298.07011799999998</v>
      </c>
      <c r="D1335">
        <v>78.626746999999995</v>
      </c>
      <c r="E1335">
        <v>1.4819</v>
      </c>
      <c r="F1335">
        <v>1.4810000000000001</v>
      </c>
      <c r="G1335">
        <v>0.23899999999999999</v>
      </c>
      <c r="H1335">
        <v>0</v>
      </c>
      <c r="I1335">
        <v>1</v>
      </c>
      <c r="J1335" t="s">
        <v>0</v>
      </c>
      <c r="K1335" t="s">
        <v>61</v>
      </c>
      <c r="L1335">
        <v>0</v>
      </c>
      <c r="M1335" t="s">
        <v>52</v>
      </c>
      <c r="N1335">
        <v>1</v>
      </c>
      <c r="O1335" t="s">
        <v>63</v>
      </c>
      <c r="P1335" s="2">
        <v>0.5395833333333333</v>
      </c>
      <c r="Q1335">
        <f>0.0010864709*3600</f>
        <v>3.9112952400000003</v>
      </c>
      <c r="R1335">
        <f>0.0038884566*3600</f>
        <v>13.998443760000001</v>
      </c>
    </row>
    <row r="1336" spans="1:18" x14ac:dyDescent="0.3">
      <c r="A1336" t="s">
        <v>47</v>
      </c>
      <c r="B1336" s="4" t="s">
        <v>356</v>
      </c>
      <c r="C1336">
        <v>298.07135899999997</v>
      </c>
      <c r="D1336">
        <v>78.626570999999998</v>
      </c>
      <c r="E1336">
        <v>1.4819</v>
      </c>
      <c r="F1336">
        <v>1.4810000000000001</v>
      </c>
      <c r="G1336">
        <v>0.23899999999999999</v>
      </c>
      <c r="H1336">
        <v>0</v>
      </c>
      <c r="I1336">
        <v>1</v>
      </c>
      <c r="J1336" t="s">
        <v>0</v>
      </c>
      <c r="K1336" t="s">
        <v>61</v>
      </c>
      <c r="L1336">
        <v>0</v>
      </c>
      <c r="M1336" t="s">
        <v>52</v>
      </c>
      <c r="N1336">
        <v>1</v>
      </c>
      <c r="O1336" t="s">
        <v>63</v>
      </c>
      <c r="P1336" s="2">
        <v>0.5395833333333333</v>
      </c>
      <c r="Q1336">
        <f>0.0009157608*3600</f>
        <v>3.2967388799999999</v>
      </c>
      <c r="R1336">
        <f>0.003675752*3600</f>
        <v>13.2327072</v>
      </c>
    </row>
    <row r="1337" spans="1:18" x14ac:dyDescent="0.3">
      <c r="A1337" t="s">
        <v>47</v>
      </c>
      <c r="B1337" s="4" t="s">
        <v>356</v>
      </c>
      <c r="C1337">
        <v>98.057373999999996</v>
      </c>
      <c r="D1337">
        <v>296.49154900000002</v>
      </c>
      <c r="E1337" s="7">
        <v>1.4835</v>
      </c>
      <c r="F1337" s="7">
        <v>1.4810000000000001</v>
      </c>
      <c r="G1337">
        <v>0.23899999999999999</v>
      </c>
      <c r="H1337">
        <v>0</v>
      </c>
      <c r="I1337">
        <v>2</v>
      </c>
      <c r="J1337" t="s">
        <v>0</v>
      </c>
      <c r="K1337" t="s">
        <v>61</v>
      </c>
      <c r="L1337">
        <v>3.4000000000000002E-2</v>
      </c>
      <c r="M1337" t="s">
        <v>52</v>
      </c>
      <c r="N1337">
        <v>1</v>
      </c>
      <c r="O1337" t="s">
        <v>53</v>
      </c>
      <c r="P1337" s="2">
        <v>0.54861111111111105</v>
      </c>
      <c r="Q1337">
        <f>-0.0009866261*3600</f>
        <v>-3.5518539600000003</v>
      </c>
      <c r="R1337">
        <f>-0.0032217529*3600</f>
        <v>-11.598310440000001</v>
      </c>
    </row>
    <row r="1338" spans="1:18" x14ac:dyDescent="0.3">
      <c r="A1338" t="s">
        <v>47</v>
      </c>
      <c r="B1338" s="4" t="s">
        <v>356</v>
      </c>
      <c r="C1338">
        <v>98.067126000000002</v>
      </c>
      <c r="D1338">
        <v>321.27005400000002</v>
      </c>
      <c r="E1338">
        <v>1.4835</v>
      </c>
      <c r="F1338">
        <v>1.4810000000000001</v>
      </c>
      <c r="G1338">
        <v>0.23899999999999999</v>
      </c>
      <c r="H1338">
        <v>0</v>
      </c>
      <c r="I1338">
        <v>2</v>
      </c>
      <c r="J1338" t="s">
        <v>0</v>
      </c>
      <c r="K1338" t="s">
        <v>61</v>
      </c>
      <c r="L1338">
        <v>0</v>
      </c>
      <c r="M1338" t="s">
        <v>52</v>
      </c>
      <c r="N1338">
        <v>1</v>
      </c>
      <c r="O1338" t="s">
        <v>63</v>
      </c>
      <c r="P1338" s="2">
        <v>0.54861111111111105</v>
      </c>
      <c r="Q1338">
        <f>-0.0008956083*3600</f>
        <v>-3.22418988</v>
      </c>
      <c r="R1338">
        <f>-0.0032464034*3600</f>
        <v>-11.68705224</v>
      </c>
    </row>
    <row r="1339" spans="1:18" x14ac:dyDescent="0.3">
      <c r="A1339" t="s">
        <v>47</v>
      </c>
      <c r="B1339" s="4" t="s">
        <v>356</v>
      </c>
      <c r="C1339">
        <v>98.065798999999998</v>
      </c>
      <c r="D1339">
        <v>321.27010100000001</v>
      </c>
      <c r="E1339">
        <v>1.4835</v>
      </c>
      <c r="F1339">
        <v>1.4810000000000001</v>
      </c>
      <c r="G1339">
        <v>0.23899999999999999</v>
      </c>
      <c r="H1339">
        <v>0</v>
      </c>
      <c r="I1339">
        <v>2</v>
      </c>
      <c r="J1339" t="s">
        <v>0</v>
      </c>
      <c r="K1339" t="s">
        <v>61</v>
      </c>
      <c r="L1339">
        <v>0</v>
      </c>
      <c r="M1339" t="s">
        <v>52</v>
      </c>
      <c r="N1339">
        <v>1</v>
      </c>
      <c r="O1339" t="s">
        <v>63</v>
      </c>
      <c r="P1339" s="2">
        <v>0.5493055555555556</v>
      </c>
      <c r="Q1339">
        <f>-0.0007686416*3600</f>
        <v>-2.7671097599999999</v>
      </c>
      <c r="R1339">
        <f>-0.0031403964*3600</f>
        <v>-11.30542704</v>
      </c>
    </row>
    <row r="1340" spans="1:18" x14ac:dyDescent="0.3">
      <c r="A1340" t="s">
        <v>47</v>
      </c>
      <c r="B1340" s="4" t="s">
        <v>356</v>
      </c>
      <c r="C1340">
        <v>98.067120000000003</v>
      </c>
      <c r="D1340">
        <v>321.269993</v>
      </c>
      <c r="E1340">
        <v>1.4835</v>
      </c>
      <c r="F1340">
        <v>1.4810000000000001</v>
      </c>
      <c r="G1340">
        <v>0.23899999999999999</v>
      </c>
      <c r="H1340">
        <v>0</v>
      </c>
      <c r="I1340">
        <v>2</v>
      </c>
      <c r="J1340" t="s">
        <v>0</v>
      </c>
      <c r="K1340" t="s">
        <v>61</v>
      </c>
      <c r="L1340">
        <v>0</v>
      </c>
      <c r="M1340" t="s">
        <v>52</v>
      </c>
      <c r="N1340">
        <v>1</v>
      </c>
      <c r="O1340" t="s">
        <v>63</v>
      </c>
      <c r="P1340" s="2">
        <v>0.5493055555555556</v>
      </c>
      <c r="Q1340">
        <f>-0.0009979904*3600</f>
        <v>-3.59276544</v>
      </c>
      <c r="R1340">
        <f>-0.0032321299*3600</f>
        <v>-11.635667640000001</v>
      </c>
    </row>
    <row r="1341" spans="1:18" x14ac:dyDescent="0.3">
      <c r="A1341" t="s">
        <v>47</v>
      </c>
      <c r="B1341" s="4" t="s">
        <v>356</v>
      </c>
      <c r="C1341">
        <v>98.065724000000003</v>
      </c>
      <c r="D1341">
        <v>321.26995799999997</v>
      </c>
      <c r="E1341">
        <v>1.4835</v>
      </c>
      <c r="F1341">
        <v>1.4810000000000001</v>
      </c>
      <c r="G1341">
        <v>0.23899999999999999</v>
      </c>
      <c r="H1341">
        <v>0</v>
      </c>
      <c r="I1341">
        <v>2</v>
      </c>
      <c r="J1341" t="s">
        <v>0</v>
      </c>
      <c r="K1341" t="s">
        <v>61</v>
      </c>
      <c r="L1341">
        <v>0</v>
      </c>
      <c r="M1341" t="s">
        <v>52</v>
      </c>
      <c r="N1341">
        <v>1</v>
      </c>
      <c r="O1341" t="s">
        <v>63</v>
      </c>
      <c r="P1341" s="2">
        <v>0.5493055555555556</v>
      </c>
      <c r="Q1341">
        <f>-0.0010256193*3600</f>
        <v>-3.6922294800000004</v>
      </c>
      <c r="R1341">
        <f>-0.003287515*3600</f>
        <v>-11.835054</v>
      </c>
    </row>
    <row r="1342" spans="1:18" x14ac:dyDescent="0.3">
      <c r="A1342" t="s">
        <v>47</v>
      </c>
      <c r="B1342" s="4" t="s">
        <v>356</v>
      </c>
      <c r="C1342">
        <v>98.065349999999995</v>
      </c>
      <c r="D1342">
        <v>321.11601000000002</v>
      </c>
      <c r="E1342">
        <v>1.4835</v>
      </c>
      <c r="F1342">
        <v>1.4810000000000001</v>
      </c>
      <c r="G1342">
        <v>0.23899999999999999</v>
      </c>
      <c r="H1342">
        <v>0</v>
      </c>
      <c r="I1342">
        <v>2</v>
      </c>
      <c r="J1342" t="s">
        <v>0</v>
      </c>
      <c r="K1342" t="s">
        <v>61</v>
      </c>
      <c r="L1342">
        <v>0</v>
      </c>
      <c r="M1342" t="s">
        <v>52</v>
      </c>
      <c r="N1342">
        <v>1</v>
      </c>
      <c r="O1342" t="s">
        <v>63</v>
      </c>
      <c r="P1342" s="2">
        <v>0.5493055555555556</v>
      </c>
      <c r="Q1342">
        <f>-0.0010526537*3600</f>
        <v>-3.78955332</v>
      </c>
      <c r="R1342">
        <f>-0.0033587855*3600</f>
        <v>-12.091627800000001</v>
      </c>
    </row>
    <row r="1343" spans="1:18" x14ac:dyDescent="0.3">
      <c r="A1343" t="s">
        <v>47</v>
      </c>
      <c r="B1343" s="4" t="s">
        <v>356</v>
      </c>
      <c r="C1343">
        <v>98.064590999999993</v>
      </c>
      <c r="D1343">
        <v>321.11606499999999</v>
      </c>
      <c r="E1343">
        <v>1.4835</v>
      </c>
      <c r="F1343">
        <v>1.4810000000000001</v>
      </c>
      <c r="G1343">
        <v>0.23899999999999999</v>
      </c>
      <c r="H1343">
        <v>0</v>
      </c>
      <c r="I1343">
        <v>2</v>
      </c>
      <c r="J1343" t="s">
        <v>0</v>
      </c>
      <c r="K1343" t="s">
        <v>61</v>
      </c>
      <c r="L1343">
        <v>0</v>
      </c>
      <c r="M1343" t="s">
        <v>52</v>
      </c>
      <c r="N1343">
        <v>1</v>
      </c>
      <c r="O1343" t="s">
        <v>63</v>
      </c>
      <c r="P1343" s="2">
        <v>0.5493055555555556</v>
      </c>
      <c r="Q1343">
        <f>-0.0009538888*3600</f>
        <v>-3.4339996799999999</v>
      </c>
      <c r="R1343">
        <f>-0.0032825692*3600</f>
        <v>-11.81724912</v>
      </c>
    </row>
    <row r="1344" spans="1:18" x14ac:dyDescent="0.3">
      <c r="A1344" t="s">
        <v>47</v>
      </c>
      <c r="B1344" s="4" t="s">
        <v>356</v>
      </c>
      <c r="C1344">
        <v>98.067487</v>
      </c>
      <c r="D1344">
        <v>321.11591700000002</v>
      </c>
      <c r="E1344">
        <v>1.4835</v>
      </c>
      <c r="F1344">
        <v>1.4810000000000001</v>
      </c>
      <c r="G1344">
        <v>0.23899999999999999</v>
      </c>
      <c r="H1344">
        <v>0</v>
      </c>
      <c r="I1344">
        <v>2</v>
      </c>
      <c r="J1344" t="s">
        <v>0</v>
      </c>
      <c r="K1344" t="s">
        <v>61</v>
      </c>
      <c r="L1344">
        <v>0</v>
      </c>
      <c r="M1344" t="s">
        <v>52</v>
      </c>
      <c r="N1344">
        <v>1</v>
      </c>
      <c r="O1344" t="s">
        <v>63</v>
      </c>
      <c r="P1344" s="2">
        <v>0.5493055555555556</v>
      </c>
      <c r="Q1344">
        <f>-0.0010369881*3600</f>
        <v>-3.7331571600000002</v>
      </c>
      <c r="R1344">
        <f>-0.0033504548*3600</f>
        <v>-12.061637279999999</v>
      </c>
    </row>
    <row r="1345" spans="1:18" x14ac:dyDescent="0.3">
      <c r="A1345" t="s">
        <v>47</v>
      </c>
      <c r="B1345" s="4" t="s">
        <v>356</v>
      </c>
      <c r="C1345">
        <v>98.066528000000005</v>
      </c>
      <c r="D1345">
        <v>321.11600099999998</v>
      </c>
      <c r="E1345">
        <v>1.4835</v>
      </c>
      <c r="F1345">
        <v>1.4810000000000001</v>
      </c>
      <c r="G1345">
        <v>0.23899999999999999</v>
      </c>
      <c r="H1345">
        <v>0</v>
      </c>
      <c r="I1345">
        <v>2</v>
      </c>
      <c r="J1345" t="s">
        <v>0</v>
      </c>
      <c r="K1345" t="s">
        <v>61</v>
      </c>
      <c r="L1345">
        <v>0</v>
      </c>
      <c r="M1345" t="s">
        <v>52</v>
      </c>
      <c r="N1345">
        <v>1</v>
      </c>
      <c r="O1345" t="s">
        <v>63</v>
      </c>
      <c r="P1345" s="2">
        <v>0.5493055555555556</v>
      </c>
      <c r="Q1345">
        <f>-0.0009703179*3600</f>
        <v>-3.49314444</v>
      </c>
      <c r="R1345">
        <f>-0.0032820138*3600</f>
        <v>-11.815249680000001</v>
      </c>
    </row>
    <row r="1346" spans="1:18" x14ac:dyDescent="0.3">
      <c r="A1346" t="s">
        <v>47</v>
      </c>
      <c r="B1346" s="4" t="s">
        <v>356</v>
      </c>
      <c r="C1346">
        <v>98.066068999999999</v>
      </c>
      <c r="D1346">
        <v>321.11601200000001</v>
      </c>
      <c r="E1346">
        <v>1.4835</v>
      </c>
      <c r="F1346">
        <v>1.4810000000000001</v>
      </c>
      <c r="G1346">
        <v>0.23899999999999999</v>
      </c>
      <c r="H1346">
        <v>0</v>
      </c>
      <c r="I1346">
        <v>2</v>
      </c>
      <c r="J1346" t="s">
        <v>0</v>
      </c>
      <c r="K1346" t="s">
        <v>61</v>
      </c>
      <c r="L1346">
        <v>0</v>
      </c>
      <c r="M1346" t="s">
        <v>52</v>
      </c>
      <c r="N1346">
        <v>1</v>
      </c>
      <c r="O1346" t="s">
        <v>63</v>
      </c>
      <c r="P1346" s="2">
        <v>0.5493055555555556</v>
      </c>
      <c r="Q1346">
        <f>-0.001017682*3600</f>
        <v>-3.6636552</v>
      </c>
      <c r="R1346">
        <f>-0.0032789414*3600</f>
        <v>-11.804189040000001</v>
      </c>
    </row>
    <row r="1347" spans="1:18" x14ac:dyDescent="0.3">
      <c r="A1347" t="s">
        <v>47</v>
      </c>
      <c r="B1347" s="4" t="s">
        <v>356</v>
      </c>
      <c r="C1347">
        <v>98.068200000000004</v>
      </c>
      <c r="D1347">
        <v>321.11593499999998</v>
      </c>
      <c r="E1347">
        <v>1.4835</v>
      </c>
      <c r="F1347">
        <v>1.4810000000000001</v>
      </c>
      <c r="G1347">
        <v>0.23899999999999999</v>
      </c>
      <c r="H1347">
        <v>0</v>
      </c>
      <c r="I1347">
        <v>2</v>
      </c>
      <c r="J1347" t="s">
        <v>0</v>
      </c>
      <c r="K1347" t="s">
        <v>61</v>
      </c>
      <c r="L1347">
        <v>0</v>
      </c>
      <c r="M1347" t="s">
        <v>52</v>
      </c>
      <c r="N1347">
        <v>1</v>
      </c>
      <c r="O1347" t="s">
        <v>63</v>
      </c>
      <c r="P1347" s="2">
        <v>0.5493055555555556</v>
      </c>
      <c r="Q1347">
        <f>-0.0009534996*3600</f>
        <v>-3.4325985600000002</v>
      </c>
      <c r="R1347">
        <f>-0.003350909*3600</f>
        <v>-12.063272400000001</v>
      </c>
    </row>
    <row r="1348" spans="1:18" x14ac:dyDescent="0.3">
      <c r="A1348" t="s">
        <v>47</v>
      </c>
      <c r="B1348" s="4" t="s">
        <v>356</v>
      </c>
      <c r="C1348">
        <v>98.067884000000006</v>
      </c>
      <c r="D1348">
        <v>321.11595699999998</v>
      </c>
      <c r="E1348">
        <v>1.4835</v>
      </c>
      <c r="F1348">
        <v>1.4810000000000001</v>
      </c>
      <c r="G1348">
        <v>0.23899999999999999</v>
      </c>
      <c r="H1348">
        <v>0</v>
      </c>
      <c r="I1348">
        <v>2</v>
      </c>
      <c r="J1348" t="s">
        <v>0</v>
      </c>
      <c r="K1348" t="s">
        <v>61</v>
      </c>
      <c r="L1348">
        <v>0</v>
      </c>
      <c r="M1348" t="s">
        <v>52</v>
      </c>
      <c r="N1348">
        <v>1</v>
      </c>
      <c r="O1348" t="s">
        <v>63</v>
      </c>
      <c r="P1348" s="2">
        <v>0.5493055555555556</v>
      </c>
      <c r="Q1348">
        <f>-0.0009439562*3600</f>
        <v>-3.39824232</v>
      </c>
      <c r="R1348">
        <f>-0.0033093744*3600</f>
        <v>-11.913747840000001</v>
      </c>
    </row>
    <row r="1349" spans="1:18" x14ac:dyDescent="0.3">
      <c r="A1349" t="s">
        <v>47</v>
      </c>
      <c r="B1349" s="4" t="s">
        <v>356</v>
      </c>
      <c r="C1349">
        <v>98.067448999999996</v>
      </c>
      <c r="D1349">
        <v>321.11594300000002</v>
      </c>
      <c r="E1349">
        <v>1.4835</v>
      </c>
      <c r="F1349">
        <v>1.4810000000000001</v>
      </c>
      <c r="G1349">
        <v>0.23899999999999999</v>
      </c>
      <c r="H1349">
        <v>0</v>
      </c>
      <c r="I1349">
        <v>2</v>
      </c>
      <c r="J1349" t="s">
        <v>0</v>
      </c>
      <c r="K1349" t="s">
        <v>61</v>
      </c>
      <c r="L1349">
        <v>0</v>
      </c>
      <c r="M1349" t="s">
        <v>52</v>
      </c>
      <c r="N1349">
        <v>1</v>
      </c>
      <c r="O1349" t="s">
        <v>63</v>
      </c>
      <c r="P1349" s="2">
        <v>0.5493055555555556</v>
      </c>
      <c r="Q1349">
        <f>-0.0009550835*3600</f>
        <v>-3.4383005999999998</v>
      </c>
      <c r="R1349">
        <f>-0.00332789*3600</f>
        <v>-11.980404</v>
      </c>
    </row>
    <row r="1350" spans="1:18" x14ac:dyDescent="0.3">
      <c r="A1350" t="s">
        <v>47</v>
      </c>
      <c r="B1350" s="4" t="s">
        <v>356</v>
      </c>
      <c r="C1350">
        <v>98.067019999999999</v>
      </c>
      <c r="D1350">
        <v>321.11594500000001</v>
      </c>
      <c r="E1350">
        <v>1.4835</v>
      </c>
      <c r="F1350">
        <v>1.4810000000000001</v>
      </c>
      <c r="G1350">
        <v>0.23899999999999999</v>
      </c>
      <c r="H1350">
        <v>0</v>
      </c>
      <c r="I1350">
        <v>2</v>
      </c>
      <c r="J1350" t="s">
        <v>0</v>
      </c>
      <c r="K1350" t="s">
        <v>61</v>
      </c>
      <c r="L1350">
        <v>0</v>
      </c>
      <c r="M1350" t="s">
        <v>52</v>
      </c>
      <c r="N1350">
        <v>1</v>
      </c>
      <c r="O1350" t="s">
        <v>63</v>
      </c>
      <c r="P1350" s="2">
        <v>0.5493055555555556</v>
      </c>
      <c r="Q1350">
        <f>-0.0009159093*3600</f>
        <v>-3.2972734799999999</v>
      </c>
      <c r="R1350">
        <f>-0.0033281268*3600</f>
        <v>-11.981256480000001</v>
      </c>
    </row>
    <row r="1351" spans="1:18" x14ac:dyDescent="0.3">
      <c r="A1351" t="s">
        <v>47</v>
      </c>
      <c r="B1351" s="4" t="s">
        <v>356</v>
      </c>
      <c r="C1351">
        <v>98.067233999999999</v>
      </c>
      <c r="D1351">
        <v>321.11599699999999</v>
      </c>
      <c r="E1351">
        <v>1.4835</v>
      </c>
      <c r="F1351">
        <v>1.4810000000000001</v>
      </c>
      <c r="G1351">
        <v>0.23899999999999999</v>
      </c>
      <c r="H1351">
        <v>0</v>
      </c>
      <c r="I1351">
        <v>2</v>
      </c>
      <c r="J1351" t="s">
        <v>0</v>
      </c>
      <c r="K1351" t="s">
        <v>61</v>
      </c>
      <c r="L1351">
        <v>0</v>
      </c>
      <c r="M1351" t="s">
        <v>52</v>
      </c>
      <c r="N1351">
        <v>1</v>
      </c>
      <c r="O1351" t="s">
        <v>63</v>
      </c>
      <c r="P1351" s="2">
        <v>0.5493055555555556</v>
      </c>
      <c r="Q1351">
        <f>-0.0009913431*3600</f>
        <v>-3.5688351599999999</v>
      </c>
      <c r="R1351">
        <f>-0.0032702307*3600</f>
        <v>-11.772830519999999</v>
      </c>
    </row>
    <row r="1352" spans="1:18" x14ac:dyDescent="0.3">
      <c r="A1352" t="s">
        <v>47</v>
      </c>
      <c r="B1352" s="4" t="s">
        <v>356</v>
      </c>
      <c r="C1352">
        <v>98.065293999999994</v>
      </c>
      <c r="D1352">
        <v>320.862031</v>
      </c>
      <c r="E1352">
        <v>1.4835</v>
      </c>
      <c r="F1352">
        <v>1.4810000000000001</v>
      </c>
      <c r="G1352">
        <v>0.23899999999999999</v>
      </c>
      <c r="H1352">
        <v>0</v>
      </c>
      <c r="I1352">
        <v>2</v>
      </c>
      <c r="J1352" t="s">
        <v>0</v>
      </c>
      <c r="K1352" t="s">
        <v>61</v>
      </c>
      <c r="L1352">
        <v>0</v>
      </c>
      <c r="M1352" t="s">
        <v>52</v>
      </c>
      <c r="N1352">
        <v>1</v>
      </c>
      <c r="O1352" t="s">
        <v>63</v>
      </c>
      <c r="P1352" s="2">
        <v>0.5493055555555556</v>
      </c>
      <c r="Q1352">
        <f>-0.0009383925*3600</f>
        <v>-3.3782130000000001</v>
      </c>
      <c r="R1352">
        <f>-0.0033438047*3600</f>
        <v>-12.03769692</v>
      </c>
    </row>
    <row r="1353" spans="1:18" x14ac:dyDescent="0.3">
      <c r="A1353" t="s">
        <v>47</v>
      </c>
      <c r="B1353" s="4" t="s">
        <v>356</v>
      </c>
      <c r="C1353">
        <v>98.063958999999997</v>
      </c>
      <c r="D1353">
        <v>320.86209400000001</v>
      </c>
      <c r="E1353">
        <v>1.4835</v>
      </c>
      <c r="F1353">
        <v>1.4810000000000001</v>
      </c>
      <c r="G1353">
        <v>0.23899999999999999</v>
      </c>
      <c r="H1353">
        <v>0</v>
      </c>
      <c r="I1353">
        <v>2</v>
      </c>
      <c r="J1353" t="s">
        <v>0</v>
      </c>
      <c r="K1353" t="s">
        <v>61</v>
      </c>
      <c r="L1353">
        <v>0</v>
      </c>
      <c r="M1353" t="s">
        <v>52</v>
      </c>
      <c r="N1353">
        <v>1</v>
      </c>
      <c r="O1353" t="s">
        <v>63</v>
      </c>
      <c r="P1353" s="2">
        <v>0.5493055555555556</v>
      </c>
      <c r="Q1353">
        <f>-0.0009877877*3600</f>
        <v>-3.5560357200000001</v>
      </c>
      <c r="R1353">
        <f>-0.0032866169*3600</f>
        <v>-11.831820839999999</v>
      </c>
    </row>
    <row r="1354" spans="1:18" x14ac:dyDescent="0.3">
      <c r="A1354" t="s">
        <v>47</v>
      </c>
      <c r="B1354" s="4" t="s">
        <v>356</v>
      </c>
      <c r="C1354">
        <v>98.064904999999996</v>
      </c>
      <c r="D1354">
        <v>320.86204300000003</v>
      </c>
      <c r="E1354">
        <v>1.4835</v>
      </c>
      <c r="F1354">
        <v>1.4810000000000001</v>
      </c>
      <c r="G1354">
        <v>0.23899999999999999</v>
      </c>
      <c r="H1354">
        <v>0</v>
      </c>
      <c r="I1354">
        <v>2</v>
      </c>
      <c r="J1354" t="s">
        <v>0</v>
      </c>
      <c r="K1354" t="s">
        <v>61</v>
      </c>
      <c r="L1354">
        <v>0</v>
      </c>
      <c r="M1354" t="s">
        <v>52</v>
      </c>
      <c r="N1354">
        <v>1</v>
      </c>
      <c r="O1354" t="s">
        <v>63</v>
      </c>
      <c r="P1354" s="2">
        <v>0.5493055555555556</v>
      </c>
      <c r="Q1354">
        <f>-0.0010525154*3600</f>
        <v>-3.7890554400000003</v>
      </c>
      <c r="R1354">
        <f>-0.0032726596*3600</f>
        <v>-11.781574559999999</v>
      </c>
    </row>
    <row r="1355" spans="1:18" x14ac:dyDescent="0.3">
      <c r="A1355" t="s">
        <v>47</v>
      </c>
      <c r="B1355" s="4" t="s">
        <v>356</v>
      </c>
      <c r="C1355">
        <v>98.064738000000006</v>
      </c>
      <c r="D1355">
        <v>320.86201599999998</v>
      </c>
      <c r="E1355">
        <v>1.4835</v>
      </c>
      <c r="F1355">
        <v>1.4810000000000001</v>
      </c>
      <c r="G1355">
        <v>0.23899999999999999</v>
      </c>
      <c r="H1355">
        <v>0</v>
      </c>
      <c r="I1355">
        <v>2</v>
      </c>
      <c r="J1355" t="s">
        <v>0</v>
      </c>
      <c r="K1355" t="s">
        <v>61</v>
      </c>
      <c r="L1355">
        <v>0</v>
      </c>
      <c r="M1355" t="s">
        <v>52</v>
      </c>
      <c r="N1355">
        <v>1</v>
      </c>
      <c r="O1355" t="s">
        <v>63</v>
      </c>
      <c r="P1355" s="2">
        <v>0.5493055555555556</v>
      </c>
      <c r="Q1355">
        <f>-0.0009820795*3600</f>
        <v>-3.5354862000000002</v>
      </c>
      <c r="R1355">
        <f>-0.0033231486*3600</f>
        <v>-11.963334959999999</v>
      </c>
    </row>
    <row r="1356" spans="1:18" x14ac:dyDescent="0.3">
      <c r="A1356" t="s">
        <v>47</v>
      </c>
      <c r="B1356" s="4" t="s">
        <v>356</v>
      </c>
      <c r="C1356">
        <v>98.065903000000006</v>
      </c>
      <c r="D1356">
        <v>320.86208199999999</v>
      </c>
      <c r="E1356">
        <v>1.4835</v>
      </c>
      <c r="F1356">
        <v>1.4810000000000001</v>
      </c>
      <c r="G1356">
        <v>0.23899999999999999</v>
      </c>
      <c r="H1356">
        <v>0</v>
      </c>
      <c r="I1356">
        <v>2</v>
      </c>
      <c r="J1356" t="s">
        <v>0</v>
      </c>
      <c r="K1356" t="s">
        <v>61</v>
      </c>
      <c r="L1356">
        <v>0</v>
      </c>
      <c r="M1356" t="s">
        <v>52</v>
      </c>
      <c r="N1356">
        <v>1</v>
      </c>
      <c r="O1356" t="s">
        <v>63</v>
      </c>
      <c r="P1356" s="2">
        <v>0.5493055555555556</v>
      </c>
      <c r="Q1356">
        <f>-0.0008118849*3600</f>
        <v>-2.9227856399999999</v>
      </c>
      <c r="R1356">
        <f>-0.0032576595*3600</f>
        <v>-11.727574200000001</v>
      </c>
    </row>
    <row r="1357" spans="1:18" x14ac:dyDescent="0.3">
      <c r="A1357" t="s">
        <v>47</v>
      </c>
      <c r="B1357" s="4" t="s">
        <v>356</v>
      </c>
      <c r="C1357">
        <v>98.063807999999995</v>
      </c>
      <c r="D1357">
        <v>320.71117900000002</v>
      </c>
      <c r="E1357">
        <v>1.4835</v>
      </c>
      <c r="F1357">
        <v>1.4810000000000001</v>
      </c>
      <c r="G1357">
        <v>0.23899999999999999</v>
      </c>
      <c r="H1357">
        <v>0</v>
      </c>
      <c r="I1357">
        <v>2</v>
      </c>
      <c r="J1357" t="s">
        <v>0</v>
      </c>
      <c r="K1357" t="s">
        <v>61</v>
      </c>
      <c r="L1357">
        <v>0</v>
      </c>
      <c r="M1357" t="s">
        <v>52</v>
      </c>
      <c r="N1357">
        <v>1</v>
      </c>
      <c r="O1357" t="s">
        <v>63</v>
      </c>
      <c r="P1357" s="2">
        <v>0.5493055555555556</v>
      </c>
      <c r="Q1357">
        <f>-0.0010555861*3600</f>
        <v>-3.8001099600000003</v>
      </c>
      <c r="R1357">
        <f>-0.0033329519*3600</f>
        <v>-11.99862684</v>
      </c>
    </row>
    <row r="1358" spans="1:18" x14ac:dyDescent="0.3">
      <c r="A1358" t="s">
        <v>47</v>
      </c>
      <c r="B1358" s="4" t="s">
        <v>356</v>
      </c>
      <c r="C1358">
        <v>98.063913999999997</v>
      </c>
      <c r="D1358">
        <v>320.71111500000001</v>
      </c>
      <c r="E1358">
        <v>1.4835</v>
      </c>
      <c r="F1358">
        <v>1.4810000000000001</v>
      </c>
      <c r="G1358">
        <v>0.23899999999999999</v>
      </c>
      <c r="H1358">
        <v>0</v>
      </c>
      <c r="I1358">
        <v>2</v>
      </c>
      <c r="J1358" t="s">
        <v>0</v>
      </c>
      <c r="K1358" t="s">
        <v>61</v>
      </c>
      <c r="L1358">
        <v>0</v>
      </c>
      <c r="M1358" t="s">
        <v>52</v>
      </c>
      <c r="N1358">
        <v>1</v>
      </c>
      <c r="O1358" t="s">
        <v>63</v>
      </c>
      <c r="P1358" s="2">
        <v>0.5493055555555556</v>
      </c>
      <c r="Q1358">
        <f>-0.0010459071*3600</f>
        <v>-3.76526556</v>
      </c>
      <c r="R1358">
        <f>-0.0034273971*3600</f>
        <v>-12.338629559999999</v>
      </c>
    </row>
    <row r="1359" spans="1:18" x14ac:dyDescent="0.3">
      <c r="A1359" t="s">
        <v>47</v>
      </c>
      <c r="B1359" s="4" t="s">
        <v>356</v>
      </c>
      <c r="C1359">
        <v>98.063351999999995</v>
      </c>
      <c r="D1359">
        <v>320.71115900000001</v>
      </c>
      <c r="E1359">
        <v>1.4835</v>
      </c>
      <c r="F1359">
        <v>1.4810000000000001</v>
      </c>
      <c r="G1359">
        <v>0.23899999999999999</v>
      </c>
      <c r="H1359">
        <v>0</v>
      </c>
      <c r="I1359">
        <v>2</v>
      </c>
      <c r="J1359" t="s">
        <v>0</v>
      </c>
      <c r="K1359" t="s">
        <v>61</v>
      </c>
      <c r="L1359">
        <v>0</v>
      </c>
      <c r="M1359" t="s">
        <v>52</v>
      </c>
      <c r="N1359">
        <v>1</v>
      </c>
      <c r="O1359" t="s">
        <v>63</v>
      </c>
      <c r="P1359" s="2">
        <v>0.5493055555555556</v>
      </c>
      <c r="Q1359">
        <f>-0.0010098109*3600</f>
        <v>-3.6353192399999998</v>
      </c>
      <c r="R1359">
        <f>-0.0033374051*3600</f>
        <v>-12.01465836</v>
      </c>
    </row>
    <row r="1360" spans="1:18" x14ac:dyDescent="0.3">
      <c r="A1360" t="s">
        <v>47</v>
      </c>
      <c r="B1360" s="4" t="s">
        <v>356</v>
      </c>
      <c r="C1360">
        <v>98.064617999999996</v>
      </c>
      <c r="D1360">
        <v>320.71115400000002</v>
      </c>
      <c r="E1360">
        <v>1.4835</v>
      </c>
      <c r="F1360">
        <v>1.4810000000000001</v>
      </c>
      <c r="G1360">
        <v>0.23899999999999999</v>
      </c>
      <c r="H1360">
        <v>0</v>
      </c>
      <c r="I1360">
        <v>2</v>
      </c>
      <c r="J1360" t="s">
        <v>0</v>
      </c>
      <c r="K1360" t="s">
        <v>61</v>
      </c>
      <c r="L1360">
        <v>0</v>
      </c>
      <c r="M1360" t="s">
        <v>52</v>
      </c>
      <c r="N1360">
        <v>1</v>
      </c>
      <c r="O1360" t="s">
        <v>63</v>
      </c>
      <c r="P1360" s="2">
        <v>0.54999999999999993</v>
      </c>
      <c r="Q1360">
        <f>-0.0010385772*3600</f>
        <v>-3.7388779200000002</v>
      </c>
      <c r="R1360">
        <f>-0.0033245316*3600</f>
        <v>-11.968313760000001</v>
      </c>
    </row>
    <row r="1361" spans="1:18" x14ac:dyDescent="0.3">
      <c r="A1361" t="s">
        <v>47</v>
      </c>
      <c r="B1361" s="4" t="s">
        <v>356</v>
      </c>
      <c r="C1361">
        <v>98.064983999999995</v>
      </c>
      <c r="D1361">
        <v>320.71111400000001</v>
      </c>
      <c r="E1361">
        <v>1.4835</v>
      </c>
      <c r="F1361">
        <v>1.4810000000000001</v>
      </c>
      <c r="G1361">
        <v>0.23899999999999999</v>
      </c>
      <c r="H1361">
        <v>0</v>
      </c>
      <c r="I1361">
        <v>2</v>
      </c>
      <c r="J1361" t="s">
        <v>0</v>
      </c>
      <c r="K1361" t="s">
        <v>61</v>
      </c>
      <c r="L1361">
        <v>0</v>
      </c>
      <c r="M1361" t="s">
        <v>52</v>
      </c>
      <c r="N1361">
        <v>1</v>
      </c>
      <c r="O1361" t="s">
        <v>63</v>
      </c>
      <c r="P1361" s="2">
        <v>0.54999999999999993</v>
      </c>
      <c r="Q1361">
        <f>-0.0009187418*3600</f>
        <v>-3.3074704800000001</v>
      </c>
      <c r="R1361">
        <f>-0.0033294362*3600</f>
        <v>-11.98597032</v>
      </c>
    </row>
    <row r="1362" spans="1:18" x14ac:dyDescent="0.3">
      <c r="A1362" t="s">
        <v>47</v>
      </c>
      <c r="B1362" s="4" t="s">
        <v>356</v>
      </c>
      <c r="C1362">
        <v>98.066340999999994</v>
      </c>
      <c r="D1362">
        <v>320.711162</v>
      </c>
      <c r="E1362">
        <v>1.4835</v>
      </c>
      <c r="F1362">
        <v>1.4810000000000001</v>
      </c>
      <c r="G1362">
        <v>0.23899999999999999</v>
      </c>
      <c r="H1362">
        <v>0</v>
      </c>
      <c r="I1362">
        <v>2</v>
      </c>
      <c r="J1362" t="s">
        <v>0</v>
      </c>
      <c r="K1362" t="s">
        <v>61</v>
      </c>
      <c r="L1362">
        <v>0</v>
      </c>
      <c r="M1362" t="s">
        <v>52</v>
      </c>
      <c r="N1362">
        <v>1</v>
      </c>
      <c r="O1362" t="s">
        <v>63</v>
      </c>
      <c r="P1362" s="2">
        <v>0.54999999999999993</v>
      </c>
      <c r="Q1362">
        <f>-0.0008347086*3600</f>
        <v>-3.0049509599999999</v>
      </c>
      <c r="R1362">
        <f>-0.003299394*3600</f>
        <v>-11.877818400000001</v>
      </c>
    </row>
    <row r="1363" spans="1:18" x14ac:dyDescent="0.3">
      <c r="A1363" t="s">
        <v>47</v>
      </c>
      <c r="B1363" s="4" t="s">
        <v>356</v>
      </c>
      <c r="C1363">
        <v>98.066972000000007</v>
      </c>
      <c r="D1363">
        <v>320.71117099999998</v>
      </c>
      <c r="E1363">
        <v>1.4835</v>
      </c>
      <c r="F1363">
        <v>1.4810000000000001</v>
      </c>
      <c r="G1363">
        <v>0.23899999999999999</v>
      </c>
      <c r="H1363">
        <v>0</v>
      </c>
      <c r="I1363">
        <v>2</v>
      </c>
      <c r="J1363" t="s">
        <v>0</v>
      </c>
      <c r="K1363" t="s">
        <v>61</v>
      </c>
      <c r="L1363">
        <v>0</v>
      </c>
      <c r="M1363" t="s">
        <v>52</v>
      </c>
      <c r="N1363">
        <v>1</v>
      </c>
      <c r="O1363" t="s">
        <v>63</v>
      </c>
      <c r="P1363" s="2">
        <v>0.54999999999999993</v>
      </c>
      <c r="Q1363">
        <f>-0.0007896249*3600</f>
        <v>-2.8426496400000003</v>
      </c>
      <c r="R1363">
        <f>-0.0032768966*3600</f>
        <v>-11.796827759999999</v>
      </c>
    </row>
    <row r="1364" spans="1:18" x14ac:dyDescent="0.3">
      <c r="A1364" t="s">
        <v>47</v>
      </c>
      <c r="B1364" s="4" t="s">
        <v>356</v>
      </c>
      <c r="C1364">
        <v>98.067520999999999</v>
      </c>
      <c r="D1364">
        <v>320.71117500000003</v>
      </c>
      <c r="E1364">
        <v>1.4835</v>
      </c>
      <c r="F1364">
        <v>1.4810000000000001</v>
      </c>
      <c r="G1364">
        <v>0.23899999999999999</v>
      </c>
      <c r="H1364">
        <v>0</v>
      </c>
      <c r="I1364">
        <v>2</v>
      </c>
      <c r="J1364" t="s">
        <v>0</v>
      </c>
      <c r="K1364" t="s">
        <v>61</v>
      </c>
      <c r="L1364">
        <v>0</v>
      </c>
      <c r="M1364" t="s">
        <v>52</v>
      </c>
      <c r="N1364">
        <v>1</v>
      </c>
      <c r="O1364" t="s">
        <v>63</v>
      </c>
      <c r="P1364" s="2">
        <v>0.54999999999999993</v>
      </c>
      <c r="Q1364">
        <f>-0.000862007*3600</f>
        <v>-3.1032252000000002</v>
      </c>
      <c r="R1364">
        <f>-0.0032708057*3600</f>
        <v>-11.774900520000001</v>
      </c>
    </row>
    <row r="1365" spans="1:18" x14ac:dyDescent="0.3">
      <c r="A1365" t="s">
        <v>47</v>
      </c>
      <c r="B1365" s="4" t="s">
        <v>356</v>
      </c>
      <c r="C1365">
        <v>98.067670000000007</v>
      </c>
      <c r="D1365">
        <v>320.71115200000003</v>
      </c>
      <c r="E1365">
        <v>1.4835</v>
      </c>
      <c r="F1365">
        <v>1.4810000000000001</v>
      </c>
      <c r="G1365">
        <v>0.23899999999999999</v>
      </c>
      <c r="H1365">
        <v>0</v>
      </c>
      <c r="I1365">
        <v>2</v>
      </c>
      <c r="J1365" t="s">
        <v>0</v>
      </c>
      <c r="K1365" t="s">
        <v>61</v>
      </c>
      <c r="L1365">
        <v>0</v>
      </c>
      <c r="M1365" t="s">
        <v>52</v>
      </c>
      <c r="N1365">
        <v>1</v>
      </c>
      <c r="O1365" t="s">
        <v>63</v>
      </c>
      <c r="P1365" s="2">
        <v>0.54999999999999993</v>
      </c>
      <c r="Q1365">
        <f>-0.0009273719*3600</f>
        <v>-3.33853884</v>
      </c>
      <c r="R1365">
        <f>-0.0032924008*3600</f>
        <v>-11.852642879999999</v>
      </c>
    </row>
    <row r="1366" spans="1:18" x14ac:dyDescent="0.3">
      <c r="A1366" t="s">
        <v>47</v>
      </c>
      <c r="B1366" s="4" t="s">
        <v>356</v>
      </c>
      <c r="C1366">
        <v>98.065963999999994</v>
      </c>
      <c r="D1366">
        <v>320.71110700000003</v>
      </c>
      <c r="E1366">
        <v>1.4835</v>
      </c>
      <c r="F1366">
        <v>1.4810000000000001</v>
      </c>
      <c r="G1366">
        <v>0.23899999999999999</v>
      </c>
      <c r="H1366">
        <v>0</v>
      </c>
      <c r="I1366">
        <v>2</v>
      </c>
      <c r="J1366" t="s">
        <v>0</v>
      </c>
      <c r="K1366" t="s">
        <v>61</v>
      </c>
      <c r="L1366">
        <v>0</v>
      </c>
      <c r="M1366" t="s">
        <v>52</v>
      </c>
      <c r="N1366">
        <v>1</v>
      </c>
      <c r="O1366" t="s">
        <v>63</v>
      </c>
      <c r="P1366" s="2">
        <v>0.54999999999999993</v>
      </c>
      <c r="Q1366">
        <f>-0.0009284511*3600</f>
        <v>-3.3424239600000001</v>
      </c>
      <c r="R1366">
        <f>-0.0033234654*3600</f>
        <v>-11.964475439999999</v>
      </c>
    </row>
    <row r="1367" spans="1:18" x14ac:dyDescent="0.3">
      <c r="A1367" t="s">
        <v>47</v>
      </c>
      <c r="B1367" s="4" t="s">
        <v>356</v>
      </c>
      <c r="C1367">
        <v>98.067396000000002</v>
      </c>
      <c r="D1367">
        <v>320.71114799999998</v>
      </c>
      <c r="E1367">
        <v>1.4835</v>
      </c>
      <c r="F1367">
        <v>1.4810000000000001</v>
      </c>
      <c r="G1367">
        <v>0.23899999999999999</v>
      </c>
      <c r="H1367">
        <v>0</v>
      </c>
      <c r="I1367">
        <v>2</v>
      </c>
      <c r="J1367" t="s">
        <v>0</v>
      </c>
      <c r="K1367" t="s">
        <v>61</v>
      </c>
      <c r="L1367">
        <v>0</v>
      </c>
      <c r="M1367" t="s">
        <v>52</v>
      </c>
      <c r="N1367">
        <v>1</v>
      </c>
      <c r="O1367" t="s">
        <v>63</v>
      </c>
      <c r="P1367" s="2">
        <v>0.54999999999999993</v>
      </c>
      <c r="Q1367">
        <f>-0.0008559734*3600</f>
        <v>-3.0815042400000001</v>
      </c>
      <c r="R1367">
        <f>-0.0032852517*3600</f>
        <v>-11.82690612</v>
      </c>
    </row>
    <row r="1368" spans="1:18" x14ac:dyDescent="0.3">
      <c r="A1368" t="s">
        <v>47</v>
      </c>
      <c r="B1368" s="4" t="s">
        <v>356</v>
      </c>
      <c r="C1368">
        <v>98.065340000000006</v>
      </c>
      <c r="D1368">
        <v>320.71110499999998</v>
      </c>
      <c r="E1368">
        <v>1.4835</v>
      </c>
      <c r="F1368">
        <v>1.4810000000000001</v>
      </c>
      <c r="G1368">
        <v>0.23899999999999999</v>
      </c>
      <c r="H1368">
        <v>0</v>
      </c>
      <c r="I1368">
        <v>2</v>
      </c>
      <c r="J1368" t="s">
        <v>0</v>
      </c>
      <c r="K1368" t="s">
        <v>61</v>
      </c>
      <c r="L1368">
        <v>0</v>
      </c>
      <c r="M1368" t="s">
        <v>52</v>
      </c>
      <c r="N1368">
        <v>1</v>
      </c>
      <c r="O1368" t="s">
        <v>63</v>
      </c>
      <c r="P1368" s="2">
        <v>0.54999999999999993</v>
      </c>
      <c r="Q1368">
        <f>-0.0009313338*3600</f>
        <v>-3.3528016799999998</v>
      </c>
      <c r="R1368">
        <f>-0.0032983166*3600</f>
        <v>-11.873939760000001</v>
      </c>
    </row>
    <row r="1369" spans="1:18" x14ac:dyDescent="0.3">
      <c r="A1369" t="s">
        <v>47</v>
      </c>
      <c r="B1369" s="4" t="s">
        <v>356</v>
      </c>
      <c r="C1369">
        <v>98.066058999999996</v>
      </c>
      <c r="D1369">
        <v>320.71109300000001</v>
      </c>
      <c r="E1369">
        <v>1.4835</v>
      </c>
      <c r="F1369">
        <v>1.4810000000000001</v>
      </c>
      <c r="G1369">
        <v>0.23899999999999999</v>
      </c>
      <c r="H1369">
        <v>0</v>
      </c>
      <c r="I1369">
        <v>2</v>
      </c>
      <c r="J1369" t="s">
        <v>0</v>
      </c>
      <c r="K1369" t="s">
        <v>61</v>
      </c>
      <c r="L1369">
        <v>0</v>
      </c>
      <c r="M1369" t="s">
        <v>52</v>
      </c>
      <c r="N1369">
        <v>1</v>
      </c>
      <c r="O1369" t="s">
        <v>63</v>
      </c>
      <c r="P1369" s="2">
        <v>0.54999999999999993</v>
      </c>
      <c r="Q1369">
        <f>-0.0009095477*3600</f>
        <v>-3.27437172</v>
      </c>
      <c r="R1369">
        <f>-0.0033372886*3600</f>
        <v>-12.01423896</v>
      </c>
    </row>
    <row r="1370" spans="1:18" x14ac:dyDescent="0.3">
      <c r="A1370" t="s">
        <v>47</v>
      </c>
      <c r="B1370" s="4" t="s">
        <v>356</v>
      </c>
      <c r="C1370">
        <v>98.064207999999994</v>
      </c>
      <c r="D1370">
        <v>320.71108700000002</v>
      </c>
      <c r="E1370">
        <v>1.4835</v>
      </c>
      <c r="F1370">
        <v>1.4810000000000001</v>
      </c>
      <c r="G1370">
        <v>0.23899999999999999</v>
      </c>
      <c r="H1370">
        <v>0</v>
      </c>
      <c r="I1370">
        <v>2</v>
      </c>
      <c r="J1370" t="s">
        <v>0</v>
      </c>
      <c r="K1370" t="s">
        <v>61</v>
      </c>
      <c r="L1370">
        <v>0</v>
      </c>
      <c r="M1370" t="s">
        <v>52</v>
      </c>
      <c r="N1370">
        <v>1</v>
      </c>
      <c r="O1370" t="s">
        <v>63</v>
      </c>
      <c r="P1370" s="2">
        <v>0.54999999999999993</v>
      </c>
      <c r="Q1370">
        <f>-0.0008866364*3600</f>
        <v>-3.1918910400000002</v>
      </c>
      <c r="R1370">
        <f>-0.0033153463*3600</f>
        <v>-11.935246680000001</v>
      </c>
    </row>
    <row r="1371" spans="1:18" x14ac:dyDescent="0.3">
      <c r="A1371" t="s">
        <v>47</v>
      </c>
      <c r="B1371" s="4" t="s">
        <v>356</v>
      </c>
      <c r="C1371">
        <v>98.064931999999999</v>
      </c>
      <c r="D1371">
        <v>320.71114499999999</v>
      </c>
      <c r="E1371">
        <v>1.4835</v>
      </c>
      <c r="F1371">
        <v>1.4810000000000001</v>
      </c>
      <c r="G1371">
        <v>0.23899999999999999</v>
      </c>
      <c r="H1371">
        <v>0</v>
      </c>
      <c r="I1371">
        <v>2</v>
      </c>
      <c r="J1371" t="s">
        <v>0</v>
      </c>
      <c r="K1371" t="s">
        <v>61</v>
      </c>
      <c r="L1371">
        <v>0</v>
      </c>
      <c r="M1371" t="s">
        <v>52</v>
      </c>
      <c r="N1371">
        <v>1</v>
      </c>
      <c r="O1371" t="s">
        <v>63</v>
      </c>
      <c r="P1371" s="2">
        <v>0.54999999999999993</v>
      </c>
      <c r="Q1371">
        <f>-0.0008289421*3600</f>
        <v>-2.9841915599999997</v>
      </c>
      <c r="R1371">
        <f>-0.0032560769*3600</f>
        <v>-11.72187684</v>
      </c>
    </row>
    <row r="1372" spans="1:18" x14ac:dyDescent="0.3">
      <c r="A1372" t="s">
        <v>47</v>
      </c>
      <c r="B1372" s="4" t="s">
        <v>356</v>
      </c>
      <c r="C1372">
        <v>98.065909000000005</v>
      </c>
      <c r="D1372">
        <v>320.71112799999997</v>
      </c>
      <c r="E1372">
        <v>1.4835</v>
      </c>
      <c r="F1372">
        <v>1.4810000000000001</v>
      </c>
      <c r="G1372">
        <v>0.23899999999999999</v>
      </c>
      <c r="H1372">
        <v>0</v>
      </c>
      <c r="I1372">
        <v>2</v>
      </c>
      <c r="J1372" t="s">
        <v>0</v>
      </c>
      <c r="K1372" t="s">
        <v>61</v>
      </c>
      <c r="L1372">
        <v>0</v>
      </c>
      <c r="M1372" t="s">
        <v>52</v>
      </c>
      <c r="N1372">
        <v>1</v>
      </c>
      <c r="O1372" t="s">
        <v>63</v>
      </c>
      <c r="P1372" s="2">
        <v>0.54999999999999993</v>
      </c>
      <c r="Q1372">
        <f>-0.0008218489*3600</f>
        <v>-2.9586560400000002</v>
      </c>
      <c r="R1372">
        <f>-0.0032474344*3600</f>
        <v>-11.690763840000001</v>
      </c>
    </row>
    <row r="1373" spans="1:18" x14ac:dyDescent="0.3">
      <c r="A1373" t="s">
        <v>47</v>
      </c>
      <c r="B1373" s="4" t="s">
        <v>356</v>
      </c>
      <c r="C1373">
        <v>98.066612000000006</v>
      </c>
      <c r="D1373">
        <v>320.71105299999999</v>
      </c>
      <c r="E1373">
        <v>1.4835</v>
      </c>
      <c r="F1373">
        <v>1.4810000000000001</v>
      </c>
      <c r="G1373">
        <v>0.23899999999999999</v>
      </c>
      <c r="H1373">
        <v>0</v>
      </c>
      <c r="I1373">
        <v>2</v>
      </c>
      <c r="J1373" t="s">
        <v>0</v>
      </c>
      <c r="K1373" t="s">
        <v>61</v>
      </c>
      <c r="L1373">
        <v>0</v>
      </c>
      <c r="M1373" t="s">
        <v>52</v>
      </c>
      <c r="N1373">
        <v>1</v>
      </c>
      <c r="O1373" t="s">
        <v>63</v>
      </c>
      <c r="P1373" s="2">
        <v>0.54999999999999993</v>
      </c>
      <c r="Q1373">
        <f>-0.0008810059*3600</f>
        <v>-3.1716212399999999</v>
      </c>
      <c r="R1373">
        <f>-0.0033389782*3600</f>
        <v>-12.02032152</v>
      </c>
    </row>
    <row r="1374" spans="1:18" x14ac:dyDescent="0.3">
      <c r="A1374" t="s">
        <v>47</v>
      </c>
      <c r="B1374" s="4" t="s">
        <v>356</v>
      </c>
      <c r="C1374">
        <v>98.066519</v>
      </c>
      <c r="D1374">
        <v>320.710959</v>
      </c>
      <c r="E1374">
        <v>1.4835</v>
      </c>
      <c r="F1374">
        <v>1.4810000000000001</v>
      </c>
      <c r="G1374">
        <v>0.23899999999999999</v>
      </c>
      <c r="H1374">
        <v>0</v>
      </c>
      <c r="I1374">
        <v>2</v>
      </c>
      <c r="J1374" t="s">
        <v>0</v>
      </c>
      <c r="K1374" t="s">
        <v>61</v>
      </c>
      <c r="L1374">
        <v>0</v>
      </c>
      <c r="M1374" t="s">
        <v>52</v>
      </c>
      <c r="N1374">
        <v>1</v>
      </c>
      <c r="O1374" t="s">
        <v>63</v>
      </c>
      <c r="P1374" s="2">
        <v>0.54999999999999993</v>
      </c>
      <c r="Q1374">
        <f>-0.0010147057*3600</f>
        <v>-3.6529405200000005</v>
      </c>
      <c r="R1374">
        <f>-0.0034285034*3600</f>
        <v>-12.342612239999999</v>
      </c>
    </row>
    <row r="1375" spans="1:18" x14ac:dyDescent="0.3">
      <c r="A1375" t="s">
        <v>47</v>
      </c>
      <c r="B1375" s="4" t="s">
        <v>356</v>
      </c>
      <c r="C1375">
        <v>98.065347000000003</v>
      </c>
      <c r="D1375">
        <v>320.71106500000002</v>
      </c>
      <c r="E1375">
        <v>1.4835</v>
      </c>
      <c r="F1375">
        <v>1.4810000000000001</v>
      </c>
      <c r="G1375">
        <v>0.23899999999999999</v>
      </c>
      <c r="H1375">
        <v>0</v>
      </c>
      <c r="I1375">
        <v>2</v>
      </c>
      <c r="J1375" t="s">
        <v>0</v>
      </c>
      <c r="K1375" t="s">
        <v>61</v>
      </c>
      <c r="L1375">
        <v>0</v>
      </c>
      <c r="M1375" t="s">
        <v>52</v>
      </c>
      <c r="N1375">
        <v>1</v>
      </c>
      <c r="O1375" t="s">
        <v>63</v>
      </c>
      <c r="P1375" s="2">
        <v>0.54999999999999993</v>
      </c>
      <c r="Q1375">
        <f>-0.0010059678*3600</f>
        <v>-3.6214840800000001</v>
      </c>
      <c r="R1375">
        <f>-0.0033253121*3600</f>
        <v>-11.971123560000001</v>
      </c>
    </row>
    <row r="1376" spans="1:18" x14ac:dyDescent="0.3">
      <c r="A1376" t="s">
        <v>47</v>
      </c>
      <c r="B1376" s="4" t="s">
        <v>356</v>
      </c>
      <c r="C1376">
        <v>98.064850000000007</v>
      </c>
      <c r="D1376">
        <v>320.71108500000003</v>
      </c>
      <c r="E1376">
        <v>1.4835</v>
      </c>
      <c r="F1376">
        <v>1.4810000000000001</v>
      </c>
      <c r="G1376">
        <v>0.23899999999999999</v>
      </c>
      <c r="H1376">
        <v>0</v>
      </c>
      <c r="I1376">
        <v>2</v>
      </c>
      <c r="J1376" t="s">
        <v>0</v>
      </c>
      <c r="K1376" t="s">
        <v>61</v>
      </c>
      <c r="L1376">
        <v>0</v>
      </c>
      <c r="M1376" t="s">
        <v>52</v>
      </c>
      <c r="N1376">
        <v>1</v>
      </c>
      <c r="O1376" t="s">
        <v>63</v>
      </c>
      <c r="P1376" s="2">
        <v>0.54999999999999993</v>
      </c>
      <c r="Q1376">
        <f>-0.0009206946*3600</f>
        <v>-3.3145005599999999</v>
      </c>
      <c r="R1376">
        <f>-0.0033377009*3600</f>
        <v>-12.01572324</v>
      </c>
    </row>
    <row r="1377" spans="1:18" x14ac:dyDescent="0.3">
      <c r="A1377" t="s">
        <v>47</v>
      </c>
      <c r="B1377" s="4" t="s">
        <v>356</v>
      </c>
      <c r="C1377">
        <v>98.065988000000004</v>
      </c>
      <c r="D1377">
        <v>320.711006</v>
      </c>
      <c r="E1377">
        <v>1.4835</v>
      </c>
      <c r="F1377">
        <v>1.4810000000000001</v>
      </c>
      <c r="G1377">
        <v>0.23899999999999999</v>
      </c>
      <c r="H1377">
        <v>0</v>
      </c>
      <c r="I1377">
        <v>2</v>
      </c>
      <c r="J1377" t="s">
        <v>0</v>
      </c>
      <c r="K1377" t="s">
        <v>61</v>
      </c>
      <c r="L1377">
        <v>0</v>
      </c>
      <c r="M1377" t="s">
        <v>52</v>
      </c>
      <c r="N1377">
        <v>1</v>
      </c>
      <c r="O1377" t="s">
        <v>63</v>
      </c>
      <c r="P1377" s="2">
        <v>0.54999999999999993</v>
      </c>
      <c r="Q1377">
        <f>-0.0008368567*3600</f>
        <v>-3.0126841199999999</v>
      </c>
      <c r="R1377">
        <f>-0.0033705126*3600</f>
        <v>-12.13384536</v>
      </c>
    </row>
    <row r="1378" spans="1:18" x14ac:dyDescent="0.3">
      <c r="A1378" t="s">
        <v>47</v>
      </c>
      <c r="B1378" s="4" t="s">
        <v>356</v>
      </c>
      <c r="C1378">
        <v>98.065089999999998</v>
      </c>
      <c r="D1378">
        <v>320.71101199999998</v>
      </c>
      <c r="E1378">
        <v>1.4835</v>
      </c>
      <c r="F1378">
        <v>1.4810000000000001</v>
      </c>
      <c r="G1378">
        <v>0.23899999999999999</v>
      </c>
      <c r="H1378">
        <v>0</v>
      </c>
      <c r="I1378">
        <v>2</v>
      </c>
      <c r="J1378" t="s">
        <v>0</v>
      </c>
      <c r="K1378" t="s">
        <v>61</v>
      </c>
      <c r="L1378">
        <v>0</v>
      </c>
      <c r="M1378" t="s">
        <v>52</v>
      </c>
      <c r="N1378">
        <v>1</v>
      </c>
      <c r="O1378" t="s">
        <v>63</v>
      </c>
      <c r="P1378" s="2">
        <v>0.54999999999999993</v>
      </c>
      <c r="Q1378">
        <f>-0.0009403002*3600</f>
        <v>-3.3850807199999999</v>
      </c>
      <c r="R1378">
        <f>-0.0033736959*3600</f>
        <v>-12.145305240000001</v>
      </c>
    </row>
    <row r="1379" spans="1:18" x14ac:dyDescent="0.3">
      <c r="A1379" t="s">
        <v>47</v>
      </c>
      <c r="B1379" s="4" t="s">
        <v>356</v>
      </c>
      <c r="C1379">
        <v>98.065741000000003</v>
      </c>
      <c r="D1379">
        <v>320.711029</v>
      </c>
      <c r="E1379">
        <v>1.4835</v>
      </c>
      <c r="F1379">
        <v>1.4810000000000001</v>
      </c>
      <c r="G1379">
        <v>0.23899999999999999</v>
      </c>
      <c r="H1379">
        <v>0</v>
      </c>
      <c r="I1379">
        <v>2</v>
      </c>
      <c r="J1379" t="s">
        <v>0</v>
      </c>
      <c r="K1379" t="s">
        <v>61</v>
      </c>
      <c r="L1379">
        <v>0</v>
      </c>
      <c r="M1379" t="s">
        <v>52</v>
      </c>
      <c r="N1379">
        <v>1</v>
      </c>
      <c r="O1379" t="s">
        <v>63</v>
      </c>
      <c r="P1379" s="2">
        <v>0.54999999999999993</v>
      </c>
      <c r="Q1379">
        <f>-0.0009170929*3600</f>
        <v>-3.3015344399999997</v>
      </c>
      <c r="R1379">
        <f>-0.0033500345*3600</f>
        <v>-12.060124200000001</v>
      </c>
    </row>
    <row r="1380" spans="1:18" x14ac:dyDescent="0.3">
      <c r="A1380" t="s">
        <v>47</v>
      </c>
      <c r="B1380" s="4" t="s">
        <v>356</v>
      </c>
      <c r="C1380">
        <v>98.067088999999996</v>
      </c>
      <c r="D1380">
        <v>320.71115099999997</v>
      </c>
      <c r="E1380">
        <v>1.4835</v>
      </c>
      <c r="F1380">
        <v>1.4810000000000001</v>
      </c>
      <c r="G1380">
        <v>0.23899999999999999</v>
      </c>
      <c r="H1380">
        <v>0</v>
      </c>
      <c r="I1380">
        <v>2</v>
      </c>
      <c r="J1380" t="s">
        <v>0</v>
      </c>
      <c r="K1380" t="s">
        <v>61</v>
      </c>
      <c r="L1380">
        <v>0</v>
      </c>
      <c r="M1380" t="s">
        <v>52</v>
      </c>
      <c r="N1380">
        <v>1</v>
      </c>
      <c r="O1380" t="s">
        <v>63</v>
      </c>
      <c r="P1380" s="2">
        <v>0.54999999999999993</v>
      </c>
      <c r="Q1380">
        <f>-0.0008562985*3600</f>
        <v>-3.0826745999999998</v>
      </c>
      <c r="R1380">
        <f>-0.0032455425*3600</f>
        <v>-11.683952999999999</v>
      </c>
    </row>
    <row r="1381" spans="1:18" x14ac:dyDescent="0.3">
      <c r="A1381" t="s">
        <v>47</v>
      </c>
      <c r="B1381" s="4" t="s">
        <v>356</v>
      </c>
      <c r="C1381">
        <v>98.066289999999995</v>
      </c>
      <c r="D1381">
        <v>320.71103699999998</v>
      </c>
      <c r="E1381">
        <v>1.4835</v>
      </c>
      <c r="F1381">
        <v>1.4810000000000001</v>
      </c>
      <c r="G1381">
        <v>0.23899999999999999</v>
      </c>
      <c r="H1381">
        <v>0</v>
      </c>
      <c r="I1381">
        <v>2</v>
      </c>
      <c r="J1381" t="s">
        <v>0</v>
      </c>
      <c r="K1381" t="s">
        <v>61</v>
      </c>
      <c r="L1381">
        <v>0</v>
      </c>
      <c r="M1381" t="s">
        <v>52</v>
      </c>
      <c r="N1381">
        <v>1</v>
      </c>
      <c r="O1381" t="s">
        <v>63</v>
      </c>
      <c r="P1381" s="2">
        <v>0.55069444444444449</v>
      </c>
      <c r="Q1381">
        <f>-0.0009375358*3600</f>
        <v>-3.3751288800000001</v>
      </c>
      <c r="R1381">
        <f>-0.0033546832*3600</f>
        <v>-12.076859519999999</v>
      </c>
    </row>
    <row r="1382" spans="1:18" x14ac:dyDescent="0.3">
      <c r="A1382" t="s">
        <v>47</v>
      </c>
      <c r="B1382" s="4" t="s">
        <v>356</v>
      </c>
      <c r="C1382">
        <v>98.065199000000007</v>
      </c>
      <c r="D1382">
        <v>320.71110399999998</v>
      </c>
      <c r="E1382">
        <v>1.4835</v>
      </c>
      <c r="F1382">
        <v>1.4810000000000001</v>
      </c>
      <c r="G1382">
        <v>0.23899999999999999</v>
      </c>
      <c r="H1382">
        <v>0</v>
      </c>
      <c r="I1382">
        <v>2</v>
      </c>
      <c r="J1382" t="s">
        <v>0</v>
      </c>
      <c r="K1382" t="s">
        <v>61</v>
      </c>
      <c r="L1382">
        <v>0</v>
      </c>
      <c r="M1382" t="s">
        <v>52</v>
      </c>
      <c r="N1382">
        <v>1</v>
      </c>
      <c r="O1382" t="s">
        <v>63</v>
      </c>
      <c r="P1382" s="2">
        <v>0.55069444444444449</v>
      </c>
      <c r="Q1382">
        <f>-0.0009704176*3600</f>
        <v>-3.4935033600000001</v>
      </c>
      <c r="R1382">
        <f>-0.0033075658*3600</f>
        <v>-11.907236879999999</v>
      </c>
    </row>
    <row r="1383" spans="1:18" x14ac:dyDescent="0.3">
      <c r="A1383" t="s">
        <v>47</v>
      </c>
      <c r="B1383" s="4" t="s">
        <v>356</v>
      </c>
      <c r="C1383">
        <v>98.064908000000003</v>
      </c>
      <c r="D1383">
        <v>320.71102300000001</v>
      </c>
      <c r="E1383">
        <v>1.4835</v>
      </c>
      <c r="F1383">
        <v>1.4810000000000001</v>
      </c>
      <c r="G1383">
        <v>0.23899999999999999</v>
      </c>
      <c r="H1383">
        <v>0</v>
      </c>
      <c r="I1383">
        <v>2</v>
      </c>
      <c r="J1383" t="s">
        <v>0</v>
      </c>
      <c r="K1383" t="s">
        <v>61</v>
      </c>
      <c r="L1383">
        <v>0</v>
      </c>
      <c r="M1383" t="s">
        <v>52</v>
      </c>
      <c r="N1383">
        <v>1</v>
      </c>
      <c r="O1383" t="s">
        <v>63</v>
      </c>
      <c r="P1383" s="2">
        <v>0.55069444444444449</v>
      </c>
      <c r="Q1383">
        <f>-0.0009625025*3600</f>
        <v>-3.4650090000000002</v>
      </c>
      <c r="R1383">
        <f>-0.0033438899*3600</f>
        <v>-12.038003639999999</v>
      </c>
    </row>
    <row r="1384" spans="1:18" x14ac:dyDescent="0.3">
      <c r="A1384" t="s">
        <v>47</v>
      </c>
      <c r="B1384" s="4" t="s">
        <v>356</v>
      </c>
      <c r="C1384">
        <v>98.065668000000002</v>
      </c>
      <c r="D1384">
        <v>320.71103799999997</v>
      </c>
      <c r="E1384">
        <v>1.4835</v>
      </c>
      <c r="F1384">
        <v>1.4810000000000001</v>
      </c>
      <c r="G1384">
        <v>0.23899999999999999</v>
      </c>
      <c r="H1384">
        <v>0</v>
      </c>
      <c r="I1384">
        <v>2</v>
      </c>
      <c r="J1384" t="s">
        <v>0</v>
      </c>
      <c r="K1384" t="s">
        <v>61</v>
      </c>
      <c r="L1384">
        <v>0</v>
      </c>
      <c r="M1384" t="s">
        <v>52</v>
      </c>
      <c r="N1384">
        <v>1</v>
      </c>
      <c r="O1384" t="s">
        <v>63</v>
      </c>
      <c r="P1384" s="2">
        <v>0.55069444444444449</v>
      </c>
      <c r="Q1384">
        <f>-0.0009882674*3600</f>
        <v>-3.5577626400000004</v>
      </c>
      <c r="R1384">
        <f>-0.0033597532*3600</f>
        <v>-12.09511152</v>
      </c>
    </row>
    <row r="1385" spans="1:18" x14ac:dyDescent="0.3">
      <c r="A1385" t="s">
        <v>47</v>
      </c>
      <c r="B1385" s="4" t="s">
        <v>356</v>
      </c>
      <c r="C1385">
        <v>98.063613000000004</v>
      </c>
      <c r="D1385">
        <v>320.71104000000003</v>
      </c>
      <c r="E1385">
        <v>1.4835</v>
      </c>
      <c r="F1385">
        <v>1.4810000000000001</v>
      </c>
      <c r="G1385">
        <v>0.23899999999999999</v>
      </c>
      <c r="H1385">
        <v>0</v>
      </c>
      <c r="I1385">
        <v>2</v>
      </c>
      <c r="J1385" t="s">
        <v>0</v>
      </c>
      <c r="K1385" t="s">
        <v>61</v>
      </c>
      <c r="L1385">
        <v>0</v>
      </c>
      <c r="M1385" t="s">
        <v>52</v>
      </c>
      <c r="N1385">
        <v>1</v>
      </c>
      <c r="O1385" t="s">
        <v>63</v>
      </c>
      <c r="P1385" s="2">
        <v>0.55069444444444449</v>
      </c>
      <c r="Q1385">
        <f>-0.0010359836*3600</f>
        <v>-3.7295409600000005</v>
      </c>
      <c r="R1385">
        <f>-0.0033214352*3600</f>
        <v>-11.95716672</v>
      </c>
    </row>
    <row r="1386" spans="1:18" x14ac:dyDescent="0.3">
      <c r="A1386" t="s">
        <v>47</v>
      </c>
      <c r="B1386" s="4" t="s">
        <v>356</v>
      </c>
      <c r="C1386">
        <v>98.063219000000004</v>
      </c>
      <c r="D1386">
        <v>320.71106800000001</v>
      </c>
      <c r="E1386">
        <v>1.4835</v>
      </c>
      <c r="F1386">
        <v>1.4810000000000001</v>
      </c>
      <c r="G1386">
        <v>0.23899999999999999</v>
      </c>
      <c r="H1386">
        <v>0</v>
      </c>
      <c r="I1386">
        <v>2</v>
      </c>
      <c r="J1386" t="s">
        <v>0</v>
      </c>
      <c r="K1386" t="s">
        <v>61</v>
      </c>
      <c r="L1386">
        <v>0</v>
      </c>
      <c r="M1386" t="s">
        <v>52</v>
      </c>
      <c r="N1386">
        <v>1</v>
      </c>
      <c r="O1386" t="s">
        <v>63</v>
      </c>
      <c r="P1386" s="2">
        <v>0.55069444444444449</v>
      </c>
      <c r="Q1386">
        <f>-0.0010473606*3600</f>
        <v>-3.7704981599999998</v>
      </c>
      <c r="R1386">
        <f>-0.0033306175*3600</f>
        <v>-11.990223</v>
      </c>
    </row>
    <row r="1387" spans="1:18" x14ac:dyDescent="0.3">
      <c r="A1387" t="s">
        <v>47</v>
      </c>
      <c r="B1387" s="4" t="s">
        <v>356</v>
      </c>
      <c r="C1387">
        <v>98.062409000000002</v>
      </c>
      <c r="D1387">
        <v>320.711071</v>
      </c>
      <c r="E1387">
        <v>1.4835</v>
      </c>
      <c r="F1387">
        <v>1.4810000000000001</v>
      </c>
      <c r="G1387">
        <v>0.23899999999999999</v>
      </c>
      <c r="H1387">
        <v>0</v>
      </c>
      <c r="I1387">
        <v>2</v>
      </c>
      <c r="J1387" t="s">
        <v>0</v>
      </c>
      <c r="K1387" t="s">
        <v>61</v>
      </c>
      <c r="L1387">
        <v>0</v>
      </c>
      <c r="M1387" t="s">
        <v>52</v>
      </c>
      <c r="N1387">
        <v>1</v>
      </c>
      <c r="O1387" t="s">
        <v>63</v>
      </c>
      <c r="P1387" s="2">
        <v>0.55069444444444449</v>
      </c>
      <c r="Q1387">
        <f>-0.0009032002*3600</f>
        <v>-3.2515207200000003</v>
      </c>
      <c r="R1387">
        <f>-0.003309322*3600</f>
        <v>-11.9135592</v>
      </c>
    </row>
    <row r="1388" spans="1:18" x14ac:dyDescent="0.3">
      <c r="A1388" t="s">
        <v>47</v>
      </c>
      <c r="B1388" s="4" t="s">
        <v>356</v>
      </c>
      <c r="C1388">
        <v>98.062951999999996</v>
      </c>
      <c r="D1388">
        <v>320.71105399999999</v>
      </c>
      <c r="E1388">
        <v>1.4835</v>
      </c>
      <c r="F1388">
        <v>1.4810000000000001</v>
      </c>
      <c r="G1388">
        <v>0.23899999999999999</v>
      </c>
      <c r="H1388">
        <v>0</v>
      </c>
      <c r="I1388">
        <v>2</v>
      </c>
      <c r="J1388" t="s">
        <v>0</v>
      </c>
      <c r="K1388" t="s">
        <v>61</v>
      </c>
      <c r="L1388">
        <v>0</v>
      </c>
      <c r="M1388" t="s">
        <v>52</v>
      </c>
      <c r="N1388">
        <v>1</v>
      </c>
      <c r="O1388" t="s">
        <v>63</v>
      </c>
      <c r="P1388" s="2">
        <v>0.55069444444444449</v>
      </c>
      <c r="Q1388">
        <f>-0.0008823831*3600</f>
        <v>-3.1765791599999997</v>
      </c>
      <c r="R1388">
        <f>-0.0033220016*3600</f>
        <v>-11.95920576</v>
      </c>
    </row>
    <row r="1389" spans="1:18" x14ac:dyDescent="0.3">
      <c r="A1389" t="s">
        <v>47</v>
      </c>
      <c r="B1389" s="4" t="s">
        <v>356</v>
      </c>
      <c r="C1389">
        <v>98.062199000000007</v>
      </c>
      <c r="D1389">
        <v>320.711051</v>
      </c>
      <c r="E1389">
        <v>1.4835</v>
      </c>
      <c r="F1389">
        <v>1.4810000000000001</v>
      </c>
      <c r="G1389">
        <v>0.23899999999999999</v>
      </c>
      <c r="H1389">
        <v>0</v>
      </c>
      <c r="I1389">
        <v>2</v>
      </c>
      <c r="J1389" t="s">
        <v>0</v>
      </c>
      <c r="K1389" t="s">
        <v>61</v>
      </c>
      <c r="L1389">
        <v>0</v>
      </c>
      <c r="M1389" t="s">
        <v>52</v>
      </c>
      <c r="N1389">
        <v>1</v>
      </c>
      <c r="O1389" t="s">
        <v>63</v>
      </c>
      <c r="P1389" s="2">
        <v>0.55069444444444449</v>
      </c>
      <c r="Q1389">
        <f>-0.0009748359*3600</f>
        <v>-3.5094092400000001</v>
      </c>
      <c r="R1389">
        <f>-0.0033280024*3600</f>
        <v>-11.980808640000001</v>
      </c>
    </row>
    <row r="1390" spans="1:18" x14ac:dyDescent="0.3">
      <c r="A1390" t="s">
        <v>47</v>
      </c>
      <c r="B1390" s="4" t="s">
        <v>356</v>
      </c>
      <c r="C1390">
        <v>98.061227000000002</v>
      </c>
      <c r="D1390">
        <v>320.71106800000001</v>
      </c>
      <c r="E1390">
        <v>1.4835</v>
      </c>
      <c r="F1390">
        <v>1.4810000000000001</v>
      </c>
      <c r="G1390">
        <v>0.23899999999999999</v>
      </c>
      <c r="H1390">
        <v>0</v>
      </c>
      <c r="I1390">
        <v>2</v>
      </c>
      <c r="J1390" t="s">
        <v>0</v>
      </c>
      <c r="K1390" t="s">
        <v>61</v>
      </c>
      <c r="L1390">
        <v>0</v>
      </c>
      <c r="M1390" t="s">
        <v>52</v>
      </c>
      <c r="N1390">
        <v>1</v>
      </c>
      <c r="O1390" t="s">
        <v>63</v>
      </c>
      <c r="P1390" s="2">
        <v>0.55069444444444449</v>
      </c>
      <c r="Q1390">
        <f>-0.0009620414*3600</f>
        <v>-3.4633490399999998</v>
      </c>
      <c r="R1390">
        <f>-0.0033016191*3600</f>
        <v>-11.885828760000001</v>
      </c>
    </row>
    <row r="1391" spans="1:18" x14ac:dyDescent="0.3">
      <c r="A1391" t="s">
        <v>47</v>
      </c>
      <c r="B1391" s="4" t="s">
        <v>356</v>
      </c>
      <c r="C1391">
        <v>98.061550999999994</v>
      </c>
      <c r="D1391">
        <v>320.71102000000002</v>
      </c>
      <c r="E1391">
        <v>1.4835</v>
      </c>
      <c r="F1391">
        <v>1.4810000000000001</v>
      </c>
      <c r="G1391">
        <v>0.23899999999999999</v>
      </c>
      <c r="H1391">
        <v>0</v>
      </c>
      <c r="I1391">
        <v>2</v>
      </c>
      <c r="J1391" t="s">
        <v>0</v>
      </c>
      <c r="K1391" t="s">
        <v>61</v>
      </c>
      <c r="L1391">
        <v>0</v>
      </c>
      <c r="M1391" t="s">
        <v>52</v>
      </c>
      <c r="N1391">
        <v>1</v>
      </c>
      <c r="O1391" t="s">
        <v>63</v>
      </c>
      <c r="P1391" s="2">
        <v>0.55069444444444449</v>
      </c>
      <c r="Q1391">
        <f>-0.0009180142*3600</f>
        <v>-3.3048511200000004</v>
      </c>
      <c r="R1391">
        <f>-0.0033223358*3600</f>
        <v>-11.960408879999999</v>
      </c>
    </row>
    <row r="1392" spans="1:18" x14ac:dyDescent="0.3">
      <c r="A1392" t="s">
        <v>47</v>
      </c>
      <c r="B1392" s="4" t="s">
        <v>356</v>
      </c>
      <c r="C1392">
        <v>98.062528999999998</v>
      </c>
      <c r="D1392">
        <v>320.711117</v>
      </c>
      <c r="E1392">
        <v>1.4835</v>
      </c>
      <c r="F1392">
        <v>1.4810000000000001</v>
      </c>
      <c r="G1392">
        <v>0.23899999999999999</v>
      </c>
      <c r="H1392">
        <v>0</v>
      </c>
      <c r="I1392">
        <v>2</v>
      </c>
      <c r="J1392" t="s">
        <v>0</v>
      </c>
      <c r="K1392" t="s">
        <v>61</v>
      </c>
      <c r="L1392">
        <v>0</v>
      </c>
      <c r="M1392" t="s">
        <v>52</v>
      </c>
      <c r="N1392">
        <v>1</v>
      </c>
      <c r="O1392" t="s">
        <v>63</v>
      </c>
      <c r="P1392" s="2">
        <v>0.55069444444444449</v>
      </c>
      <c r="Q1392">
        <f>-0.0008710739*3600</f>
        <v>-3.1358660399999998</v>
      </c>
      <c r="R1392">
        <f>-0.0032330961*3600</f>
        <v>-11.63914596</v>
      </c>
    </row>
    <row r="1393" spans="1:18" x14ac:dyDescent="0.3">
      <c r="A1393" t="s">
        <v>47</v>
      </c>
      <c r="B1393" s="4" t="s">
        <v>356</v>
      </c>
      <c r="C1393">
        <v>98.062541999999993</v>
      </c>
      <c r="D1393">
        <v>320.71111400000001</v>
      </c>
      <c r="E1393">
        <v>1.4835</v>
      </c>
      <c r="F1393">
        <v>1.4810000000000001</v>
      </c>
      <c r="G1393">
        <v>0.23899999999999999</v>
      </c>
      <c r="H1393">
        <v>0</v>
      </c>
      <c r="I1393">
        <v>2</v>
      </c>
      <c r="J1393" t="s">
        <v>0</v>
      </c>
      <c r="K1393" t="s">
        <v>61</v>
      </c>
      <c r="L1393">
        <v>0</v>
      </c>
      <c r="M1393" t="s">
        <v>52</v>
      </c>
      <c r="N1393">
        <v>1</v>
      </c>
      <c r="O1393" t="s">
        <v>63</v>
      </c>
      <c r="P1393" s="2">
        <v>0.55069444444444449</v>
      </c>
      <c r="Q1393">
        <f>-0.0007423529*3600</f>
        <v>-2.6724704400000001</v>
      </c>
      <c r="R1393">
        <f>-0.00323032*3600</f>
        <v>-11.629151999999999</v>
      </c>
    </row>
    <row r="1394" spans="1:18" x14ac:dyDescent="0.3">
      <c r="A1394" t="s">
        <v>47</v>
      </c>
      <c r="B1394" s="4" t="s">
        <v>356</v>
      </c>
      <c r="C1394">
        <v>98.064552000000006</v>
      </c>
      <c r="D1394">
        <v>320.71112699999998</v>
      </c>
      <c r="E1394">
        <v>1.4835</v>
      </c>
      <c r="F1394">
        <v>1.4810000000000001</v>
      </c>
      <c r="G1394">
        <v>0.23899999999999999</v>
      </c>
      <c r="H1394">
        <v>0</v>
      </c>
      <c r="I1394">
        <v>2</v>
      </c>
      <c r="J1394" t="s">
        <v>0</v>
      </c>
      <c r="K1394" t="s">
        <v>61</v>
      </c>
      <c r="L1394">
        <v>0</v>
      </c>
      <c r="M1394" t="s">
        <v>52</v>
      </c>
      <c r="N1394">
        <v>1</v>
      </c>
      <c r="O1394" t="s">
        <v>63</v>
      </c>
      <c r="P1394" s="2">
        <v>0.55069444444444449</v>
      </c>
      <c r="Q1394">
        <f>-0.0008064394*3600</f>
        <v>-2.9031818399999998</v>
      </c>
      <c r="R1394">
        <f>-0.0032442865*3600</f>
        <v>-11.6794314</v>
      </c>
    </row>
    <row r="1395" spans="1:18" x14ac:dyDescent="0.3">
      <c r="A1395" t="s">
        <v>47</v>
      </c>
      <c r="B1395" s="4" t="s">
        <v>356</v>
      </c>
      <c r="C1395">
        <v>98.065038999999999</v>
      </c>
      <c r="D1395">
        <v>320.71109200000001</v>
      </c>
      <c r="E1395">
        <v>1.4835</v>
      </c>
      <c r="F1395">
        <v>1.4810000000000001</v>
      </c>
      <c r="G1395">
        <v>0.23899999999999999</v>
      </c>
      <c r="H1395">
        <v>0</v>
      </c>
      <c r="I1395">
        <v>2</v>
      </c>
      <c r="J1395" t="s">
        <v>0</v>
      </c>
      <c r="K1395" t="s">
        <v>61</v>
      </c>
      <c r="L1395">
        <v>0</v>
      </c>
      <c r="M1395" t="s">
        <v>52</v>
      </c>
      <c r="N1395">
        <v>1</v>
      </c>
      <c r="O1395" t="s">
        <v>63</v>
      </c>
      <c r="P1395" s="2">
        <v>0.55069444444444449</v>
      </c>
      <c r="Q1395">
        <f>-0.0008798366*3600</f>
        <v>-3.1674117600000002</v>
      </c>
      <c r="R1395">
        <f>-0.0032586102*3600</f>
        <v>-11.73099672</v>
      </c>
    </row>
    <row r="1396" spans="1:18" x14ac:dyDescent="0.3">
      <c r="A1396" t="s">
        <v>47</v>
      </c>
      <c r="B1396" s="4" t="s">
        <v>356</v>
      </c>
      <c r="C1396">
        <v>98.063738000000001</v>
      </c>
      <c r="D1396">
        <v>320.71102500000001</v>
      </c>
      <c r="E1396">
        <v>1.4835</v>
      </c>
      <c r="F1396">
        <v>1.4810000000000001</v>
      </c>
      <c r="G1396">
        <v>0.23899999999999999</v>
      </c>
      <c r="H1396">
        <v>0</v>
      </c>
      <c r="I1396">
        <v>2</v>
      </c>
      <c r="J1396" t="s">
        <v>0</v>
      </c>
      <c r="K1396" t="s">
        <v>61</v>
      </c>
      <c r="L1396">
        <v>0</v>
      </c>
      <c r="M1396" t="s">
        <v>52</v>
      </c>
      <c r="N1396">
        <v>1</v>
      </c>
      <c r="O1396" t="s">
        <v>63</v>
      </c>
      <c r="P1396" s="2">
        <v>0.55069444444444449</v>
      </c>
      <c r="Q1396">
        <f>-0.0009277998*3600</f>
        <v>-3.3400792800000003</v>
      </c>
      <c r="R1396">
        <f>-0.0033136667*3600</f>
        <v>-11.929200120000001</v>
      </c>
    </row>
    <row r="1397" spans="1:18" x14ac:dyDescent="0.3">
      <c r="A1397" t="s">
        <v>47</v>
      </c>
      <c r="B1397" s="4" t="s">
        <v>356</v>
      </c>
      <c r="C1397">
        <v>98.064068000000006</v>
      </c>
      <c r="D1397">
        <v>320.711118</v>
      </c>
      <c r="E1397">
        <v>1.4835</v>
      </c>
      <c r="F1397">
        <v>1.4810000000000001</v>
      </c>
      <c r="G1397">
        <v>0.23899999999999999</v>
      </c>
      <c r="H1397">
        <v>0</v>
      </c>
      <c r="I1397">
        <v>2</v>
      </c>
      <c r="J1397" t="s">
        <v>0</v>
      </c>
      <c r="K1397" t="s">
        <v>61</v>
      </c>
      <c r="L1397">
        <v>0</v>
      </c>
      <c r="M1397" t="s">
        <v>52</v>
      </c>
      <c r="N1397">
        <v>1</v>
      </c>
      <c r="O1397" t="s">
        <v>63</v>
      </c>
      <c r="P1397" s="2">
        <v>0.55069444444444449</v>
      </c>
      <c r="Q1397">
        <f>-0.0009783729*3600</f>
        <v>-3.5221424400000001</v>
      </c>
      <c r="R1397">
        <f>-0.0032286137*3600</f>
        <v>-11.623009320000001</v>
      </c>
    </row>
    <row r="1398" spans="1:18" x14ac:dyDescent="0.3">
      <c r="A1398" t="s">
        <v>47</v>
      </c>
      <c r="B1398" s="4" t="s">
        <v>356</v>
      </c>
      <c r="C1398">
        <v>98.066136</v>
      </c>
      <c r="D1398">
        <v>320.48596800000001</v>
      </c>
      <c r="E1398">
        <v>1.4835</v>
      </c>
      <c r="F1398">
        <v>1.4810000000000001</v>
      </c>
      <c r="G1398">
        <v>0.23899999999999999</v>
      </c>
      <c r="H1398">
        <v>0</v>
      </c>
      <c r="I1398">
        <v>2</v>
      </c>
      <c r="J1398" t="s">
        <v>0</v>
      </c>
      <c r="K1398" t="s">
        <v>61</v>
      </c>
      <c r="L1398">
        <v>0</v>
      </c>
      <c r="M1398" t="s">
        <v>52</v>
      </c>
      <c r="N1398">
        <v>1</v>
      </c>
      <c r="O1398" t="s">
        <v>63</v>
      </c>
      <c r="P1398" s="2">
        <v>0.55069444444444449</v>
      </c>
      <c r="Q1398">
        <f>-0.0009812128*3600</f>
        <v>-3.5323660800000001</v>
      </c>
      <c r="R1398">
        <f>-0.0033938496*3600</f>
        <v>-12.217858560000002</v>
      </c>
    </row>
    <row r="1399" spans="1:18" x14ac:dyDescent="0.3">
      <c r="A1399" t="s">
        <v>47</v>
      </c>
      <c r="B1399" s="4" t="s">
        <v>356</v>
      </c>
      <c r="C1399">
        <v>98.065976000000006</v>
      </c>
      <c r="D1399">
        <v>320.48608000000002</v>
      </c>
      <c r="E1399">
        <v>1.4835</v>
      </c>
      <c r="F1399">
        <v>1.4810000000000001</v>
      </c>
      <c r="G1399">
        <v>0.23899999999999999</v>
      </c>
      <c r="H1399">
        <v>0</v>
      </c>
      <c r="I1399">
        <v>2</v>
      </c>
      <c r="J1399" t="s">
        <v>0</v>
      </c>
      <c r="K1399" t="s">
        <v>61</v>
      </c>
      <c r="L1399">
        <v>0</v>
      </c>
      <c r="M1399" t="s">
        <v>52</v>
      </c>
      <c r="N1399">
        <v>1</v>
      </c>
      <c r="O1399" t="s">
        <v>63</v>
      </c>
      <c r="P1399" s="2">
        <v>0.55069444444444449</v>
      </c>
      <c r="Q1399">
        <f>-0.0010193789*3600</f>
        <v>-3.6697640399999996</v>
      </c>
      <c r="R1399">
        <f>-0.0032986313*3600</f>
        <v>-11.875072679999999</v>
      </c>
    </row>
    <row r="1400" spans="1:18" x14ac:dyDescent="0.3">
      <c r="A1400" t="s">
        <v>47</v>
      </c>
      <c r="B1400" s="4" t="s">
        <v>356</v>
      </c>
      <c r="C1400">
        <v>98.067266000000004</v>
      </c>
      <c r="D1400">
        <v>320.48602799999998</v>
      </c>
      <c r="E1400">
        <v>1.4835</v>
      </c>
      <c r="F1400">
        <v>1.4810000000000001</v>
      </c>
      <c r="G1400">
        <v>0.23899999999999999</v>
      </c>
      <c r="H1400">
        <v>0</v>
      </c>
      <c r="I1400">
        <v>2</v>
      </c>
      <c r="J1400" t="s">
        <v>0</v>
      </c>
      <c r="K1400" t="s">
        <v>61</v>
      </c>
      <c r="L1400">
        <v>0</v>
      </c>
      <c r="M1400" t="s">
        <v>52</v>
      </c>
      <c r="N1400">
        <v>1</v>
      </c>
      <c r="O1400" t="s">
        <v>63</v>
      </c>
      <c r="P1400" s="2">
        <v>0.55069444444444449</v>
      </c>
      <c r="Q1400">
        <f>-0.001002509*3600</f>
        <v>-3.6090323999999998</v>
      </c>
      <c r="R1400">
        <f>-0.0033598217*3600</f>
        <v>-12.09535812</v>
      </c>
    </row>
    <row r="1401" spans="1:18" x14ac:dyDescent="0.3">
      <c r="A1401" t="s">
        <v>47</v>
      </c>
      <c r="B1401" s="4" t="s">
        <v>356</v>
      </c>
      <c r="C1401">
        <v>98.066282999999999</v>
      </c>
      <c r="D1401">
        <v>320.486153</v>
      </c>
      <c r="E1401">
        <v>1.4835</v>
      </c>
      <c r="F1401">
        <v>1.4810000000000001</v>
      </c>
      <c r="G1401">
        <v>0.23899999999999999</v>
      </c>
      <c r="H1401">
        <v>0</v>
      </c>
      <c r="I1401">
        <v>2</v>
      </c>
      <c r="J1401" t="s">
        <v>0</v>
      </c>
      <c r="K1401" t="s">
        <v>61</v>
      </c>
      <c r="L1401">
        <v>0</v>
      </c>
      <c r="M1401" t="s">
        <v>52</v>
      </c>
      <c r="N1401">
        <v>1</v>
      </c>
      <c r="O1401" t="s">
        <v>63</v>
      </c>
      <c r="P1401" s="2">
        <v>0.55069444444444449</v>
      </c>
      <c r="Q1401">
        <f>-0.0009798805*3600</f>
        <v>-3.5275697999999998</v>
      </c>
      <c r="R1401">
        <f>-0.0032443093*3600</f>
        <v>-11.679513480000001</v>
      </c>
    </row>
    <row r="1402" spans="1:18" x14ac:dyDescent="0.3">
      <c r="A1402" t="s">
        <v>47</v>
      </c>
      <c r="B1402" s="4" t="s">
        <v>356</v>
      </c>
      <c r="C1402">
        <v>98.065143000000006</v>
      </c>
      <c r="D1402">
        <v>320.486155</v>
      </c>
      <c r="E1402">
        <v>1.4835</v>
      </c>
      <c r="F1402">
        <v>1.4810000000000001</v>
      </c>
      <c r="G1402">
        <v>0.23899999999999999</v>
      </c>
      <c r="H1402">
        <v>0</v>
      </c>
      <c r="I1402">
        <v>2</v>
      </c>
      <c r="J1402" t="s">
        <v>0</v>
      </c>
      <c r="K1402" t="s">
        <v>61</v>
      </c>
      <c r="L1402">
        <v>0</v>
      </c>
      <c r="M1402" t="s">
        <v>52</v>
      </c>
      <c r="N1402">
        <v>1</v>
      </c>
      <c r="O1402" t="s">
        <v>63</v>
      </c>
      <c r="P1402" s="2">
        <v>0.55069444444444449</v>
      </c>
      <c r="Q1402">
        <f>-0.0009829112*3600</f>
        <v>-3.5384803200000001</v>
      </c>
      <c r="R1402">
        <f>-0.0032458744*3600</f>
        <v>-11.685147839999999</v>
      </c>
    </row>
    <row r="1403" spans="1:18" x14ac:dyDescent="0.3">
      <c r="A1403" t="s">
        <v>47</v>
      </c>
      <c r="B1403" s="4" t="s">
        <v>356</v>
      </c>
      <c r="C1403">
        <v>98.061937999999998</v>
      </c>
      <c r="D1403">
        <v>320.48611299999999</v>
      </c>
      <c r="E1403">
        <v>1.4835</v>
      </c>
      <c r="F1403">
        <v>1.4810000000000001</v>
      </c>
      <c r="G1403">
        <v>0.23899999999999999</v>
      </c>
      <c r="H1403">
        <v>0</v>
      </c>
      <c r="I1403">
        <v>2</v>
      </c>
      <c r="J1403" t="s">
        <v>0</v>
      </c>
      <c r="K1403" t="s">
        <v>61</v>
      </c>
      <c r="L1403">
        <v>0</v>
      </c>
      <c r="M1403" t="s">
        <v>52</v>
      </c>
      <c r="N1403">
        <v>1</v>
      </c>
      <c r="O1403" t="s">
        <v>63</v>
      </c>
      <c r="P1403" s="2">
        <v>0.55069444444444449</v>
      </c>
      <c r="Q1403">
        <f>-0.0009674878*3600</f>
        <v>-3.4829560800000001</v>
      </c>
      <c r="R1403">
        <f>-0.0032625088*3600</f>
        <v>-11.74503168</v>
      </c>
    </row>
    <row r="1404" spans="1:18" x14ac:dyDescent="0.3">
      <c r="A1404" t="s">
        <v>47</v>
      </c>
      <c r="B1404" s="4" t="s">
        <v>356</v>
      </c>
      <c r="C1404">
        <v>98.061717000000002</v>
      </c>
      <c r="D1404">
        <v>320.48610400000001</v>
      </c>
      <c r="E1404">
        <v>1.4835</v>
      </c>
      <c r="F1404">
        <v>1.4810000000000001</v>
      </c>
      <c r="G1404">
        <v>0.23899999999999999</v>
      </c>
      <c r="H1404">
        <v>0</v>
      </c>
      <c r="I1404">
        <v>2</v>
      </c>
      <c r="J1404" t="s">
        <v>0</v>
      </c>
      <c r="K1404" t="s">
        <v>61</v>
      </c>
      <c r="L1404">
        <v>0</v>
      </c>
      <c r="M1404" t="s">
        <v>52</v>
      </c>
      <c r="N1404">
        <v>1</v>
      </c>
      <c r="O1404" t="s">
        <v>63</v>
      </c>
      <c r="P1404" s="2">
        <v>0.55069444444444449</v>
      </c>
      <c r="Q1404">
        <f>-0.0009281748*3600</f>
        <v>-3.3414292799999998</v>
      </c>
      <c r="R1404">
        <f>-0.0032568151*3600</f>
        <v>-11.72453436</v>
      </c>
    </row>
    <row r="1405" spans="1:18" x14ac:dyDescent="0.3">
      <c r="A1405" t="s">
        <v>47</v>
      </c>
      <c r="B1405" s="4" t="s">
        <v>356</v>
      </c>
      <c r="C1405">
        <v>98.062207999999998</v>
      </c>
      <c r="D1405">
        <v>320.48623500000002</v>
      </c>
      <c r="E1405">
        <v>1.4835</v>
      </c>
      <c r="F1405">
        <v>1.4810000000000001</v>
      </c>
      <c r="G1405">
        <v>0.23899999999999999</v>
      </c>
      <c r="H1405">
        <v>0</v>
      </c>
      <c r="I1405">
        <v>2</v>
      </c>
      <c r="J1405" t="s">
        <v>0</v>
      </c>
      <c r="K1405" t="s">
        <v>61</v>
      </c>
      <c r="L1405">
        <v>0</v>
      </c>
      <c r="M1405" t="s">
        <v>52</v>
      </c>
      <c r="N1405">
        <v>1</v>
      </c>
      <c r="O1405" t="s">
        <v>63</v>
      </c>
      <c r="P1405" s="2">
        <v>0.55069444444444449</v>
      </c>
      <c r="Q1405">
        <f>-0.0008535434*3600</f>
        <v>-3.0727562399999999</v>
      </c>
      <c r="R1405">
        <f>-0.0031617491*3600</f>
        <v>-11.382296760000001</v>
      </c>
    </row>
    <row r="1406" spans="1:18" x14ac:dyDescent="0.3">
      <c r="A1406" t="s">
        <v>47</v>
      </c>
      <c r="B1406" s="4" t="s">
        <v>356</v>
      </c>
      <c r="C1406">
        <v>98.063834</v>
      </c>
      <c r="D1406">
        <v>320.48611</v>
      </c>
      <c r="E1406">
        <v>1.4835</v>
      </c>
      <c r="F1406">
        <v>1.4810000000000001</v>
      </c>
      <c r="G1406">
        <v>0.23899999999999999</v>
      </c>
      <c r="H1406">
        <v>0</v>
      </c>
      <c r="I1406">
        <v>2</v>
      </c>
      <c r="J1406" t="s">
        <v>0</v>
      </c>
      <c r="K1406" t="s">
        <v>61</v>
      </c>
      <c r="L1406">
        <v>0</v>
      </c>
      <c r="M1406" t="s">
        <v>52</v>
      </c>
      <c r="N1406">
        <v>1</v>
      </c>
      <c r="O1406" t="s">
        <v>63</v>
      </c>
      <c r="P1406" s="2">
        <v>0.55069444444444449</v>
      </c>
      <c r="Q1406">
        <f>-0.0008079136*3600</f>
        <v>-2.9084889600000001</v>
      </c>
      <c r="R1406">
        <f>-0.0032449318*3600</f>
        <v>-11.68175448</v>
      </c>
    </row>
    <row r="1407" spans="1:18" x14ac:dyDescent="0.3">
      <c r="A1407" t="s">
        <v>47</v>
      </c>
      <c r="B1407" s="4" t="s">
        <v>356</v>
      </c>
      <c r="C1407">
        <v>98.062751000000006</v>
      </c>
      <c r="D1407">
        <v>320.48613599999999</v>
      </c>
      <c r="E1407">
        <v>1.4835</v>
      </c>
      <c r="F1407">
        <v>1.4810000000000001</v>
      </c>
      <c r="G1407">
        <v>0.23899999999999999</v>
      </c>
      <c r="H1407">
        <v>0</v>
      </c>
      <c r="I1407">
        <v>2</v>
      </c>
      <c r="J1407" t="s">
        <v>0</v>
      </c>
      <c r="K1407" t="s">
        <v>61</v>
      </c>
      <c r="L1407">
        <v>0</v>
      </c>
      <c r="M1407" t="s">
        <v>52</v>
      </c>
      <c r="N1407">
        <v>1</v>
      </c>
      <c r="O1407" t="s">
        <v>63</v>
      </c>
      <c r="P1407" s="2">
        <v>0.55069444444444449</v>
      </c>
      <c r="Q1407">
        <f>-0.0008807265*3600</f>
        <v>-3.1706154</v>
      </c>
      <c r="R1407">
        <f>-0.003224254*3600</f>
        <v>-11.6073144</v>
      </c>
    </row>
    <row r="1408" spans="1:18" x14ac:dyDescent="0.3">
      <c r="A1408" t="s">
        <v>47</v>
      </c>
      <c r="B1408" s="4" t="s">
        <v>356</v>
      </c>
      <c r="C1408">
        <v>98.061826999999994</v>
      </c>
      <c r="D1408">
        <v>320.48621900000001</v>
      </c>
      <c r="E1408">
        <v>1.4835</v>
      </c>
      <c r="F1408">
        <v>1.4810000000000001</v>
      </c>
      <c r="G1408">
        <v>0.23899999999999999</v>
      </c>
      <c r="H1408">
        <v>0</v>
      </c>
      <c r="I1408">
        <v>2</v>
      </c>
      <c r="J1408" t="s">
        <v>0</v>
      </c>
      <c r="K1408" t="s">
        <v>61</v>
      </c>
      <c r="L1408">
        <v>0</v>
      </c>
      <c r="M1408" t="s">
        <v>52</v>
      </c>
      <c r="N1408">
        <v>1</v>
      </c>
      <c r="O1408" t="s">
        <v>63</v>
      </c>
      <c r="P1408" s="2">
        <v>0.55069444444444449</v>
      </c>
      <c r="Q1408">
        <f>-0.0006878311*3600</f>
        <v>-2.47619196</v>
      </c>
      <c r="R1408">
        <f>-0.0031371595*3600</f>
        <v>-11.293774200000001</v>
      </c>
    </row>
    <row r="1409" spans="1:18" x14ac:dyDescent="0.3">
      <c r="A1409" t="s">
        <v>47</v>
      </c>
      <c r="B1409" s="4" t="s">
        <v>356</v>
      </c>
      <c r="C1409">
        <v>98.061222999999998</v>
      </c>
      <c r="D1409">
        <v>320.48612400000002</v>
      </c>
      <c r="E1409">
        <v>1.4835</v>
      </c>
      <c r="F1409">
        <v>1.4810000000000001</v>
      </c>
      <c r="G1409">
        <v>0.23899999999999999</v>
      </c>
      <c r="H1409">
        <v>0</v>
      </c>
      <c r="I1409">
        <v>2</v>
      </c>
      <c r="J1409" t="s">
        <v>0</v>
      </c>
      <c r="K1409" t="s">
        <v>61</v>
      </c>
      <c r="L1409">
        <v>0</v>
      </c>
      <c r="M1409" t="s">
        <v>52</v>
      </c>
      <c r="N1409">
        <v>1</v>
      </c>
      <c r="O1409" t="s">
        <v>63</v>
      </c>
      <c r="P1409" s="2">
        <v>0.55069444444444449</v>
      </c>
      <c r="Q1409">
        <f>-0.0008598478*3600</f>
        <v>-3.0954520799999998</v>
      </c>
      <c r="R1409">
        <f>-0.0032427871*3600</f>
        <v>-11.67403356</v>
      </c>
    </row>
    <row r="1410" spans="1:18" x14ac:dyDescent="0.3">
      <c r="A1410" t="s">
        <v>47</v>
      </c>
      <c r="B1410" s="4" t="s">
        <v>356</v>
      </c>
      <c r="C1410">
        <v>98.062265999999994</v>
      </c>
      <c r="D1410">
        <v>320.48621100000003</v>
      </c>
      <c r="E1410">
        <v>1.4835</v>
      </c>
      <c r="F1410">
        <v>1.4810000000000001</v>
      </c>
      <c r="G1410">
        <v>0.23899999999999999</v>
      </c>
      <c r="H1410">
        <v>0</v>
      </c>
      <c r="I1410">
        <v>2</v>
      </c>
      <c r="J1410" t="s">
        <v>0</v>
      </c>
      <c r="K1410" t="s">
        <v>61</v>
      </c>
      <c r="L1410">
        <v>0</v>
      </c>
      <c r="M1410" t="s">
        <v>52</v>
      </c>
      <c r="N1410">
        <v>1</v>
      </c>
      <c r="O1410" t="s">
        <v>63</v>
      </c>
      <c r="P1410" s="2">
        <v>0.55069444444444449</v>
      </c>
      <c r="Q1410">
        <f>-0.000841122*3600</f>
        <v>-3.0280392000000003</v>
      </c>
      <c r="R1410">
        <f>-0.0031522122*3600</f>
        <v>-11.34796392</v>
      </c>
    </row>
    <row r="1411" spans="1:18" x14ac:dyDescent="0.3">
      <c r="A1411" t="s">
        <v>47</v>
      </c>
      <c r="B1411" s="4" t="s">
        <v>356</v>
      </c>
      <c r="C1411">
        <v>98.062714999999997</v>
      </c>
      <c r="D1411">
        <v>320.48618699999997</v>
      </c>
      <c r="E1411">
        <v>1.4835</v>
      </c>
      <c r="F1411">
        <v>1.4810000000000001</v>
      </c>
      <c r="G1411">
        <v>0.23899999999999999</v>
      </c>
      <c r="H1411">
        <v>0</v>
      </c>
      <c r="I1411">
        <v>2</v>
      </c>
      <c r="J1411" t="s">
        <v>0</v>
      </c>
      <c r="K1411" t="s">
        <v>61</v>
      </c>
      <c r="L1411">
        <v>0</v>
      </c>
      <c r="M1411" t="s">
        <v>52</v>
      </c>
      <c r="N1411">
        <v>1</v>
      </c>
      <c r="O1411" t="s">
        <v>63</v>
      </c>
      <c r="P1411" s="2">
        <v>0.55138888888888882</v>
      </c>
      <c r="Q1411">
        <f>-0.0007124648*3600</f>
        <v>-2.56487328</v>
      </c>
      <c r="R1411">
        <f>-0.003172226*3600</f>
        <v>-11.420013600000001</v>
      </c>
    </row>
    <row r="1412" spans="1:18" x14ac:dyDescent="0.3">
      <c r="A1412" t="s">
        <v>47</v>
      </c>
      <c r="B1412" s="4" t="s">
        <v>356</v>
      </c>
      <c r="C1412">
        <v>98.061819</v>
      </c>
      <c r="D1412">
        <v>320.48616700000002</v>
      </c>
      <c r="E1412">
        <v>1.4835</v>
      </c>
      <c r="F1412">
        <v>1.4810000000000001</v>
      </c>
      <c r="G1412">
        <v>0.23899999999999999</v>
      </c>
      <c r="H1412">
        <v>0</v>
      </c>
      <c r="I1412">
        <v>2</v>
      </c>
      <c r="J1412" t="s">
        <v>0</v>
      </c>
      <c r="K1412" t="s">
        <v>61</v>
      </c>
      <c r="L1412">
        <v>0</v>
      </c>
      <c r="M1412" t="s">
        <v>52</v>
      </c>
      <c r="N1412">
        <v>1</v>
      </c>
      <c r="O1412" t="s">
        <v>63</v>
      </c>
      <c r="P1412" s="2">
        <v>0.55138888888888882</v>
      </c>
      <c r="Q1412">
        <f>-0.0008882629*3600</f>
        <v>-3.19774644</v>
      </c>
      <c r="R1412">
        <f>-0.0032190998*3600</f>
        <v>-11.58875928</v>
      </c>
    </row>
    <row r="1413" spans="1:18" x14ac:dyDescent="0.3">
      <c r="A1413" t="s">
        <v>47</v>
      </c>
      <c r="B1413" s="4" t="s">
        <v>356</v>
      </c>
      <c r="C1413">
        <v>98.063423999999998</v>
      </c>
      <c r="D1413">
        <v>320.11061699999999</v>
      </c>
      <c r="E1413">
        <v>1.4835</v>
      </c>
      <c r="F1413">
        <v>1.4810000000000001</v>
      </c>
      <c r="G1413">
        <v>0.23899999999999999</v>
      </c>
      <c r="H1413">
        <v>0</v>
      </c>
      <c r="I1413">
        <v>2</v>
      </c>
      <c r="J1413" t="s">
        <v>0</v>
      </c>
      <c r="K1413" t="s">
        <v>61</v>
      </c>
      <c r="L1413">
        <v>0</v>
      </c>
      <c r="M1413" t="s">
        <v>52</v>
      </c>
      <c r="N1413">
        <v>1</v>
      </c>
      <c r="O1413" t="s">
        <v>63</v>
      </c>
      <c r="P1413" s="2">
        <v>0.55138888888888882</v>
      </c>
      <c r="Q1413">
        <f>-0.0010007752*3600</f>
        <v>-3.6027907200000002</v>
      </c>
      <c r="R1413">
        <f>-0.003386025*3600</f>
        <v>-12.189690000000001</v>
      </c>
    </row>
    <row r="1414" spans="1:18" x14ac:dyDescent="0.3">
      <c r="A1414" t="s">
        <v>47</v>
      </c>
      <c r="B1414" s="4" t="s">
        <v>356</v>
      </c>
      <c r="C1414">
        <v>98.062388999999996</v>
      </c>
      <c r="D1414">
        <v>320.11065200000002</v>
      </c>
      <c r="E1414">
        <v>1.4835</v>
      </c>
      <c r="F1414">
        <v>1.4810000000000001</v>
      </c>
      <c r="G1414">
        <v>0.23899999999999999</v>
      </c>
      <c r="H1414">
        <v>0</v>
      </c>
      <c r="I1414">
        <v>2</v>
      </c>
      <c r="J1414" t="s">
        <v>0</v>
      </c>
      <c r="K1414" t="s">
        <v>61</v>
      </c>
      <c r="L1414">
        <v>0</v>
      </c>
      <c r="M1414" t="s">
        <v>52</v>
      </c>
      <c r="N1414">
        <v>1</v>
      </c>
      <c r="O1414" t="s">
        <v>63</v>
      </c>
      <c r="P1414" s="2">
        <v>0.55138888888888882</v>
      </c>
      <c r="Q1414">
        <f>-0.0010246408*3600</f>
        <v>-3.6887068799999998</v>
      </c>
      <c r="R1414">
        <f>-0.0033212012*3600</f>
        <v>-11.95632432</v>
      </c>
    </row>
    <row r="1415" spans="1:18" x14ac:dyDescent="0.3">
      <c r="A1415" t="s">
        <v>47</v>
      </c>
      <c r="B1415" s="4" t="s">
        <v>356</v>
      </c>
      <c r="C1415">
        <v>98.064447000000001</v>
      </c>
      <c r="D1415">
        <v>320.11062800000002</v>
      </c>
      <c r="E1415">
        <v>1.4835</v>
      </c>
      <c r="F1415">
        <v>1.4810000000000001</v>
      </c>
      <c r="G1415">
        <v>0.23899999999999999</v>
      </c>
      <c r="H1415">
        <v>0</v>
      </c>
      <c r="I1415">
        <v>2</v>
      </c>
      <c r="J1415" t="s">
        <v>0</v>
      </c>
      <c r="K1415" t="s">
        <v>61</v>
      </c>
      <c r="L1415">
        <v>0</v>
      </c>
      <c r="M1415" t="s">
        <v>52</v>
      </c>
      <c r="N1415">
        <v>1</v>
      </c>
      <c r="O1415" t="s">
        <v>63</v>
      </c>
      <c r="P1415" s="2">
        <v>0.55138888888888882</v>
      </c>
      <c r="Q1415">
        <f>-0.0010227107*3600</f>
        <v>-3.6817585200000003</v>
      </c>
      <c r="R1415">
        <f>-0.0033303683*3600</f>
        <v>-11.989325879999999</v>
      </c>
    </row>
    <row r="1416" spans="1:18" x14ac:dyDescent="0.3">
      <c r="A1416" t="s">
        <v>47</v>
      </c>
      <c r="B1416" s="4" t="s">
        <v>356</v>
      </c>
      <c r="C1416">
        <v>98.065459000000004</v>
      </c>
      <c r="D1416">
        <v>320.11061000000001</v>
      </c>
      <c r="E1416">
        <v>1.4835</v>
      </c>
      <c r="F1416">
        <v>1.4810000000000001</v>
      </c>
      <c r="G1416">
        <v>0.23899999999999999</v>
      </c>
      <c r="H1416">
        <v>0</v>
      </c>
      <c r="I1416">
        <v>2</v>
      </c>
      <c r="J1416" t="s">
        <v>0</v>
      </c>
      <c r="K1416" t="s">
        <v>61</v>
      </c>
      <c r="L1416">
        <v>0</v>
      </c>
      <c r="M1416" t="s">
        <v>52</v>
      </c>
      <c r="N1416">
        <v>1</v>
      </c>
      <c r="O1416" t="s">
        <v>63</v>
      </c>
      <c r="P1416" s="2">
        <v>0.55138888888888882</v>
      </c>
      <c r="Q1416">
        <f>-0.0009047794*3600</f>
        <v>-3.2572058400000001</v>
      </c>
      <c r="R1416">
        <f>-0.0033473047*3600</f>
        <v>-12.050296919999999</v>
      </c>
    </row>
    <row r="1417" spans="1:18" x14ac:dyDescent="0.3">
      <c r="A1417" t="s">
        <v>47</v>
      </c>
      <c r="B1417" s="4" t="s">
        <v>356</v>
      </c>
      <c r="C1417">
        <v>98.066329999999994</v>
      </c>
      <c r="D1417">
        <v>320.11075799999998</v>
      </c>
      <c r="E1417">
        <v>1.4835</v>
      </c>
      <c r="F1417">
        <v>1.4810000000000001</v>
      </c>
      <c r="G1417">
        <v>0.23899999999999999</v>
      </c>
      <c r="H1417">
        <v>0</v>
      </c>
      <c r="I1417">
        <v>2</v>
      </c>
      <c r="J1417" t="s">
        <v>0</v>
      </c>
      <c r="K1417" t="s">
        <v>61</v>
      </c>
      <c r="L1417">
        <v>0</v>
      </c>
      <c r="M1417" t="s">
        <v>52</v>
      </c>
      <c r="N1417">
        <v>1</v>
      </c>
      <c r="O1417" t="s">
        <v>63</v>
      </c>
      <c r="P1417" s="2">
        <v>0.55138888888888882</v>
      </c>
      <c r="Q1417">
        <f>-0.000828432*3600</f>
        <v>-2.9823552000000002</v>
      </c>
      <c r="R1417">
        <f>-0.0032135637*3600</f>
        <v>-11.568829319999999</v>
      </c>
    </row>
    <row r="1418" spans="1:18" x14ac:dyDescent="0.3">
      <c r="A1418" t="s">
        <v>47</v>
      </c>
      <c r="B1418" s="4" t="s">
        <v>356</v>
      </c>
      <c r="C1418">
        <v>98.067383000000007</v>
      </c>
      <c r="D1418">
        <v>320.11066099999999</v>
      </c>
      <c r="E1418">
        <v>1.4835</v>
      </c>
      <c r="F1418">
        <v>1.4810000000000001</v>
      </c>
      <c r="G1418">
        <v>0.23899999999999999</v>
      </c>
      <c r="H1418">
        <v>0</v>
      </c>
      <c r="I1418">
        <v>2</v>
      </c>
      <c r="J1418" t="s">
        <v>0</v>
      </c>
      <c r="K1418" t="s">
        <v>61</v>
      </c>
      <c r="L1418">
        <v>0</v>
      </c>
      <c r="M1418" t="s">
        <v>52</v>
      </c>
      <c r="N1418">
        <v>1</v>
      </c>
      <c r="O1418" t="s">
        <v>63</v>
      </c>
      <c r="P1418" s="2">
        <v>0.55138888888888882</v>
      </c>
      <c r="Q1418">
        <f>-0.0008439414*3600</f>
        <v>-3.0381890399999998</v>
      </c>
      <c r="R1418">
        <f>-0.0033038183*3600</f>
        <v>-11.893745880000001</v>
      </c>
    </row>
    <row r="1419" spans="1:18" x14ac:dyDescent="0.3">
      <c r="A1419" t="s">
        <v>47</v>
      </c>
      <c r="B1419" s="4" t="s">
        <v>356</v>
      </c>
      <c r="C1419">
        <v>98.064751000000001</v>
      </c>
      <c r="D1419">
        <v>320.11068499999999</v>
      </c>
      <c r="E1419">
        <v>1.4835</v>
      </c>
      <c r="F1419">
        <v>1.4810000000000001</v>
      </c>
      <c r="G1419">
        <v>0.23899999999999999</v>
      </c>
      <c r="H1419">
        <v>0</v>
      </c>
      <c r="I1419">
        <v>2</v>
      </c>
      <c r="J1419" t="s">
        <v>0</v>
      </c>
      <c r="K1419" t="s">
        <v>61</v>
      </c>
      <c r="L1419">
        <v>0</v>
      </c>
      <c r="M1419" t="s">
        <v>52</v>
      </c>
      <c r="N1419">
        <v>1</v>
      </c>
      <c r="O1419" t="s">
        <v>63</v>
      </c>
      <c r="P1419" s="2">
        <v>0.55138888888888882</v>
      </c>
      <c r="Q1419">
        <f>-0.0009187206*3600</f>
        <v>-3.3073941600000003</v>
      </c>
      <c r="R1419">
        <f>-0.0032438066*3600</f>
        <v>-11.67770376</v>
      </c>
    </row>
    <row r="1420" spans="1:18" x14ac:dyDescent="0.3">
      <c r="A1420" t="s">
        <v>47</v>
      </c>
      <c r="B1420" s="4" t="s">
        <v>356</v>
      </c>
      <c r="C1420">
        <v>98.064563000000007</v>
      </c>
      <c r="D1420">
        <v>320.11060099999997</v>
      </c>
      <c r="E1420">
        <v>1.4835</v>
      </c>
      <c r="F1420">
        <v>1.4810000000000001</v>
      </c>
      <c r="G1420">
        <v>0.23899999999999999</v>
      </c>
      <c r="H1420">
        <v>0</v>
      </c>
      <c r="I1420">
        <v>2</v>
      </c>
      <c r="J1420" t="s">
        <v>0</v>
      </c>
      <c r="K1420" t="s">
        <v>61</v>
      </c>
      <c r="L1420">
        <v>0</v>
      </c>
      <c r="M1420" t="s">
        <v>52</v>
      </c>
      <c r="N1420">
        <v>1</v>
      </c>
      <c r="O1420" t="s">
        <v>63</v>
      </c>
      <c r="P1420" s="2">
        <v>0.55138888888888882</v>
      </c>
      <c r="Q1420">
        <f>-0.0009525365*3600</f>
        <v>-3.4291313999999997</v>
      </c>
      <c r="R1420">
        <f>-0.0033431204*3600</f>
        <v>-12.035233439999999</v>
      </c>
    </row>
    <row r="1421" spans="1:18" x14ac:dyDescent="0.3">
      <c r="A1421" t="s">
        <v>47</v>
      </c>
      <c r="B1421" s="4" t="s">
        <v>356</v>
      </c>
      <c r="C1421">
        <v>98.065307000000004</v>
      </c>
      <c r="D1421">
        <v>320.11065100000002</v>
      </c>
      <c r="E1421">
        <v>1.4835</v>
      </c>
      <c r="F1421">
        <v>1.4810000000000001</v>
      </c>
      <c r="G1421">
        <v>0.23899999999999999</v>
      </c>
      <c r="H1421">
        <v>0</v>
      </c>
      <c r="I1421">
        <v>2</v>
      </c>
      <c r="J1421" t="s">
        <v>0</v>
      </c>
      <c r="K1421" t="s">
        <v>61</v>
      </c>
      <c r="L1421">
        <v>0</v>
      </c>
      <c r="M1421" t="s">
        <v>52</v>
      </c>
      <c r="N1421">
        <v>1</v>
      </c>
      <c r="O1421" t="s">
        <v>63</v>
      </c>
      <c r="P1421" s="2">
        <v>0.55138888888888882</v>
      </c>
      <c r="Q1421">
        <f>-0.0009041642*3600</f>
        <v>-3.2549911200000001</v>
      </c>
      <c r="R1421">
        <f>-0.0033003369*3600</f>
        <v>-11.88121284</v>
      </c>
    </row>
    <row r="1422" spans="1:18" x14ac:dyDescent="0.3">
      <c r="A1422" t="s">
        <v>47</v>
      </c>
      <c r="B1422" s="4" t="s">
        <v>356</v>
      </c>
      <c r="C1422">
        <v>98.064248000000006</v>
      </c>
      <c r="D1422">
        <v>320.110591</v>
      </c>
      <c r="E1422">
        <v>1.4835</v>
      </c>
      <c r="F1422">
        <v>1.4810000000000001</v>
      </c>
      <c r="G1422">
        <v>0.23899999999999999</v>
      </c>
      <c r="H1422">
        <v>0</v>
      </c>
      <c r="I1422">
        <v>2</v>
      </c>
      <c r="J1422" t="s">
        <v>0</v>
      </c>
      <c r="K1422" t="s">
        <v>61</v>
      </c>
      <c r="L1422">
        <v>0</v>
      </c>
      <c r="M1422" t="s">
        <v>52</v>
      </c>
      <c r="N1422">
        <v>1</v>
      </c>
      <c r="O1422" t="s">
        <v>63</v>
      </c>
      <c r="P1422" s="2">
        <v>0.55138888888888882</v>
      </c>
      <c r="Q1422">
        <f>-0.0009199356*3600</f>
        <v>-3.3117681599999997</v>
      </c>
      <c r="R1422">
        <f>-0.0033693401*3600</f>
        <v>-12.129624360000001</v>
      </c>
    </row>
    <row r="1423" spans="1:18" x14ac:dyDescent="0.3">
      <c r="A1423" t="s">
        <v>47</v>
      </c>
      <c r="B1423" s="4" t="s">
        <v>356</v>
      </c>
      <c r="C1423">
        <v>98.064019999999999</v>
      </c>
      <c r="D1423">
        <v>320.11064199999998</v>
      </c>
      <c r="E1423">
        <v>1.4835</v>
      </c>
      <c r="F1423">
        <v>1.4810000000000001</v>
      </c>
      <c r="G1423">
        <v>0.23899999999999999</v>
      </c>
      <c r="H1423">
        <v>0</v>
      </c>
      <c r="I1423">
        <v>2</v>
      </c>
      <c r="J1423" t="s">
        <v>0</v>
      </c>
      <c r="K1423" t="s">
        <v>61</v>
      </c>
      <c r="L1423">
        <v>0</v>
      </c>
      <c r="M1423" t="s">
        <v>52</v>
      </c>
      <c r="N1423">
        <v>1</v>
      </c>
      <c r="O1423" t="s">
        <v>63</v>
      </c>
      <c r="P1423" s="2">
        <v>0.55138888888888882</v>
      </c>
      <c r="Q1423">
        <f>-0.0009126214*3600</f>
        <v>-3.2854370400000001</v>
      </c>
      <c r="R1423">
        <f>-0.003300005*3600</f>
        <v>-11.880018</v>
      </c>
    </row>
    <row r="1424" spans="1:18" x14ac:dyDescent="0.3">
      <c r="A1424" t="s">
        <v>47</v>
      </c>
      <c r="B1424" s="4" t="s">
        <v>356</v>
      </c>
      <c r="C1424">
        <v>98.064152000000007</v>
      </c>
      <c r="D1424">
        <v>320.11059</v>
      </c>
      <c r="E1424">
        <v>1.4835</v>
      </c>
      <c r="F1424">
        <v>1.4810000000000001</v>
      </c>
      <c r="G1424">
        <v>0.23899999999999999</v>
      </c>
      <c r="H1424">
        <v>0</v>
      </c>
      <c r="I1424">
        <v>2</v>
      </c>
      <c r="J1424" t="s">
        <v>0</v>
      </c>
      <c r="K1424" t="s">
        <v>61</v>
      </c>
      <c r="L1424">
        <v>0</v>
      </c>
      <c r="M1424" t="s">
        <v>52</v>
      </c>
      <c r="N1424">
        <v>1</v>
      </c>
      <c r="O1424" t="s">
        <v>63</v>
      </c>
      <c r="P1424" s="2">
        <v>0.55138888888888882</v>
      </c>
      <c r="Q1424">
        <f>-0.0009736023*3600</f>
        <v>-3.5049682799999999</v>
      </c>
      <c r="R1424">
        <f>-0.0033416039*3600</f>
        <v>-12.029774040000001</v>
      </c>
    </row>
    <row r="1425" spans="1:18" x14ac:dyDescent="0.3">
      <c r="A1425" t="s">
        <v>47</v>
      </c>
      <c r="B1425" s="4" t="s">
        <v>356</v>
      </c>
      <c r="C1425">
        <v>98.063886999999994</v>
      </c>
      <c r="D1425">
        <v>320.11057799999998</v>
      </c>
      <c r="E1425">
        <v>1.4835</v>
      </c>
      <c r="F1425">
        <v>1.4810000000000001</v>
      </c>
      <c r="G1425">
        <v>0.23899999999999999</v>
      </c>
      <c r="H1425">
        <v>0</v>
      </c>
      <c r="I1425">
        <v>2</v>
      </c>
      <c r="J1425" t="s">
        <v>0</v>
      </c>
      <c r="K1425" t="s">
        <v>61</v>
      </c>
      <c r="L1425">
        <v>0</v>
      </c>
      <c r="M1425" t="s">
        <v>52</v>
      </c>
      <c r="N1425">
        <v>1</v>
      </c>
      <c r="O1425" t="s">
        <v>63</v>
      </c>
      <c r="P1425" s="2">
        <v>0.55138888888888882</v>
      </c>
      <c r="Q1425">
        <f>-0.0010626917*3600</f>
        <v>-3.82569012</v>
      </c>
      <c r="R1425">
        <f>-0.0033812234*3600</f>
        <v>-12.172404240000001</v>
      </c>
    </row>
    <row r="1426" spans="1:18" x14ac:dyDescent="0.3">
      <c r="A1426" t="s">
        <v>47</v>
      </c>
      <c r="B1426" s="4" t="s">
        <v>356</v>
      </c>
      <c r="C1426">
        <v>98.064920000000001</v>
      </c>
      <c r="D1426">
        <v>320.11062900000002</v>
      </c>
      <c r="E1426">
        <v>1.4835</v>
      </c>
      <c r="F1426">
        <v>1.4810000000000001</v>
      </c>
      <c r="G1426">
        <v>0.23899999999999999</v>
      </c>
      <c r="H1426">
        <v>0</v>
      </c>
      <c r="I1426">
        <v>2</v>
      </c>
      <c r="J1426" t="s">
        <v>0</v>
      </c>
      <c r="K1426" t="s">
        <v>61</v>
      </c>
      <c r="L1426">
        <v>0</v>
      </c>
      <c r="M1426" t="s">
        <v>52</v>
      </c>
      <c r="N1426">
        <v>1</v>
      </c>
      <c r="O1426" t="s">
        <v>63</v>
      </c>
      <c r="P1426" s="2">
        <v>0.55138888888888882</v>
      </c>
      <c r="Q1426">
        <f>-0.0008395418*3600</f>
        <v>-3.0223504800000001</v>
      </c>
      <c r="R1426">
        <f>-0.0033060179*3600</f>
        <v>-11.901664439999999</v>
      </c>
    </row>
    <row r="1427" spans="1:18" x14ac:dyDescent="0.3">
      <c r="A1427" t="s">
        <v>47</v>
      </c>
      <c r="B1427" s="4" t="s">
        <v>356</v>
      </c>
      <c r="C1427">
        <v>98.064769999999996</v>
      </c>
      <c r="D1427">
        <v>320.110614</v>
      </c>
      <c r="E1427">
        <v>1.4835</v>
      </c>
      <c r="F1427">
        <v>1.4810000000000001</v>
      </c>
      <c r="G1427">
        <v>0.23899999999999999</v>
      </c>
      <c r="H1427">
        <v>0</v>
      </c>
      <c r="I1427">
        <v>2</v>
      </c>
      <c r="J1427" t="s">
        <v>0</v>
      </c>
      <c r="K1427" t="s">
        <v>61</v>
      </c>
      <c r="L1427">
        <v>0</v>
      </c>
      <c r="M1427" t="s">
        <v>52</v>
      </c>
      <c r="N1427">
        <v>1</v>
      </c>
      <c r="O1427" t="s">
        <v>63</v>
      </c>
      <c r="P1427" s="2">
        <v>0.55138888888888882</v>
      </c>
      <c r="Q1427">
        <f>-0.0009175428*3600</f>
        <v>-3.3031540800000001</v>
      </c>
      <c r="R1427">
        <f>-0.00332598*3600</f>
        <v>-11.973528</v>
      </c>
    </row>
    <row r="1428" spans="1:18" x14ac:dyDescent="0.3">
      <c r="A1428" t="s">
        <v>47</v>
      </c>
      <c r="B1428" s="4" t="s">
        <v>356</v>
      </c>
      <c r="C1428">
        <v>98.064044999999993</v>
      </c>
      <c r="D1428">
        <v>320.11067200000002</v>
      </c>
      <c r="E1428">
        <v>1.4835</v>
      </c>
      <c r="F1428">
        <v>1.4810000000000001</v>
      </c>
      <c r="G1428">
        <v>0.23899999999999999</v>
      </c>
      <c r="H1428">
        <v>0</v>
      </c>
      <c r="I1428">
        <v>2</v>
      </c>
      <c r="J1428" t="s">
        <v>0</v>
      </c>
      <c r="K1428" t="s">
        <v>61</v>
      </c>
      <c r="L1428">
        <v>0</v>
      </c>
      <c r="M1428" t="s">
        <v>52</v>
      </c>
      <c r="N1428">
        <v>1</v>
      </c>
      <c r="O1428" t="s">
        <v>63</v>
      </c>
      <c r="P1428" s="2">
        <v>0.55138888888888882</v>
      </c>
      <c r="Q1428">
        <f>-0.0009944446*3600</f>
        <v>-3.5800005599999998</v>
      </c>
      <c r="R1428">
        <f>-0.0032672594*3600</f>
        <v>-11.762133840000001</v>
      </c>
    </row>
    <row r="1429" spans="1:18" x14ac:dyDescent="0.3">
      <c r="A1429" t="s">
        <v>47</v>
      </c>
      <c r="B1429" s="4" t="s">
        <v>356</v>
      </c>
      <c r="C1429">
        <v>98.064457000000004</v>
      </c>
      <c r="D1429">
        <v>320.11062299999998</v>
      </c>
      <c r="E1429">
        <v>1.4835</v>
      </c>
      <c r="F1429">
        <v>1.4810000000000001</v>
      </c>
      <c r="G1429">
        <v>0.23899999999999999</v>
      </c>
      <c r="H1429">
        <v>0</v>
      </c>
      <c r="I1429">
        <v>2</v>
      </c>
      <c r="J1429" t="s">
        <v>0</v>
      </c>
      <c r="K1429" t="s">
        <v>61</v>
      </c>
      <c r="L1429">
        <v>0</v>
      </c>
      <c r="M1429" t="s">
        <v>52</v>
      </c>
      <c r="N1429">
        <v>1</v>
      </c>
      <c r="O1429" t="s">
        <v>63</v>
      </c>
      <c r="P1429" s="2">
        <v>0.55138888888888882</v>
      </c>
      <c r="Q1429">
        <f>-0.00095137*3600</f>
        <v>-3.4249320000000001</v>
      </c>
      <c r="R1429">
        <f>-0.0033025717*3600</f>
        <v>-11.889258120000001</v>
      </c>
    </row>
    <row r="1430" spans="1:18" x14ac:dyDescent="0.3">
      <c r="A1430" t="s">
        <v>47</v>
      </c>
      <c r="B1430" s="4" t="s">
        <v>356</v>
      </c>
      <c r="C1430">
        <v>98.065584999999999</v>
      </c>
      <c r="D1430">
        <v>320.11070999999998</v>
      </c>
      <c r="E1430">
        <v>1.4835</v>
      </c>
      <c r="F1430">
        <v>1.4810000000000001</v>
      </c>
      <c r="G1430">
        <v>0.23899999999999999</v>
      </c>
      <c r="H1430">
        <v>0</v>
      </c>
      <c r="I1430">
        <v>2</v>
      </c>
      <c r="J1430" t="s">
        <v>0</v>
      </c>
      <c r="K1430" t="s">
        <v>61</v>
      </c>
      <c r="L1430">
        <v>0</v>
      </c>
      <c r="M1430" t="s">
        <v>52</v>
      </c>
      <c r="N1430">
        <v>1</v>
      </c>
      <c r="O1430" t="s">
        <v>63</v>
      </c>
      <c r="P1430" s="2">
        <v>0.55138888888888882</v>
      </c>
      <c r="Q1430">
        <f>-0.0007785247*3600</f>
        <v>-2.80268892</v>
      </c>
      <c r="R1430">
        <f>-0.0032309201*3600</f>
        <v>-11.631312360000001</v>
      </c>
    </row>
    <row r="1431" spans="1:18" x14ac:dyDescent="0.3">
      <c r="A1431" t="s">
        <v>47</v>
      </c>
      <c r="B1431" s="4" t="s">
        <v>356</v>
      </c>
      <c r="C1431">
        <v>98.066772</v>
      </c>
      <c r="D1431">
        <v>320.11064199999998</v>
      </c>
      <c r="E1431">
        <v>1.4835</v>
      </c>
      <c r="F1431">
        <v>1.4810000000000001</v>
      </c>
      <c r="G1431">
        <v>0.23899999999999999</v>
      </c>
      <c r="H1431">
        <v>0</v>
      </c>
      <c r="I1431">
        <v>2</v>
      </c>
      <c r="J1431" t="s">
        <v>0</v>
      </c>
      <c r="K1431" t="s">
        <v>61</v>
      </c>
      <c r="L1431">
        <v>0</v>
      </c>
      <c r="M1431" t="s">
        <v>52</v>
      </c>
      <c r="N1431">
        <v>1</v>
      </c>
      <c r="O1431" t="s">
        <v>63</v>
      </c>
      <c r="P1431" s="2">
        <v>0.55138888888888882</v>
      </c>
      <c r="Q1431">
        <f>-0.0008016896*3600</f>
        <v>-2.8860825599999997</v>
      </c>
      <c r="R1431">
        <f>-0.0033013411*3600</f>
        <v>-11.884827960000001</v>
      </c>
    </row>
    <row r="1432" spans="1:18" x14ac:dyDescent="0.3">
      <c r="A1432" t="s">
        <v>47</v>
      </c>
      <c r="B1432" s="4" t="s">
        <v>356</v>
      </c>
      <c r="C1432">
        <v>98.067576000000003</v>
      </c>
      <c r="D1432">
        <v>320.11071299999998</v>
      </c>
      <c r="E1432">
        <v>1.4835</v>
      </c>
      <c r="F1432">
        <v>1.4810000000000001</v>
      </c>
      <c r="G1432">
        <v>0.23899999999999999</v>
      </c>
      <c r="H1432">
        <v>0</v>
      </c>
      <c r="I1432">
        <v>2</v>
      </c>
      <c r="J1432" t="s">
        <v>0</v>
      </c>
      <c r="K1432" t="s">
        <v>61</v>
      </c>
      <c r="L1432">
        <v>0</v>
      </c>
      <c r="M1432" t="s">
        <v>52</v>
      </c>
      <c r="N1432">
        <v>1</v>
      </c>
      <c r="O1432" t="s">
        <v>63</v>
      </c>
      <c r="P1432" s="2">
        <v>0.55138888888888882</v>
      </c>
      <c r="Q1432">
        <f>-0.0008673648*3600</f>
        <v>-3.1225132799999997</v>
      </c>
      <c r="R1432">
        <f>-0.003224593*3600</f>
        <v>-11.608534799999999</v>
      </c>
    </row>
    <row r="1433" spans="1:18" x14ac:dyDescent="0.3">
      <c r="A1433" t="s">
        <v>47</v>
      </c>
      <c r="B1433" s="4" t="s">
        <v>356</v>
      </c>
      <c r="C1433">
        <v>98.068445999999994</v>
      </c>
      <c r="D1433">
        <v>320.11062500000003</v>
      </c>
      <c r="E1433">
        <v>1.4835</v>
      </c>
      <c r="F1433">
        <v>1.4810000000000001</v>
      </c>
      <c r="G1433">
        <v>0.23899999999999999</v>
      </c>
      <c r="H1433">
        <v>0</v>
      </c>
      <c r="I1433">
        <v>2</v>
      </c>
      <c r="J1433" t="s">
        <v>0</v>
      </c>
      <c r="K1433" t="s">
        <v>61</v>
      </c>
      <c r="L1433">
        <v>0</v>
      </c>
      <c r="M1433" t="s">
        <v>52</v>
      </c>
      <c r="N1433">
        <v>1</v>
      </c>
      <c r="O1433" t="s">
        <v>63</v>
      </c>
      <c r="P1433" s="2">
        <v>0.55138888888888882</v>
      </c>
      <c r="Q1433">
        <f>-0.0008548171*3600</f>
        <v>-3.0773415600000003</v>
      </c>
      <c r="R1433">
        <f>-0.0032862518*3600</f>
        <v>-11.830506479999999</v>
      </c>
    </row>
    <row r="1434" spans="1:18" x14ac:dyDescent="0.3">
      <c r="A1434" t="s">
        <v>47</v>
      </c>
      <c r="B1434" s="4" t="s">
        <v>356</v>
      </c>
      <c r="C1434">
        <v>98.067491000000004</v>
      </c>
      <c r="D1434">
        <v>320.11063000000001</v>
      </c>
      <c r="E1434">
        <v>1.4835</v>
      </c>
      <c r="F1434">
        <v>1.4810000000000001</v>
      </c>
      <c r="G1434">
        <v>0.23899999999999999</v>
      </c>
      <c r="H1434">
        <v>0</v>
      </c>
      <c r="I1434">
        <v>2</v>
      </c>
      <c r="J1434" t="s">
        <v>0</v>
      </c>
      <c r="K1434" t="s">
        <v>61</v>
      </c>
      <c r="L1434">
        <v>0</v>
      </c>
      <c r="M1434" t="s">
        <v>52</v>
      </c>
      <c r="N1434">
        <v>1</v>
      </c>
      <c r="O1434" t="s">
        <v>63</v>
      </c>
      <c r="P1434" s="2">
        <v>0.55138888888888882</v>
      </c>
      <c r="Q1434">
        <f>-0.0009603778*3600</f>
        <v>-3.4573600800000004</v>
      </c>
      <c r="R1434">
        <f>-0.0032976395*3600</f>
        <v>-11.8715022</v>
      </c>
    </row>
    <row r="1435" spans="1:18" x14ac:dyDescent="0.3">
      <c r="A1435" t="s">
        <v>47</v>
      </c>
      <c r="B1435" s="9" t="s">
        <v>359</v>
      </c>
      <c r="C1435">
        <v>298.56266900000003</v>
      </c>
      <c r="D1435">
        <v>100.36527700000001</v>
      </c>
      <c r="E1435" s="7">
        <v>13.128</v>
      </c>
      <c r="F1435" s="7">
        <v>13.125500000000001</v>
      </c>
      <c r="G1435">
        <v>0.23899999999999999</v>
      </c>
      <c r="H1435">
        <v>0</v>
      </c>
      <c r="I1435">
        <v>1</v>
      </c>
      <c r="J1435" t="s">
        <v>0</v>
      </c>
      <c r="K1435" t="s">
        <v>61</v>
      </c>
      <c r="L1435">
        <v>3.4000000000000002E-2</v>
      </c>
      <c r="M1435" t="s">
        <v>52</v>
      </c>
      <c r="N1435">
        <v>1</v>
      </c>
      <c r="O1435" t="s">
        <v>53</v>
      </c>
      <c r="P1435" s="2">
        <v>0.54097222222222219</v>
      </c>
      <c r="Q1435">
        <f>0.0008429427*3600</f>
        <v>3.0345937199999997</v>
      </c>
      <c r="R1435">
        <f>0.0035242208*3600</f>
        <v>12.68719488</v>
      </c>
    </row>
    <row r="1436" spans="1:18" x14ac:dyDescent="0.3">
      <c r="A1436" t="s">
        <v>47</v>
      </c>
      <c r="B1436" s="9" t="s">
        <v>359</v>
      </c>
      <c r="C1436">
        <v>298.564009</v>
      </c>
      <c r="D1436">
        <v>99.800601999999998</v>
      </c>
      <c r="E1436">
        <v>13.128</v>
      </c>
      <c r="F1436">
        <v>13.125500000000001</v>
      </c>
      <c r="G1436">
        <v>0.23899999999999999</v>
      </c>
      <c r="H1436">
        <v>0</v>
      </c>
      <c r="I1436">
        <v>1</v>
      </c>
      <c r="J1436" t="s">
        <v>0</v>
      </c>
      <c r="K1436" t="s">
        <v>61</v>
      </c>
      <c r="L1436">
        <v>0</v>
      </c>
      <c r="M1436" t="s">
        <v>52</v>
      </c>
      <c r="N1436">
        <v>1</v>
      </c>
      <c r="O1436" t="s">
        <v>63</v>
      </c>
      <c r="P1436" s="2">
        <v>0.54166666666666663</v>
      </c>
      <c r="Q1436">
        <f>0.000958177*3600</f>
        <v>3.4494372000000002</v>
      </c>
      <c r="R1436">
        <f>0.0037905248*3600</f>
        <v>13.645889279999999</v>
      </c>
    </row>
    <row r="1437" spans="1:18" x14ac:dyDescent="0.3">
      <c r="A1437" t="s">
        <v>47</v>
      </c>
      <c r="B1437" s="9" t="s">
        <v>359</v>
      </c>
      <c r="C1437">
        <v>298.56350099999997</v>
      </c>
      <c r="D1437">
        <v>99.800526000000005</v>
      </c>
      <c r="E1437">
        <v>13.128</v>
      </c>
      <c r="F1437">
        <v>13.125500000000001</v>
      </c>
      <c r="G1437">
        <v>0.23899999999999999</v>
      </c>
      <c r="H1437">
        <v>0</v>
      </c>
      <c r="I1437">
        <v>1</v>
      </c>
      <c r="J1437" t="s">
        <v>0</v>
      </c>
      <c r="K1437" t="s">
        <v>61</v>
      </c>
      <c r="L1437">
        <v>0</v>
      </c>
      <c r="M1437" t="s">
        <v>52</v>
      </c>
      <c r="N1437">
        <v>1</v>
      </c>
      <c r="O1437" t="s">
        <v>63</v>
      </c>
      <c r="P1437" s="2">
        <v>0.54166666666666663</v>
      </c>
      <c r="Q1437">
        <f>0.0008746983*3600</f>
        <v>3.1489138800000003</v>
      </c>
      <c r="R1437">
        <f>0.0037476169*3600</f>
        <v>13.49142084</v>
      </c>
    </row>
    <row r="1438" spans="1:18" x14ac:dyDescent="0.3">
      <c r="A1438" t="s">
        <v>47</v>
      </c>
      <c r="B1438" s="9" t="s">
        <v>359</v>
      </c>
      <c r="C1438">
        <v>298.56381800000003</v>
      </c>
      <c r="D1438">
        <v>99.800576000000007</v>
      </c>
      <c r="E1438">
        <v>13.128</v>
      </c>
      <c r="F1438">
        <v>13.125500000000001</v>
      </c>
      <c r="G1438">
        <v>0.23899999999999999</v>
      </c>
      <c r="H1438">
        <v>0</v>
      </c>
      <c r="I1438">
        <v>1</v>
      </c>
      <c r="J1438" t="s">
        <v>0</v>
      </c>
      <c r="K1438" t="s">
        <v>61</v>
      </c>
      <c r="L1438">
        <v>0</v>
      </c>
      <c r="M1438" t="s">
        <v>52</v>
      </c>
      <c r="N1438">
        <v>1</v>
      </c>
      <c r="O1438" t="s">
        <v>63</v>
      </c>
      <c r="P1438" s="2">
        <v>0.54166666666666663</v>
      </c>
      <c r="Q1438">
        <f>0.0008704376*3600</f>
        <v>3.13357536</v>
      </c>
      <c r="R1438">
        <f>0.0037922328*3600</f>
        <v>13.652038079999999</v>
      </c>
    </row>
    <row r="1439" spans="1:18" x14ac:dyDescent="0.3">
      <c r="A1439" t="s">
        <v>47</v>
      </c>
      <c r="B1439" s="9" t="s">
        <v>359</v>
      </c>
      <c r="C1439">
        <v>298.565358</v>
      </c>
      <c r="D1439">
        <v>99.800537000000006</v>
      </c>
      <c r="E1439">
        <v>13.128</v>
      </c>
      <c r="F1439">
        <v>13.125500000000001</v>
      </c>
      <c r="G1439">
        <v>0.23899999999999999</v>
      </c>
      <c r="H1439">
        <v>0</v>
      </c>
      <c r="I1439">
        <v>1</v>
      </c>
      <c r="J1439" t="s">
        <v>0</v>
      </c>
      <c r="K1439" t="s">
        <v>61</v>
      </c>
      <c r="L1439">
        <v>0</v>
      </c>
      <c r="M1439" t="s">
        <v>52</v>
      </c>
      <c r="N1439">
        <v>1</v>
      </c>
      <c r="O1439" t="s">
        <v>63</v>
      </c>
      <c r="P1439" s="2">
        <v>0.54166666666666663</v>
      </c>
      <c r="Q1439">
        <f>0.0008598762*3600</f>
        <v>3.0955543200000002</v>
      </c>
      <c r="R1439">
        <f>0.0037574274*3600</f>
        <v>13.52673864</v>
      </c>
    </row>
    <row r="1440" spans="1:18" x14ac:dyDescent="0.3">
      <c r="A1440" t="s">
        <v>47</v>
      </c>
      <c r="B1440" s="9" t="s">
        <v>359</v>
      </c>
      <c r="C1440">
        <v>298.56481000000002</v>
      </c>
      <c r="D1440">
        <v>99.800437000000002</v>
      </c>
      <c r="E1440">
        <v>13.128</v>
      </c>
      <c r="F1440">
        <v>13.125500000000001</v>
      </c>
      <c r="G1440">
        <v>0.23899999999999999</v>
      </c>
      <c r="H1440">
        <v>0</v>
      </c>
      <c r="I1440">
        <v>1</v>
      </c>
      <c r="J1440" t="s">
        <v>0</v>
      </c>
      <c r="K1440" t="s">
        <v>61</v>
      </c>
      <c r="L1440">
        <v>0</v>
      </c>
      <c r="M1440" t="s">
        <v>52</v>
      </c>
      <c r="N1440">
        <v>1</v>
      </c>
      <c r="O1440" t="s">
        <v>63</v>
      </c>
      <c r="P1440" s="2">
        <v>0.54166666666666663</v>
      </c>
      <c r="Q1440">
        <f>0.0006716295*3600</f>
        <v>2.4178662000000002</v>
      </c>
      <c r="R1440">
        <f>0.0036423429*3600</f>
        <v>13.112434440000001</v>
      </c>
    </row>
    <row r="1441" spans="1:18" x14ac:dyDescent="0.3">
      <c r="A1441" t="s">
        <v>47</v>
      </c>
      <c r="B1441" s="9" t="s">
        <v>359</v>
      </c>
      <c r="C1441">
        <v>298.56379700000002</v>
      </c>
      <c r="D1441">
        <v>99.800417999999993</v>
      </c>
      <c r="E1441">
        <v>13.128</v>
      </c>
      <c r="F1441">
        <v>13.125500000000001</v>
      </c>
      <c r="G1441">
        <v>0.23899999999999999</v>
      </c>
      <c r="H1441">
        <v>0</v>
      </c>
      <c r="I1441">
        <v>1</v>
      </c>
      <c r="J1441" t="s">
        <v>0</v>
      </c>
      <c r="K1441" t="s">
        <v>61</v>
      </c>
      <c r="L1441">
        <v>0</v>
      </c>
      <c r="M1441" t="s">
        <v>52</v>
      </c>
      <c r="N1441">
        <v>1</v>
      </c>
      <c r="O1441" t="s">
        <v>63</v>
      </c>
      <c r="P1441" s="2">
        <v>0.54166666666666663</v>
      </c>
      <c r="Q1441">
        <f>0.0006604797*3600</f>
        <v>2.3777269199999997</v>
      </c>
      <c r="R1441">
        <f>0.0036059614*3600</f>
        <v>12.981461040000001</v>
      </c>
    </row>
    <row r="1442" spans="1:18" x14ac:dyDescent="0.3">
      <c r="A1442" t="s">
        <v>47</v>
      </c>
      <c r="B1442" s="9" t="s">
        <v>359</v>
      </c>
      <c r="C1442">
        <v>298.56372599999997</v>
      </c>
      <c r="D1442">
        <v>99.800391000000005</v>
      </c>
      <c r="E1442">
        <v>13.128</v>
      </c>
      <c r="F1442">
        <v>13.125500000000001</v>
      </c>
      <c r="G1442">
        <v>0.23899999999999999</v>
      </c>
      <c r="H1442">
        <v>0</v>
      </c>
      <c r="I1442">
        <v>1</v>
      </c>
      <c r="J1442" t="s">
        <v>0</v>
      </c>
      <c r="K1442" t="s">
        <v>61</v>
      </c>
      <c r="L1442">
        <v>0</v>
      </c>
      <c r="M1442" t="s">
        <v>52</v>
      </c>
      <c r="N1442">
        <v>1</v>
      </c>
      <c r="O1442" t="s">
        <v>63</v>
      </c>
      <c r="P1442" s="2">
        <v>0.54166666666666663</v>
      </c>
      <c r="Q1442">
        <f>0.0007209456*3600</f>
        <v>2.5954041599999997</v>
      </c>
      <c r="R1442">
        <f>0.0036098224*3600</f>
        <v>12.995360639999999</v>
      </c>
    </row>
    <row r="1443" spans="1:18" x14ac:dyDescent="0.3">
      <c r="A1443" t="s">
        <v>47</v>
      </c>
      <c r="B1443" s="9" t="s">
        <v>359</v>
      </c>
      <c r="C1443">
        <v>298.56351599999999</v>
      </c>
      <c r="D1443">
        <v>99.800443000000001</v>
      </c>
      <c r="E1443">
        <v>13.128</v>
      </c>
      <c r="F1443">
        <v>13.125500000000001</v>
      </c>
      <c r="G1443">
        <v>0.23899999999999999</v>
      </c>
      <c r="H1443">
        <v>0</v>
      </c>
      <c r="I1443">
        <v>1</v>
      </c>
      <c r="J1443" t="s">
        <v>0</v>
      </c>
      <c r="K1443" t="s">
        <v>61</v>
      </c>
      <c r="L1443">
        <v>0</v>
      </c>
      <c r="M1443" t="s">
        <v>52</v>
      </c>
      <c r="N1443">
        <v>1</v>
      </c>
      <c r="O1443" t="s">
        <v>63</v>
      </c>
      <c r="P1443" s="2">
        <v>0.54166666666666663</v>
      </c>
      <c r="Q1443">
        <f>0.0007123736*3600</f>
        <v>2.5645449600000001</v>
      </c>
      <c r="R1443">
        <f>0.003670246*3600</f>
        <v>13.2128856</v>
      </c>
    </row>
    <row r="1444" spans="1:18" x14ac:dyDescent="0.3">
      <c r="A1444" t="s">
        <v>47</v>
      </c>
      <c r="B1444" s="9" t="s">
        <v>359</v>
      </c>
      <c r="C1444">
        <v>298.563942</v>
      </c>
      <c r="D1444">
        <v>99.800424000000007</v>
      </c>
      <c r="E1444">
        <v>13.128</v>
      </c>
      <c r="F1444">
        <v>13.125500000000001</v>
      </c>
      <c r="G1444">
        <v>0.23899999999999999</v>
      </c>
      <c r="H1444">
        <v>0</v>
      </c>
      <c r="I1444">
        <v>1</v>
      </c>
      <c r="J1444" t="s">
        <v>0</v>
      </c>
      <c r="K1444" t="s">
        <v>61</v>
      </c>
      <c r="L1444">
        <v>0</v>
      </c>
      <c r="M1444" t="s">
        <v>52</v>
      </c>
      <c r="N1444">
        <v>1</v>
      </c>
      <c r="O1444" t="s">
        <v>63</v>
      </c>
      <c r="P1444" s="2">
        <v>0.54166666666666663</v>
      </c>
      <c r="Q1444">
        <f>0.000611932*3600</f>
        <v>2.2029552000000003</v>
      </c>
      <c r="R1444">
        <f>0.0036597251*3600</f>
        <v>13.17501036</v>
      </c>
    </row>
    <row r="1445" spans="1:18" x14ac:dyDescent="0.3">
      <c r="A1445" t="s">
        <v>47</v>
      </c>
      <c r="B1445" s="9" t="s">
        <v>359</v>
      </c>
      <c r="C1445">
        <v>298.56421799999998</v>
      </c>
      <c r="D1445">
        <v>99.800331</v>
      </c>
      <c r="E1445">
        <v>13.128</v>
      </c>
      <c r="F1445">
        <v>13.125500000000001</v>
      </c>
      <c r="G1445">
        <v>0.23899999999999999</v>
      </c>
      <c r="H1445">
        <v>0</v>
      </c>
      <c r="I1445">
        <v>1</v>
      </c>
      <c r="J1445" t="s">
        <v>0</v>
      </c>
      <c r="K1445" t="s">
        <v>61</v>
      </c>
      <c r="L1445">
        <v>0</v>
      </c>
      <c r="M1445" t="s">
        <v>52</v>
      </c>
      <c r="N1445">
        <v>1</v>
      </c>
      <c r="O1445" t="s">
        <v>63</v>
      </c>
      <c r="P1445" s="2">
        <v>0.54166666666666663</v>
      </c>
      <c r="Q1445">
        <f>0.0005821075*3600</f>
        <v>2.0955869999999996</v>
      </c>
      <c r="R1445">
        <f>0.0035422181*3600</f>
        <v>12.751985159999998</v>
      </c>
    </row>
    <row r="1446" spans="1:18" x14ac:dyDescent="0.3">
      <c r="A1446" t="s">
        <v>47</v>
      </c>
      <c r="B1446" s="9" t="s">
        <v>359</v>
      </c>
      <c r="C1446">
        <v>298.56413500000002</v>
      </c>
      <c r="D1446">
        <v>99.800460999999999</v>
      </c>
      <c r="E1446">
        <v>13.128</v>
      </c>
      <c r="F1446">
        <v>13.125500000000001</v>
      </c>
      <c r="G1446">
        <v>0.23899999999999999</v>
      </c>
      <c r="H1446">
        <v>0</v>
      </c>
      <c r="I1446">
        <v>1</v>
      </c>
      <c r="J1446" t="s">
        <v>0</v>
      </c>
      <c r="K1446" t="s">
        <v>61</v>
      </c>
      <c r="L1446">
        <v>0</v>
      </c>
      <c r="M1446" t="s">
        <v>52</v>
      </c>
      <c r="N1446">
        <v>1</v>
      </c>
      <c r="O1446" t="s">
        <v>63</v>
      </c>
      <c r="P1446" s="2">
        <v>0.54166666666666663</v>
      </c>
      <c r="Q1446">
        <f>0.0009346384*3600</f>
        <v>3.3646982400000001</v>
      </c>
      <c r="R1446">
        <f>0.0036766977*3600</f>
        <v>13.23611172</v>
      </c>
    </row>
    <row r="1447" spans="1:18" x14ac:dyDescent="0.3">
      <c r="A1447" t="s">
        <v>47</v>
      </c>
      <c r="B1447" s="9" t="s">
        <v>359</v>
      </c>
      <c r="C1447">
        <v>298.56488200000001</v>
      </c>
      <c r="D1447">
        <v>99.800483999999997</v>
      </c>
      <c r="E1447">
        <v>13.128</v>
      </c>
      <c r="F1447">
        <v>13.125500000000001</v>
      </c>
      <c r="G1447">
        <v>0.23899999999999999</v>
      </c>
      <c r="H1447">
        <v>0</v>
      </c>
      <c r="I1447">
        <v>1</v>
      </c>
      <c r="J1447" t="s">
        <v>0</v>
      </c>
      <c r="K1447" t="s">
        <v>61</v>
      </c>
      <c r="L1447">
        <v>0</v>
      </c>
      <c r="M1447" t="s">
        <v>52</v>
      </c>
      <c r="N1447">
        <v>1</v>
      </c>
      <c r="O1447" t="s">
        <v>63</v>
      </c>
      <c r="P1447" s="2">
        <v>0.54166666666666663</v>
      </c>
      <c r="Q1447">
        <f>0.0008130474*3600</f>
        <v>2.92697064</v>
      </c>
      <c r="R1447">
        <f>0.0037120638*3600</f>
        <v>13.363429680000001</v>
      </c>
    </row>
    <row r="1448" spans="1:18" x14ac:dyDescent="0.3">
      <c r="A1448" t="s">
        <v>47</v>
      </c>
      <c r="B1448" s="9" t="s">
        <v>359</v>
      </c>
      <c r="C1448">
        <v>298.565226</v>
      </c>
      <c r="D1448">
        <v>99.800449999999998</v>
      </c>
      <c r="E1448">
        <v>13.128</v>
      </c>
      <c r="F1448">
        <v>13.125500000000001</v>
      </c>
      <c r="G1448">
        <v>0.23899999999999999</v>
      </c>
      <c r="H1448">
        <v>0</v>
      </c>
      <c r="I1448">
        <v>1</v>
      </c>
      <c r="J1448" t="s">
        <v>0</v>
      </c>
      <c r="K1448" t="s">
        <v>61</v>
      </c>
      <c r="L1448">
        <v>0</v>
      </c>
      <c r="M1448" t="s">
        <v>52</v>
      </c>
      <c r="N1448">
        <v>1</v>
      </c>
      <c r="O1448" t="s">
        <v>63</v>
      </c>
      <c r="P1448" s="2">
        <v>0.54166666666666663</v>
      </c>
      <c r="Q1448">
        <f>0.0007680877*3600</f>
        <v>2.7651157199999998</v>
      </c>
      <c r="R1448">
        <f>0.0036600575*3600</f>
        <v>13.176207</v>
      </c>
    </row>
    <row r="1449" spans="1:18" x14ac:dyDescent="0.3">
      <c r="A1449" t="s">
        <v>47</v>
      </c>
      <c r="B1449" s="9" t="s">
        <v>359</v>
      </c>
      <c r="C1449">
        <v>298.56501400000002</v>
      </c>
      <c r="D1449">
        <v>99.800566000000003</v>
      </c>
      <c r="E1449">
        <v>13.128</v>
      </c>
      <c r="F1449">
        <v>13.125500000000001</v>
      </c>
      <c r="G1449">
        <v>0.23899999999999999</v>
      </c>
      <c r="H1449">
        <v>0</v>
      </c>
      <c r="I1449">
        <v>1</v>
      </c>
      <c r="J1449" t="s">
        <v>0</v>
      </c>
      <c r="K1449" t="s">
        <v>61</v>
      </c>
      <c r="L1449">
        <v>0</v>
      </c>
      <c r="M1449" t="s">
        <v>52</v>
      </c>
      <c r="N1449">
        <v>1</v>
      </c>
      <c r="O1449" t="s">
        <v>63</v>
      </c>
      <c r="P1449" s="2">
        <v>0.54166666666666663</v>
      </c>
      <c r="Q1449">
        <f>0.0009867919*3600</f>
        <v>3.5524508400000001</v>
      </c>
      <c r="R1449">
        <f>0.0038106529*3600</f>
        <v>13.71835044</v>
      </c>
    </row>
    <row r="1450" spans="1:18" x14ac:dyDescent="0.3">
      <c r="A1450" t="s">
        <v>47</v>
      </c>
      <c r="B1450" s="9" t="s">
        <v>359</v>
      </c>
      <c r="C1450">
        <v>298.564188</v>
      </c>
      <c r="D1450">
        <v>99.800473999999994</v>
      </c>
      <c r="E1450">
        <v>13.128</v>
      </c>
      <c r="F1450">
        <v>13.125500000000001</v>
      </c>
      <c r="G1450">
        <v>0.23899999999999999</v>
      </c>
      <c r="H1450">
        <v>0</v>
      </c>
      <c r="I1450">
        <v>1</v>
      </c>
      <c r="J1450" t="s">
        <v>0</v>
      </c>
      <c r="K1450" t="s">
        <v>61</v>
      </c>
      <c r="L1450">
        <v>0</v>
      </c>
      <c r="M1450" t="s">
        <v>52</v>
      </c>
      <c r="N1450">
        <v>1</v>
      </c>
      <c r="O1450" t="s">
        <v>63</v>
      </c>
      <c r="P1450" s="2">
        <v>0.54166666666666663</v>
      </c>
      <c r="Q1450">
        <f>0.0008378815*3600</f>
        <v>3.0163734</v>
      </c>
      <c r="R1450">
        <f>0.0036960726*3600</f>
        <v>13.30586136</v>
      </c>
    </row>
    <row r="1451" spans="1:18" x14ac:dyDescent="0.3">
      <c r="A1451" t="s">
        <v>47</v>
      </c>
      <c r="B1451" s="9" t="s">
        <v>359</v>
      </c>
      <c r="C1451">
        <v>298.56459799999999</v>
      </c>
      <c r="D1451">
        <v>99.800524999999993</v>
      </c>
      <c r="E1451">
        <v>13.128</v>
      </c>
      <c r="F1451">
        <v>13.125500000000001</v>
      </c>
      <c r="G1451">
        <v>0.23899999999999999</v>
      </c>
      <c r="H1451">
        <v>0</v>
      </c>
      <c r="I1451">
        <v>1</v>
      </c>
      <c r="J1451" t="s">
        <v>0</v>
      </c>
      <c r="K1451" t="s">
        <v>61</v>
      </c>
      <c r="L1451">
        <v>0</v>
      </c>
      <c r="M1451" t="s">
        <v>52</v>
      </c>
      <c r="N1451">
        <v>1</v>
      </c>
      <c r="O1451" t="s">
        <v>63</v>
      </c>
      <c r="P1451" s="2">
        <v>0.54166666666666663</v>
      </c>
      <c r="Q1451">
        <f>0.0008087157*3600</f>
        <v>2.9113765200000001</v>
      </c>
      <c r="R1451">
        <f>0.0037436124*3600</f>
        <v>13.477004640000001</v>
      </c>
    </row>
    <row r="1452" spans="1:18" x14ac:dyDescent="0.3">
      <c r="A1452" t="s">
        <v>47</v>
      </c>
      <c r="B1452" s="9" t="s">
        <v>359</v>
      </c>
      <c r="C1452">
        <v>298.56410099999999</v>
      </c>
      <c r="D1452">
        <v>99.800539999999998</v>
      </c>
      <c r="E1452">
        <v>13.128</v>
      </c>
      <c r="F1452">
        <v>13.125500000000001</v>
      </c>
      <c r="G1452">
        <v>0.23899999999999999</v>
      </c>
      <c r="H1452">
        <v>0</v>
      </c>
      <c r="I1452">
        <v>1</v>
      </c>
      <c r="J1452" t="s">
        <v>0</v>
      </c>
      <c r="K1452" t="s">
        <v>61</v>
      </c>
      <c r="L1452">
        <v>0</v>
      </c>
      <c r="M1452" t="s">
        <v>52</v>
      </c>
      <c r="N1452">
        <v>1</v>
      </c>
      <c r="O1452" t="s">
        <v>63</v>
      </c>
      <c r="P1452" s="2">
        <v>0.54166666666666663</v>
      </c>
      <c r="Q1452">
        <f>0.0008383264*3600</f>
        <v>3.0179750400000001</v>
      </c>
      <c r="R1452">
        <f>0.0037589466*3600</f>
        <v>13.53220776</v>
      </c>
    </row>
    <row r="1453" spans="1:18" x14ac:dyDescent="0.3">
      <c r="A1453" t="s">
        <v>47</v>
      </c>
      <c r="B1453" s="9" t="s">
        <v>359</v>
      </c>
      <c r="C1453">
        <v>298.564233</v>
      </c>
      <c r="D1453">
        <v>99.800533000000001</v>
      </c>
      <c r="E1453">
        <v>13.128</v>
      </c>
      <c r="F1453">
        <v>13.125500000000001</v>
      </c>
      <c r="G1453">
        <v>0.23899999999999999</v>
      </c>
      <c r="H1453">
        <v>0</v>
      </c>
      <c r="I1453">
        <v>1</v>
      </c>
      <c r="J1453" t="s">
        <v>0</v>
      </c>
      <c r="K1453" t="s">
        <v>61</v>
      </c>
      <c r="L1453">
        <v>0</v>
      </c>
      <c r="M1453" t="s">
        <v>52</v>
      </c>
      <c r="N1453">
        <v>1</v>
      </c>
      <c r="O1453" t="s">
        <v>63</v>
      </c>
      <c r="P1453" s="2">
        <v>0.54166666666666663</v>
      </c>
      <c r="Q1453">
        <f>0.0008711249*3600</f>
        <v>3.13604964</v>
      </c>
      <c r="R1453">
        <f>0.0037362679*3600</f>
        <v>13.450564440000001</v>
      </c>
    </row>
    <row r="1454" spans="1:18" x14ac:dyDescent="0.3">
      <c r="A1454" t="s">
        <v>47</v>
      </c>
      <c r="B1454" s="9" t="s">
        <v>359</v>
      </c>
      <c r="C1454">
        <v>298.56380100000001</v>
      </c>
      <c r="D1454">
        <v>99.800500999999997</v>
      </c>
      <c r="E1454">
        <v>13.128</v>
      </c>
      <c r="F1454">
        <v>13.125500000000001</v>
      </c>
      <c r="G1454">
        <v>0.23899999999999999</v>
      </c>
      <c r="H1454">
        <v>0</v>
      </c>
      <c r="I1454">
        <v>1</v>
      </c>
      <c r="J1454" t="s">
        <v>0</v>
      </c>
      <c r="K1454" t="s">
        <v>61</v>
      </c>
      <c r="L1454">
        <v>0</v>
      </c>
      <c r="M1454" t="s">
        <v>52</v>
      </c>
      <c r="N1454">
        <v>1</v>
      </c>
      <c r="O1454" t="s">
        <v>63</v>
      </c>
      <c r="P1454" s="2">
        <v>0.54166666666666663</v>
      </c>
      <c r="Q1454">
        <f>0.0008057201*3600</f>
        <v>2.9005923600000001</v>
      </c>
      <c r="R1454">
        <f>0.0037136468*3600</f>
        <v>13.369128480000001</v>
      </c>
    </row>
    <row r="1455" spans="1:18" x14ac:dyDescent="0.3">
      <c r="A1455" t="s">
        <v>47</v>
      </c>
      <c r="B1455" s="9" t="s">
        <v>359</v>
      </c>
      <c r="C1455">
        <v>298.56382000000002</v>
      </c>
      <c r="D1455">
        <v>99.800492000000006</v>
      </c>
      <c r="E1455">
        <v>13.128</v>
      </c>
      <c r="F1455">
        <v>13.125500000000001</v>
      </c>
      <c r="G1455">
        <v>0.23899999999999999</v>
      </c>
      <c r="H1455">
        <v>0</v>
      </c>
      <c r="I1455">
        <v>1</v>
      </c>
      <c r="J1455" t="s">
        <v>0</v>
      </c>
      <c r="K1455" t="s">
        <v>61</v>
      </c>
      <c r="L1455">
        <v>0</v>
      </c>
      <c r="M1455" t="s">
        <v>52</v>
      </c>
      <c r="N1455">
        <v>1</v>
      </c>
      <c r="O1455" t="s">
        <v>63</v>
      </c>
      <c r="P1455" s="2">
        <v>0.54166666666666663</v>
      </c>
      <c r="Q1455">
        <f>0.0007209342*3600</f>
        <v>2.59536312</v>
      </c>
      <c r="R1455">
        <f>0.0037084188*3600</f>
        <v>13.35030768</v>
      </c>
    </row>
    <row r="1456" spans="1:18" x14ac:dyDescent="0.3">
      <c r="A1456" t="s">
        <v>47</v>
      </c>
      <c r="B1456" s="9" t="s">
        <v>359</v>
      </c>
      <c r="C1456">
        <v>298.56487900000002</v>
      </c>
      <c r="D1456">
        <v>99.696308000000002</v>
      </c>
      <c r="E1456">
        <v>13.128</v>
      </c>
      <c r="F1456">
        <v>13.125500000000001</v>
      </c>
      <c r="G1456">
        <v>0.23899999999999999</v>
      </c>
      <c r="H1456">
        <v>0</v>
      </c>
      <c r="I1456">
        <v>1</v>
      </c>
      <c r="J1456" t="s">
        <v>0</v>
      </c>
      <c r="K1456" t="s">
        <v>61</v>
      </c>
      <c r="L1456">
        <v>0</v>
      </c>
      <c r="M1456" t="s">
        <v>52</v>
      </c>
      <c r="N1456">
        <v>1</v>
      </c>
      <c r="O1456" t="s">
        <v>63</v>
      </c>
      <c r="P1456" s="2">
        <v>0.54236111111111118</v>
      </c>
      <c r="Q1456">
        <f>0.0009400046*3600</f>
        <v>3.3840165600000001</v>
      </c>
      <c r="R1456">
        <f>0.0037639445*3600</f>
        <v>13.550200200000001</v>
      </c>
    </row>
    <row r="1457" spans="1:18" x14ac:dyDescent="0.3">
      <c r="A1457" t="s">
        <v>47</v>
      </c>
      <c r="B1457" s="9" t="s">
        <v>359</v>
      </c>
      <c r="C1457">
        <v>298.56512500000002</v>
      </c>
      <c r="D1457">
        <v>99.696314000000001</v>
      </c>
      <c r="E1457">
        <v>13.128</v>
      </c>
      <c r="F1457">
        <v>13.125500000000001</v>
      </c>
      <c r="G1457">
        <v>0.23899999999999999</v>
      </c>
      <c r="H1457">
        <v>0</v>
      </c>
      <c r="I1457">
        <v>1</v>
      </c>
      <c r="J1457" t="s">
        <v>0</v>
      </c>
      <c r="K1457" t="s">
        <v>61</v>
      </c>
      <c r="L1457">
        <v>0</v>
      </c>
      <c r="M1457" t="s">
        <v>52</v>
      </c>
      <c r="N1457">
        <v>1</v>
      </c>
      <c r="O1457" t="s">
        <v>63</v>
      </c>
      <c r="P1457" s="2">
        <v>0.54236111111111118</v>
      </c>
      <c r="Q1457">
        <f>0.0009435129*3600</f>
        <v>3.39664644</v>
      </c>
      <c r="R1457">
        <f>0.003769928*3600</f>
        <v>13.571740800000001</v>
      </c>
    </row>
    <row r="1458" spans="1:18" x14ac:dyDescent="0.3">
      <c r="A1458" t="s">
        <v>47</v>
      </c>
      <c r="B1458" s="9" t="s">
        <v>359</v>
      </c>
      <c r="C1458">
        <v>298.56435499999998</v>
      </c>
      <c r="D1458">
        <v>99.696158999999994</v>
      </c>
      <c r="E1458">
        <v>13.128</v>
      </c>
      <c r="F1458">
        <v>13.125500000000001</v>
      </c>
      <c r="G1458">
        <v>0.23899999999999999</v>
      </c>
      <c r="H1458">
        <v>0</v>
      </c>
      <c r="I1458">
        <v>1</v>
      </c>
      <c r="J1458" t="s">
        <v>0</v>
      </c>
      <c r="K1458" t="s">
        <v>61</v>
      </c>
      <c r="L1458">
        <v>0</v>
      </c>
      <c r="M1458" t="s">
        <v>52</v>
      </c>
      <c r="N1458">
        <v>1</v>
      </c>
      <c r="O1458" t="s">
        <v>63</v>
      </c>
      <c r="P1458" s="2">
        <v>0.54236111111111118</v>
      </c>
      <c r="Q1458">
        <f>0.000894214*3600</f>
        <v>3.2191703999999999</v>
      </c>
      <c r="R1458">
        <f>0.0036548599*3600</f>
        <v>13.15749564</v>
      </c>
    </row>
    <row r="1459" spans="1:18" x14ac:dyDescent="0.3">
      <c r="A1459" t="s">
        <v>47</v>
      </c>
      <c r="B1459" s="9" t="s">
        <v>359</v>
      </c>
      <c r="C1459">
        <v>298.56349399999999</v>
      </c>
      <c r="D1459">
        <v>99.696162000000001</v>
      </c>
      <c r="E1459">
        <v>13.128</v>
      </c>
      <c r="F1459">
        <v>13.125500000000001</v>
      </c>
      <c r="G1459">
        <v>0.23899999999999999</v>
      </c>
      <c r="H1459">
        <v>0</v>
      </c>
      <c r="I1459">
        <v>1</v>
      </c>
      <c r="J1459" t="s">
        <v>0</v>
      </c>
      <c r="K1459" t="s">
        <v>61</v>
      </c>
      <c r="L1459">
        <v>0</v>
      </c>
      <c r="M1459" t="s">
        <v>52</v>
      </c>
      <c r="N1459">
        <v>1</v>
      </c>
      <c r="O1459" t="s">
        <v>63</v>
      </c>
      <c r="P1459" s="2">
        <v>0.54236111111111118</v>
      </c>
      <c r="Q1459">
        <f>0.0008715657*3600</f>
        <v>3.1376365199999996</v>
      </c>
      <c r="R1459">
        <f>0.0036478519*3600</f>
        <v>13.13226684</v>
      </c>
    </row>
    <row r="1460" spans="1:18" x14ac:dyDescent="0.3">
      <c r="A1460" t="s">
        <v>47</v>
      </c>
      <c r="B1460" s="9" t="s">
        <v>359</v>
      </c>
      <c r="C1460">
        <v>298.56338899999997</v>
      </c>
      <c r="D1460">
        <v>99.696150000000003</v>
      </c>
      <c r="E1460">
        <v>13.128</v>
      </c>
      <c r="F1460">
        <v>13.125500000000001</v>
      </c>
      <c r="G1460">
        <v>0.23899999999999999</v>
      </c>
      <c r="H1460">
        <v>0</v>
      </c>
      <c r="I1460">
        <v>1</v>
      </c>
      <c r="J1460" t="s">
        <v>0</v>
      </c>
      <c r="K1460" t="s">
        <v>61</v>
      </c>
      <c r="L1460">
        <v>0</v>
      </c>
      <c r="M1460" t="s">
        <v>52</v>
      </c>
      <c r="N1460">
        <v>1</v>
      </c>
      <c r="O1460" t="s">
        <v>63</v>
      </c>
      <c r="P1460" s="2">
        <v>0.54236111111111118</v>
      </c>
      <c r="Q1460">
        <f>0.0007433915*3600</f>
        <v>2.6762093999999998</v>
      </c>
      <c r="R1460">
        <f>0.0036607275*3600</f>
        <v>13.178618999999999</v>
      </c>
    </row>
    <row r="1461" spans="1:18" x14ac:dyDescent="0.3">
      <c r="A1461" t="s">
        <v>47</v>
      </c>
      <c r="B1461" s="9" t="s">
        <v>359</v>
      </c>
      <c r="C1461">
        <v>298.56347</v>
      </c>
      <c r="D1461">
        <v>99.696270999999996</v>
      </c>
      <c r="E1461">
        <v>13.128</v>
      </c>
      <c r="F1461">
        <v>13.125500000000001</v>
      </c>
      <c r="G1461">
        <v>0.23899999999999999</v>
      </c>
      <c r="H1461">
        <v>0</v>
      </c>
      <c r="I1461">
        <v>1</v>
      </c>
      <c r="J1461" t="s">
        <v>0</v>
      </c>
      <c r="K1461" t="s">
        <v>61</v>
      </c>
      <c r="L1461">
        <v>0</v>
      </c>
      <c r="M1461" t="s">
        <v>52</v>
      </c>
      <c r="N1461">
        <v>1</v>
      </c>
      <c r="O1461" t="s">
        <v>63</v>
      </c>
      <c r="P1461" s="2">
        <v>0.54236111111111118</v>
      </c>
      <c r="Q1461">
        <f>0.0007148503*3600</f>
        <v>2.5734610800000004</v>
      </c>
      <c r="R1461">
        <f>0.0037472791*3600</f>
        <v>13.490204760000001</v>
      </c>
    </row>
    <row r="1462" spans="1:18" x14ac:dyDescent="0.3">
      <c r="A1462" t="s">
        <v>47</v>
      </c>
      <c r="B1462" s="9" t="s">
        <v>359</v>
      </c>
      <c r="C1462">
        <v>298.56320599999998</v>
      </c>
      <c r="D1462">
        <v>99.696278000000007</v>
      </c>
      <c r="E1462">
        <v>13.128</v>
      </c>
      <c r="F1462">
        <v>13.125500000000001</v>
      </c>
      <c r="G1462">
        <v>0.23899999999999999</v>
      </c>
      <c r="H1462">
        <v>0</v>
      </c>
      <c r="I1462">
        <v>1</v>
      </c>
      <c r="J1462" t="s">
        <v>0</v>
      </c>
      <c r="K1462" t="s">
        <v>61</v>
      </c>
      <c r="L1462">
        <v>0</v>
      </c>
      <c r="M1462" t="s">
        <v>52</v>
      </c>
      <c r="N1462">
        <v>1</v>
      </c>
      <c r="O1462" t="s">
        <v>63</v>
      </c>
      <c r="P1462" s="2">
        <v>0.54236111111111118</v>
      </c>
      <c r="Q1462">
        <f>0.0007393316*3600</f>
        <v>2.6615937599999997</v>
      </c>
      <c r="R1462">
        <f>0.0037930807*3600</f>
        <v>13.65509052</v>
      </c>
    </row>
    <row r="1463" spans="1:18" x14ac:dyDescent="0.3">
      <c r="A1463" t="s">
        <v>47</v>
      </c>
      <c r="B1463" s="9" t="s">
        <v>359</v>
      </c>
      <c r="C1463">
        <v>298.56339300000002</v>
      </c>
      <c r="D1463">
        <v>99.696178000000003</v>
      </c>
      <c r="E1463">
        <v>13.128</v>
      </c>
      <c r="F1463">
        <v>13.125500000000001</v>
      </c>
      <c r="G1463">
        <v>0.23899999999999999</v>
      </c>
      <c r="H1463">
        <v>0</v>
      </c>
      <c r="I1463">
        <v>1</v>
      </c>
      <c r="J1463" t="s">
        <v>0</v>
      </c>
      <c r="K1463" t="s">
        <v>61</v>
      </c>
      <c r="L1463">
        <v>0</v>
      </c>
      <c r="M1463" t="s">
        <v>52</v>
      </c>
      <c r="N1463">
        <v>1</v>
      </c>
      <c r="O1463" t="s">
        <v>63</v>
      </c>
      <c r="P1463" s="2">
        <v>0.54236111111111118</v>
      </c>
      <c r="Q1463">
        <f>0.000666113*3600</f>
        <v>2.3980068000000001</v>
      </c>
      <c r="R1463">
        <f>0.0036842065*3600</f>
        <v>13.263143400000001</v>
      </c>
    </row>
    <row r="1464" spans="1:18" x14ac:dyDescent="0.3">
      <c r="A1464" t="s">
        <v>47</v>
      </c>
      <c r="B1464" s="9" t="s">
        <v>359</v>
      </c>
      <c r="C1464">
        <v>298.56355600000001</v>
      </c>
      <c r="D1464">
        <v>99.696287999999996</v>
      </c>
      <c r="E1464">
        <v>13.128</v>
      </c>
      <c r="F1464">
        <v>13.125500000000001</v>
      </c>
      <c r="G1464">
        <v>0.23899999999999999</v>
      </c>
      <c r="H1464">
        <v>0</v>
      </c>
      <c r="I1464">
        <v>1</v>
      </c>
      <c r="J1464" t="s">
        <v>0</v>
      </c>
      <c r="K1464" t="s">
        <v>61</v>
      </c>
      <c r="L1464">
        <v>0</v>
      </c>
      <c r="M1464" t="s">
        <v>52</v>
      </c>
      <c r="N1464">
        <v>1</v>
      </c>
      <c r="O1464" t="s">
        <v>63</v>
      </c>
      <c r="P1464" s="2">
        <v>0.54236111111111118</v>
      </c>
      <c r="Q1464">
        <f>0.0008382655*3600</f>
        <v>3.0177557999999998</v>
      </c>
      <c r="R1464">
        <f>0.0037917417*3600</f>
        <v>13.65027012</v>
      </c>
    </row>
    <row r="1465" spans="1:18" x14ac:dyDescent="0.3">
      <c r="A1465" t="s">
        <v>47</v>
      </c>
      <c r="B1465" s="9" t="s">
        <v>359</v>
      </c>
      <c r="C1465">
        <v>298.56348000000003</v>
      </c>
      <c r="D1465">
        <v>99.696282999999994</v>
      </c>
      <c r="E1465">
        <v>13.128</v>
      </c>
      <c r="F1465">
        <v>13.125500000000001</v>
      </c>
      <c r="G1465">
        <v>0.23899999999999999</v>
      </c>
      <c r="H1465">
        <v>0</v>
      </c>
      <c r="I1465">
        <v>1</v>
      </c>
      <c r="J1465" t="s">
        <v>0</v>
      </c>
      <c r="K1465" t="s">
        <v>61</v>
      </c>
      <c r="L1465">
        <v>0</v>
      </c>
      <c r="M1465" t="s">
        <v>52</v>
      </c>
      <c r="N1465">
        <v>1</v>
      </c>
      <c r="O1465" t="s">
        <v>63</v>
      </c>
      <c r="P1465" s="2">
        <v>0.54236111111111118</v>
      </c>
      <c r="Q1465">
        <f>0.0007395955*3600</f>
        <v>2.6625437999999999</v>
      </c>
      <c r="R1465">
        <f>0.0038015996*3600</f>
        <v>13.68575856</v>
      </c>
    </row>
    <row r="1466" spans="1:18" x14ac:dyDescent="0.3">
      <c r="A1466" t="s">
        <v>47</v>
      </c>
      <c r="B1466" s="9" t="s">
        <v>359</v>
      </c>
      <c r="C1466">
        <v>298.56363499999998</v>
      </c>
      <c r="D1466">
        <v>99.696256000000005</v>
      </c>
      <c r="E1466">
        <v>13.128</v>
      </c>
      <c r="F1466">
        <v>13.125500000000001</v>
      </c>
      <c r="G1466">
        <v>0.23899999999999999</v>
      </c>
      <c r="H1466">
        <v>0</v>
      </c>
      <c r="I1466">
        <v>1</v>
      </c>
      <c r="J1466" t="s">
        <v>0</v>
      </c>
      <c r="K1466" t="s">
        <v>61</v>
      </c>
      <c r="L1466">
        <v>0</v>
      </c>
      <c r="M1466" t="s">
        <v>52</v>
      </c>
      <c r="N1466">
        <v>1</v>
      </c>
      <c r="O1466" t="s">
        <v>63</v>
      </c>
      <c r="P1466" s="2">
        <v>0.54236111111111118</v>
      </c>
      <c r="Q1466">
        <f>0.0005743304*3600</f>
        <v>2.0675894399999999</v>
      </c>
      <c r="R1466">
        <f>0.0037751561*3600</f>
        <v>13.59056196</v>
      </c>
    </row>
    <row r="1467" spans="1:18" x14ac:dyDescent="0.3">
      <c r="A1467" t="s">
        <v>47</v>
      </c>
      <c r="B1467" s="9" t="s">
        <v>359</v>
      </c>
      <c r="C1467">
        <v>298.563557</v>
      </c>
      <c r="D1467">
        <v>99.696158999999994</v>
      </c>
      <c r="E1467">
        <v>13.128</v>
      </c>
      <c r="F1467">
        <v>13.125500000000001</v>
      </c>
      <c r="G1467">
        <v>0.23899999999999999</v>
      </c>
      <c r="H1467">
        <v>0</v>
      </c>
      <c r="I1467">
        <v>1</v>
      </c>
      <c r="J1467" t="s">
        <v>0</v>
      </c>
      <c r="K1467" t="s">
        <v>61</v>
      </c>
      <c r="L1467">
        <v>0</v>
      </c>
      <c r="M1467" t="s">
        <v>52</v>
      </c>
      <c r="N1467">
        <v>1</v>
      </c>
      <c r="O1467" t="s">
        <v>63</v>
      </c>
      <c r="P1467" s="2">
        <v>0.54236111111111118</v>
      </c>
      <c r="Q1467">
        <f>0.0005886486*3600</f>
        <v>2.1191349599999998</v>
      </c>
      <c r="R1467">
        <f>0.0036604655*3600</f>
        <v>13.177675799999999</v>
      </c>
    </row>
    <row r="1468" spans="1:18" x14ac:dyDescent="0.3">
      <c r="A1468" t="s">
        <v>47</v>
      </c>
      <c r="B1468" s="9" t="s">
        <v>359</v>
      </c>
      <c r="C1468">
        <v>298.56386900000001</v>
      </c>
      <c r="D1468">
        <v>99.696319000000003</v>
      </c>
      <c r="E1468">
        <v>13.128</v>
      </c>
      <c r="F1468">
        <v>13.125500000000001</v>
      </c>
      <c r="G1468">
        <v>0.23899999999999999</v>
      </c>
      <c r="H1468">
        <v>0</v>
      </c>
      <c r="I1468">
        <v>1</v>
      </c>
      <c r="J1468" t="s">
        <v>0</v>
      </c>
      <c r="K1468" t="s">
        <v>61</v>
      </c>
      <c r="L1468">
        <v>0</v>
      </c>
      <c r="M1468" t="s">
        <v>52</v>
      </c>
      <c r="N1468">
        <v>1</v>
      </c>
      <c r="O1468" t="s">
        <v>63</v>
      </c>
      <c r="P1468" s="2">
        <v>0.54236111111111118</v>
      </c>
      <c r="Q1468">
        <f>0.0006093523*3600</f>
        <v>2.1936682799999998</v>
      </c>
      <c r="R1468">
        <f>0.0038210982*3600</f>
        <v>13.75595352</v>
      </c>
    </row>
    <row r="1469" spans="1:18" x14ac:dyDescent="0.3">
      <c r="A1469" t="s">
        <v>47</v>
      </c>
      <c r="B1469" s="9" t="s">
        <v>359</v>
      </c>
      <c r="C1469">
        <v>298.56379399999997</v>
      </c>
      <c r="D1469">
        <v>99.696268000000003</v>
      </c>
      <c r="E1469">
        <v>13.128</v>
      </c>
      <c r="F1469">
        <v>13.125500000000001</v>
      </c>
      <c r="G1469">
        <v>0.23899999999999999</v>
      </c>
      <c r="H1469">
        <v>0</v>
      </c>
      <c r="I1469">
        <v>1</v>
      </c>
      <c r="J1469" t="s">
        <v>0</v>
      </c>
      <c r="K1469" t="s">
        <v>61</v>
      </c>
      <c r="L1469">
        <v>0</v>
      </c>
      <c r="M1469" t="s">
        <v>52</v>
      </c>
      <c r="N1469">
        <v>1</v>
      </c>
      <c r="O1469" t="s">
        <v>63</v>
      </c>
      <c r="P1469" s="2">
        <v>0.54236111111111118</v>
      </c>
      <c r="Q1469">
        <f>0.0006151913*3600</f>
        <v>2.2146886799999996</v>
      </c>
      <c r="R1469">
        <f>0.003777546*3600</f>
        <v>13.599165600000001</v>
      </c>
    </row>
    <row r="1470" spans="1:18" x14ac:dyDescent="0.3">
      <c r="A1470" t="s">
        <v>47</v>
      </c>
      <c r="B1470" s="9" t="s">
        <v>359</v>
      </c>
      <c r="C1470">
        <v>298.56314200000003</v>
      </c>
      <c r="D1470">
        <v>99.696340000000006</v>
      </c>
      <c r="E1470">
        <v>13.128</v>
      </c>
      <c r="F1470">
        <v>13.125500000000001</v>
      </c>
      <c r="G1470">
        <v>0.23899999999999999</v>
      </c>
      <c r="H1470">
        <v>0</v>
      </c>
      <c r="I1470">
        <v>1</v>
      </c>
      <c r="J1470" t="s">
        <v>0</v>
      </c>
      <c r="K1470" t="s">
        <v>61</v>
      </c>
      <c r="L1470">
        <v>0</v>
      </c>
      <c r="M1470" t="s">
        <v>52</v>
      </c>
      <c r="N1470">
        <v>1</v>
      </c>
      <c r="O1470" t="s">
        <v>63</v>
      </c>
      <c r="P1470" s="2">
        <v>0.54236111111111118</v>
      </c>
      <c r="Q1470">
        <f>0.0007672574*3600</f>
        <v>2.76212664</v>
      </c>
      <c r="R1470">
        <f>0.0038828164*3600</f>
        <v>13.97813904</v>
      </c>
    </row>
    <row r="1471" spans="1:18" x14ac:dyDescent="0.3">
      <c r="A1471" t="s">
        <v>47</v>
      </c>
      <c r="B1471" s="9" t="s">
        <v>359</v>
      </c>
      <c r="C1471">
        <v>298.56320699999998</v>
      </c>
      <c r="D1471">
        <v>99.69623</v>
      </c>
      <c r="E1471">
        <v>13.128</v>
      </c>
      <c r="F1471">
        <v>13.125500000000001</v>
      </c>
      <c r="G1471">
        <v>0.23899999999999999</v>
      </c>
      <c r="H1471">
        <v>0</v>
      </c>
      <c r="I1471">
        <v>1</v>
      </c>
      <c r="J1471" t="s">
        <v>0</v>
      </c>
      <c r="K1471" t="s">
        <v>61</v>
      </c>
      <c r="L1471">
        <v>0</v>
      </c>
      <c r="M1471" t="s">
        <v>52</v>
      </c>
      <c r="N1471">
        <v>1</v>
      </c>
      <c r="O1471" t="s">
        <v>63</v>
      </c>
      <c r="P1471" s="2">
        <v>0.54236111111111118</v>
      </c>
      <c r="Q1471">
        <f>0.0007232685*3600</f>
        <v>2.6037665999999997</v>
      </c>
      <c r="R1471">
        <f>0.0037580369*3600</f>
        <v>13.52893284</v>
      </c>
    </row>
    <row r="1472" spans="1:18" x14ac:dyDescent="0.3">
      <c r="A1472" t="s">
        <v>47</v>
      </c>
      <c r="B1472" s="9" t="s">
        <v>359</v>
      </c>
      <c r="C1472">
        <v>298.56422500000002</v>
      </c>
      <c r="D1472">
        <v>99.696234000000004</v>
      </c>
      <c r="E1472">
        <v>13.128</v>
      </c>
      <c r="F1472">
        <v>13.125500000000001</v>
      </c>
      <c r="G1472">
        <v>0.23899999999999999</v>
      </c>
      <c r="H1472">
        <v>0</v>
      </c>
      <c r="I1472">
        <v>1</v>
      </c>
      <c r="J1472" t="s">
        <v>0</v>
      </c>
      <c r="K1472" t="s">
        <v>61</v>
      </c>
      <c r="L1472">
        <v>0</v>
      </c>
      <c r="M1472" t="s">
        <v>52</v>
      </c>
      <c r="N1472">
        <v>1</v>
      </c>
      <c r="O1472" t="s">
        <v>63</v>
      </c>
      <c r="P1472" s="2">
        <v>0.54236111111111118</v>
      </c>
      <c r="Q1472">
        <f>0.0008244088*3600</f>
        <v>2.96787168</v>
      </c>
      <c r="R1472">
        <f>0.0037552375*3600</f>
        <v>13.518855</v>
      </c>
    </row>
    <row r="1473" spans="1:18" x14ac:dyDescent="0.3">
      <c r="A1473" t="s">
        <v>47</v>
      </c>
      <c r="B1473" s="9" t="s">
        <v>359</v>
      </c>
      <c r="C1473">
        <v>298.563785</v>
      </c>
      <c r="D1473">
        <v>99.696280999999999</v>
      </c>
      <c r="E1473">
        <v>13.128</v>
      </c>
      <c r="F1473">
        <v>13.125500000000001</v>
      </c>
      <c r="G1473">
        <v>0.23899999999999999</v>
      </c>
      <c r="H1473">
        <v>0</v>
      </c>
      <c r="I1473">
        <v>1</v>
      </c>
      <c r="J1473" t="s">
        <v>0</v>
      </c>
      <c r="K1473" t="s">
        <v>61</v>
      </c>
      <c r="L1473">
        <v>0</v>
      </c>
      <c r="M1473" t="s">
        <v>52</v>
      </c>
      <c r="N1473">
        <v>1</v>
      </c>
      <c r="O1473" t="s">
        <v>63</v>
      </c>
      <c r="P1473" s="2">
        <v>0.54236111111111118</v>
      </c>
      <c r="Q1473">
        <f>0.0007897663*3600</f>
        <v>2.8431586800000002</v>
      </c>
      <c r="R1473">
        <f>0.003807385*3600</f>
        <v>13.706586</v>
      </c>
    </row>
    <row r="1474" spans="1:18" x14ac:dyDescent="0.3">
      <c r="A1474" t="s">
        <v>47</v>
      </c>
      <c r="B1474" s="9" t="s">
        <v>359</v>
      </c>
      <c r="C1474">
        <v>298.563335</v>
      </c>
      <c r="D1474">
        <v>99.696421000000001</v>
      </c>
      <c r="E1474">
        <v>13.128</v>
      </c>
      <c r="F1474">
        <v>13.125500000000001</v>
      </c>
      <c r="G1474">
        <v>0.23899999999999999</v>
      </c>
      <c r="H1474">
        <v>0</v>
      </c>
      <c r="I1474">
        <v>1</v>
      </c>
      <c r="J1474" t="s">
        <v>0</v>
      </c>
      <c r="K1474" t="s">
        <v>61</v>
      </c>
      <c r="L1474">
        <v>0</v>
      </c>
      <c r="M1474" t="s">
        <v>52</v>
      </c>
      <c r="N1474">
        <v>1</v>
      </c>
      <c r="O1474" t="s">
        <v>63</v>
      </c>
      <c r="P1474" s="2">
        <v>0.54236111111111118</v>
      </c>
      <c r="Q1474">
        <f>0.0007551923*3600</f>
        <v>2.71869228</v>
      </c>
      <c r="R1474">
        <f>0.0039548955*3600</f>
        <v>14.237623799999998</v>
      </c>
    </row>
    <row r="1475" spans="1:18" x14ac:dyDescent="0.3">
      <c r="A1475" t="s">
        <v>47</v>
      </c>
      <c r="B1475" s="9" t="s">
        <v>359</v>
      </c>
      <c r="C1475">
        <v>298.56308999999999</v>
      </c>
      <c r="D1475">
        <v>99.696231999999995</v>
      </c>
      <c r="E1475">
        <v>13.128</v>
      </c>
      <c r="F1475">
        <v>13.125500000000001</v>
      </c>
      <c r="G1475">
        <v>0.23899999999999999</v>
      </c>
      <c r="H1475">
        <v>0</v>
      </c>
      <c r="I1475">
        <v>1</v>
      </c>
      <c r="J1475" t="s">
        <v>0</v>
      </c>
      <c r="K1475" t="s">
        <v>61</v>
      </c>
      <c r="L1475">
        <v>0</v>
      </c>
      <c r="M1475" t="s">
        <v>52</v>
      </c>
      <c r="N1475">
        <v>1</v>
      </c>
      <c r="O1475" t="s">
        <v>63</v>
      </c>
      <c r="P1475" s="2">
        <v>0.54236111111111118</v>
      </c>
      <c r="Q1475">
        <f>0.0007588959*3600</f>
        <v>2.73202524</v>
      </c>
      <c r="R1475">
        <f>0.0037650815*3600</f>
        <v>13.554293400000001</v>
      </c>
    </row>
    <row r="1476" spans="1:18" x14ac:dyDescent="0.3">
      <c r="A1476" t="s">
        <v>47</v>
      </c>
      <c r="B1476" s="9" t="s">
        <v>359</v>
      </c>
      <c r="C1476">
        <v>298.56334900000002</v>
      </c>
      <c r="D1476">
        <v>99.696365</v>
      </c>
      <c r="E1476">
        <v>13.128</v>
      </c>
      <c r="F1476">
        <v>13.125500000000001</v>
      </c>
      <c r="G1476">
        <v>0.23899999999999999</v>
      </c>
      <c r="H1476">
        <v>0</v>
      </c>
      <c r="I1476">
        <v>1</v>
      </c>
      <c r="J1476" t="s">
        <v>0</v>
      </c>
      <c r="K1476" t="s">
        <v>61</v>
      </c>
      <c r="L1476">
        <v>0</v>
      </c>
      <c r="M1476" t="s">
        <v>52</v>
      </c>
      <c r="N1476">
        <v>1</v>
      </c>
      <c r="O1476" t="s">
        <v>63</v>
      </c>
      <c r="P1476" s="2">
        <v>0.54236111111111118</v>
      </c>
      <c r="Q1476">
        <f>0.0007962059*3600</f>
        <v>2.8663412400000001</v>
      </c>
      <c r="R1476">
        <f>0.0038852829*3600</f>
        <v>13.98701844</v>
      </c>
    </row>
    <row r="1477" spans="1:18" x14ac:dyDescent="0.3">
      <c r="A1477" t="s">
        <v>47</v>
      </c>
      <c r="B1477" s="9" t="s">
        <v>359</v>
      </c>
      <c r="C1477">
        <v>298.56413199999997</v>
      </c>
      <c r="D1477">
        <v>99.696341000000004</v>
      </c>
      <c r="E1477">
        <v>13.128</v>
      </c>
      <c r="F1477">
        <v>13.125500000000001</v>
      </c>
      <c r="G1477">
        <v>0.23899999999999999</v>
      </c>
      <c r="H1477">
        <v>0</v>
      </c>
      <c r="I1477">
        <v>1</v>
      </c>
      <c r="J1477" t="s">
        <v>0</v>
      </c>
      <c r="K1477" t="s">
        <v>61</v>
      </c>
      <c r="L1477">
        <v>0</v>
      </c>
      <c r="M1477" t="s">
        <v>52</v>
      </c>
      <c r="N1477">
        <v>1</v>
      </c>
      <c r="O1477" t="s">
        <v>63</v>
      </c>
      <c r="P1477" s="2">
        <v>0.54236111111111118</v>
      </c>
      <c r="Q1477">
        <f>0.0008926798*3600</f>
        <v>3.21364728</v>
      </c>
      <c r="R1477">
        <f>0.0038906852*3600</f>
        <v>14.006466720000001</v>
      </c>
    </row>
    <row r="1478" spans="1:18" x14ac:dyDescent="0.3">
      <c r="A1478" t="s">
        <v>47</v>
      </c>
      <c r="B1478" s="9" t="s">
        <v>359</v>
      </c>
      <c r="C1478">
        <v>298.56354599999997</v>
      </c>
      <c r="D1478">
        <v>99.696164999999993</v>
      </c>
      <c r="E1478">
        <v>13.128</v>
      </c>
      <c r="F1478">
        <v>13.125500000000001</v>
      </c>
      <c r="G1478">
        <v>0.23899999999999999</v>
      </c>
      <c r="H1478">
        <v>0</v>
      </c>
      <c r="I1478">
        <v>1</v>
      </c>
      <c r="J1478" t="s">
        <v>0</v>
      </c>
      <c r="K1478" t="s">
        <v>61</v>
      </c>
      <c r="L1478">
        <v>0</v>
      </c>
      <c r="M1478" t="s">
        <v>52</v>
      </c>
      <c r="N1478">
        <v>1</v>
      </c>
      <c r="O1478" t="s">
        <v>63</v>
      </c>
      <c r="P1478" s="2">
        <v>0.54236111111111118</v>
      </c>
      <c r="Q1478">
        <f>0.0007270566*3600</f>
        <v>2.6174037600000002</v>
      </c>
      <c r="R1478">
        <f>0.0037018876*3600</f>
        <v>13.32679536</v>
      </c>
    </row>
    <row r="1479" spans="1:18" x14ac:dyDescent="0.3">
      <c r="A1479" t="s">
        <v>47</v>
      </c>
      <c r="B1479" s="9" t="s">
        <v>359</v>
      </c>
      <c r="C1479">
        <v>298.56357700000001</v>
      </c>
      <c r="D1479">
        <v>99.696239000000006</v>
      </c>
      <c r="E1479">
        <v>13.128</v>
      </c>
      <c r="F1479">
        <v>13.125500000000001</v>
      </c>
      <c r="G1479">
        <v>0.23899999999999999</v>
      </c>
      <c r="H1479">
        <v>0</v>
      </c>
      <c r="I1479">
        <v>1</v>
      </c>
      <c r="J1479" t="s">
        <v>0</v>
      </c>
      <c r="K1479" t="s">
        <v>61</v>
      </c>
      <c r="L1479">
        <v>0</v>
      </c>
      <c r="M1479" t="s">
        <v>52</v>
      </c>
      <c r="N1479">
        <v>1</v>
      </c>
      <c r="O1479" t="s">
        <v>63</v>
      </c>
      <c r="P1479" s="2">
        <v>0.54236111111111118</v>
      </c>
      <c r="Q1479">
        <f>0.0009299945*3600</f>
        <v>3.3479802000000003</v>
      </c>
      <c r="R1479">
        <f>0.0037893324*3600</f>
        <v>13.641596639999999</v>
      </c>
    </row>
    <row r="1480" spans="1:18" x14ac:dyDescent="0.3">
      <c r="A1480" t="s">
        <v>47</v>
      </c>
      <c r="B1480" s="9" t="s">
        <v>359</v>
      </c>
      <c r="C1480">
        <v>298.563739</v>
      </c>
      <c r="D1480">
        <v>99.696128999999999</v>
      </c>
      <c r="E1480">
        <v>13.128</v>
      </c>
      <c r="F1480">
        <v>13.125500000000001</v>
      </c>
      <c r="G1480">
        <v>0.23899999999999999</v>
      </c>
      <c r="H1480">
        <v>0</v>
      </c>
      <c r="I1480">
        <v>1</v>
      </c>
      <c r="J1480" t="s">
        <v>0</v>
      </c>
      <c r="K1480" t="s">
        <v>61</v>
      </c>
      <c r="L1480">
        <v>0</v>
      </c>
      <c r="M1480" t="s">
        <v>52</v>
      </c>
      <c r="N1480">
        <v>1</v>
      </c>
      <c r="O1480" t="s">
        <v>63</v>
      </c>
      <c r="P1480" s="2">
        <v>0.54236111111111118</v>
      </c>
      <c r="Q1480">
        <f>0.0007731764*3600</f>
        <v>2.7834350400000001</v>
      </c>
      <c r="R1480">
        <f>0.0036570069*3600</f>
        <v>13.165224839999999</v>
      </c>
    </row>
    <row r="1481" spans="1:18" x14ac:dyDescent="0.3">
      <c r="A1481" t="s">
        <v>47</v>
      </c>
      <c r="B1481" s="9" t="s">
        <v>359</v>
      </c>
      <c r="C1481">
        <v>298.56359600000002</v>
      </c>
      <c r="D1481">
        <v>99.696363000000005</v>
      </c>
      <c r="E1481">
        <v>13.128</v>
      </c>
      <c r="F1481">
        <v>13.125500000000001</v>
      </c>
      <c r="G1481">
        <v>0.23899999999999999</v>
      </c>
      <c r="H1481">
        <v>0</v>
      </c>
      <c r="I1481">
        <v>1</v>
      </c>
      <c r="J1481" t="s">
        <v>0</v>
      </c>
      <c r="K1481" t="s">
        <v>61</v>
      </c>
      <c r="L1481">
        <v>0</v>
      </c>
      <c r="M1481" t="s">
        <v>52</v>
      </c>
      <c r="N1481">
        <v>1</v>
      </c>
      <c r="O1481" t="s">
        <v>63</v>
      </c>
      <c r="P1481" s="2">
        <v>0.54236111111111118</v>
      </c>
      <c r="Q1481">
        <f>0.0006790245*3600</f>
        <v>2.4444882000000003</v>
      </c>
      <c r="R1481">
        <f>0.0038980121*3600</f>
        <v>14.03284356</v>
      </c>
    </row>
    <row r="1482" spans="1:18" x14ac:dyDescent="0.3">
      <c r="A1482" t="s">
        <v>47</v>
      </c>
      <c r="B1482" s="9" t="s">
        <v>359</v>
      </c>
      <c r="C1482">
        <v>298.56351100000001</v>
      </c>
      <c r="D1482">
        <v>99.696353999999999</v>
      </c>
      <c r="E1482">
        <v>13.128</v>
      </c>
      <c r="F1482">
        <v>13.125500000000001</v>
      </c>
      <c r="G1482">
        <v>0.23899999999999999</v>
      </c>
      <c r="H1482">
        <v>0</v>
      </c>
      <c r="I1482">
        <v>1</v>
      </c>
      <c r="J1482" t="s">
        <v>0</v>
      </c>
      <c r="K1482" t="s">
        <v>61</v>
      </c>
      <c r="L1482">
        <v>0</v>
      </c>
      <c r="M1482" t="s">
        <v>52</v>
      </c>
      <c r="N1482">
        <v>1</v>
      </c>
      <c r="O1482" t="s">
        <v>63</v>
      </c>
      <c r="P1482" s="2">
        <v>0.54236111111111118</v>
      </c>
      <c r="Q1482">
        <f>0.0008111554*3600</f>
        <v>2.9201594399999999</v>
      </c>
      <c r="R1482">
        <f>0.0038837904*3600</f>
        <v>13.981645439999999</v>
      </c>
    </row>
    <row r="1483" spans="1:18" x14ac:dyDescent="0.3">
      <c r="A1483" t="s">
        <v>47</v>
      </c>
      <c r="B1483" s="9" t="s">
        <v>359</v>
      </c>
      <c r="C1483">
        <v>298.56336800000003</v>
      </c>
      <c r="D1483">
        <v>99.696316999999993</v>
      </c>
      <c r="E1483">
        <v>13.128</v>
      </c>
      <c r="F1483">
        <v>13.125500000000001</v>
      </c>
      <c r="G1483">
        <v>0.23899999999999999</v>
      </c>
      <c r="H1483">
        <v>0</v>
      </c>
      <c r="I1483">
        <v>1</v>
      </c>
      <c r="J1483" t="s">
        <v>0</v>
      </c>
      <c r="K1483" t="s">
        <v>61</v>
      </c>
      <c r="L1483">
        <v>0</v>
      </c>
      <c r="M1483" t="s">
        <v>52</v>
      </c>
      <c r="N1483">
        <v>1</v>
      </c>
      <c r="O1483" t="s">
        <v>63</v>
      </c>
      <c r="P1483" s="2">
        <v>0.54305555555555551</v>
      </c>
      <c r="Q1483">
        <f>0.0008654207*3600</f>
        <v>3.1155145200000001</v>
      </c>
      <c r="R1483">
        <f>0.0038450279*3600</f>
        <v>13.842100439999999</v>
      </c>
    </row>
    <row r="1484" spans="1:18" x14ac:dyDescent="0.3">
      <c r="A1484" t="s">
        <v>47</v>
      </c>
      <c r="B1484" s="9" t="s">
        <v>359</v>
      </c>
      <c r="C1484">
        <v>298.563086</v>
      </c>
      <c r="D1484">
        <v>99.696393999999998</v>
      </c>
      <c r="E1484">
        <v>13.128</v>
      </c>
      <c r="F1484">
        <v>13.125500000000001</v>
      </c>
      <c r="G1484">
        <v>0.23899999999999999</v>
      </c>
      <c r="H1484">
        <v>0</v>
      </c>
      <c r="I1484">
        <v>1</v>
      </c>
      <c r="J1484" t="s">
        <v>0</v>
      </c>
      <c r="K1484" t="s">
        <v>61</v>
      </c>
      <c r="L1484">
        <v>0</v>
      </c>
      <c r="M1484" t="s">
        <v>52</v>
      </c>
      <c r="N1484">
        <v>1</v>
      </c>
      <c r="O1484" t="s">
        <v>63</v>
      </c>
      <c r="P1484" s="2">
        <v>0.54305555555555551</v>
      </c>
      <c r="Q1484">
        <f>0.0008044156*3600</f>
        <v>2.8958961599999999</v>
      </c>
      <c r="R1484">
        <f>0.0039212641*3600</f>
        <v>14.116550760000001</v>
      </c>
    </row>
    <row r="1485" spans="1:18" x14ac:dyDescent="0.3">
      <c r="A1485" t="s">
        <v>47</v>
      </c>
      <c r="B1485" s="9" t="s">
        <v>359</v>
      </c>
      <c r="C1485">
        <v>298.56290100000001</v>
      </c>
      <c r="D1485">
        <v>99.696460999999999</v>
      </c>
      <c r="E1485">
        <v>13.128</v>
      </c>
      <c r="F1485">
        <v>13.125500000000001</v>
      </c>
      <c r="G1485">
        <v>0.23899999999999999</v>
      </c>
      <c r="H1485">
        <v>0</v>
      </c>
      <c r="I1485">
        <v>1</v>
      </c>
      <c r="J1485" t="s">
        <v>0</v>
      </c>
      <c r="K1485" t="s">
        <v>61</v>
      </c>
      <c r="L1485">
        <v>0</v>
      </c>
      <c r="M1485" t="s">
        <v>52</v>
      </c>
      <c r="N1485">
        <v>1</v>
      </c>
      <c r="O1485" t="s">
        <v>63</v>
      </c>
      <c r="P1485" s="2">
        <v>0.54305555555555551</v>
      </c>
      <c r="Q1485">
        <f>0.001063624*3600</f>
        <v>3.8290464000000002</v>
      </c>
      <c r="R1485">
        <f>0.0039844495*3600</f>
        <v>14.344018199999999</v>
      </c>
    </row>
    <row r="1486" spans="1:18" x14ac:dyDescent="0.3">
      <c r="A1486" t="s">
        <v>47</v>
      </c>
      <c r="B1486" s="9" t="s">
        <v>359</v>
      </c>
      <c r="C1486">
        <v>298.563309</v>
      </c>
      <c r="D1486">
        <v>99.696349999999995</v>
      </c>
      <c r="E1486">
        <v>13.128</v>
      </c>
      <c r="F1486">
        <v>13.125500000000001</v>
      </c>
      <c r="G1486">
        <v>0.23899999999999999</v>
      </c>
      <c r="H1486">
        <v>0</v>
      </c>
      <c r="I1486">
        <v>1</v>
      </c>
      <c r="J1486" t="s">
        <v>0</v>
      </c>
      <c r="K1486" t="s">
        <v>61</v>
      </c>
      <c r="L1486">
        <v>0</v>
      </c>
      <c r="M1486" t="s">
        <v>52</v>
      </c>
      <c r="N1486">
        <v>1</v>
      </c>
      <c r="O1486" t="s">
        <v>63</v>
      </c>
      <c r="P1486" s="2">
        <v>0.54305555555555551</v>
      </c>
      <c r="Q1486">
        <f>0.0008203969*3600</f>
        <v>2.9534288399999999</v>
      </c>
      <c r="R1486">
        <f>0.0038762991*3600</f>
        <v>13.95467676</v>
      </c>
    </row>
    <row r="1487" spans="1:18" x14ac:dyDescent="0.3">
      <c r="A1487" t="s">
        <v>47</v>
      </c>
      <c r="B1487" s="9" t="s">
        <v>359</v>
      </c>
      <c r="C1487">
        <v>298.56296099999997</v>
      </c>
      <c r="D1487">
        <v>99.696448000000004</v>
      </c>
      <c r="E1487">
        <v>13.128</v>
      </c>
      <c r="F1487">
        <v>13.125500000000001</v>
      </c>
      <c r="G1487">
        <v>0.23899999999999999</v>
      </c>
      <c r="H1487">
        <v>0</v>
      </c>
      <c r="I1487">
        <v>1</v>
      </c>
      <c r="J1487" t="s">
        <v>0</v>
      </c>
      <c r="K1487" t="s">
        <v>61</v>
      </c>
      <c r="L1487">
        <v>0</v>
      </c>
      <c r="M1487" t="s">
        <v>52</v>
      </c>
      <c r="N1487">
        <v>1</v>
      </c>
      <c r="O1487" t="s">
        <v>63</v>
      </c>
      <c r="P1487" s="2">
        <v>0.54305555555555551</v>
      </c>
      <c r="Q1487">
        <f>0.0008511211*3600</f>
        <v>3.06403596</v>
      </c>
      <c r="R1487">
        <f>0.0039970232*3600</f>
        <v>14.389283519999999</v>
      </c>
    </row>
    <row r="1488" spans="1:18" x14ac:dyDescent="0.3">
      <c r="A1488" t="s">
        <v>47</v>
      </c>
      <c r="B1488" s="9" t="s">
        <v>359</v>
      </c>
      <c r="C1488">
        <v>298.56261000000001</v>
      </c>
      <c r="D1488">
        <v>99.696342999999999</v>
      </c>
      <c r="E1488">
        <v>13.128</v>
      </c>
      <c r="F1488">
        <v>13.125500000000001</v>
      </c>
      <c r="G1488">
        <v>0.23899999999999999</v>
      </c>
      <c r="H1488">
        <v>0</v>
      </c>
      <c r="I1488">
        <v>1</v>
      </c>
      <c r="J1488" t="s">
        <v>0</v>
      </c>
      <c r="K1488" t="s">
        <v>61</v>
      </c>
      <c r="L1488">
        <v>0</v>
      </c>
      <c r="M1488" t="s">
        <v>52</v>
      </c>
      <c r="N1488">
        <v>1</v>
      </c>
      <c r="O1488" t="s">
        <v>63</v>
      </c>
      <c r="P1488" s="2">
        <v>0.54305555555555551</v>
      </c>
      <c r="Q1488">
        <f>0.0008140288*3600</f>
        <v>2.9305036800000002</v>
      </c>
      <c r="R1488">
        <f>0.0038929391*3600</f>
        <v>14.014580759999999</v>
      </c>
    </row>
    <row r="1489" spans="1:18" x14ac:dyDescent="0.3">
      <c r="A1489" t="s">
        <v>47</v>
      </c>
      <c r="B1489" s="9" t="s">
        <v>359</v>
      </c>
      <c r="C1489">
        <v>298.56313799999998</v>
      </c>
      <c r="D1489">
        <v>99.696465000000003</v>
      </c>
      <c r="E1489">
        <v>13.128</v>
      </c>
      <c r="F1489">
        <v>13.125500000000001</v>
      </c>
      <c r="G1489">
        <v>0.23899999999999999</v>
      </c>
      <c r="H1489">
        <v>0</v>
      </c>
      <c r="I1489">
        <v>1</v>
      </c>
      <c r="J1489" t="s">
        <v>0</v>
      </c>
      <c r="K1489" t="s">
        <v>61</v>
      </c>
      <c r="L1489">
        <v>0</v>
      </c>
      <c r="M1489" t="s">
        <v>52</v>
      </c>
      <c r="N1489">
        <v>1</v>
      </c>
      <c r="O1489" t="s">
        <v>63</v>
      </c>
      <c r="P1489" s="2">
        <v>0.54305555555555551</v>
      </c>
      <c r="Q1489">
        <f>0.0007752931*3600</f>
        <v>2.79105516</v>
      </c>
      <c r="R1489">
        <f>0.0040094653*3600</f>
        <v>14.43407508</v>
      </c>
    </row>
    <row r="1490" spans="1:18" x14ac:dyDescent="0.3">
      <c r="A1490" t="s">
        <v>47</v>
      </c>
      <c r="B1490" s="9" t="s">
        <v>359</v>
      </c>
      <c r="C1490">
        <v>298.56365399999999</v>
      </c>
      <c r="D1490">
        <v>99.696537000000006</v>
      </c>
      <c r="E1490">
        <v>13.128</v>
      </c>
      <c r="F1490">
        <v>13.125500000000001</v>
      </c>
      <c r="G1490">
        <v>0.23899999999999999</v>
      </c>
      <c r="H1490">
        <v>0</v>
      </c>
      <c r="I1490">
        <v>1</v>
      </c>
      <c r="J1490" t="s">
        <v>0</v>
      </c>
      <c r="K1490" t="s">
        <v>61</v>
      </c>
      <c r="L1490">
        <v>0</v>
      </c>
      <c r="M1490" t="s">
        <v>52</v>
      </c>
      <c r="N1490">
        <v>1</v>
      </c>
      <c r="O1490" t="s">
        <v>63</v>
      </c>
      <c r="P1490" s="2">
        <v>0.54305555555555551</v>
      </c>
      <c r="Q1490">
        <f>0.0007679724*3600</f>
        <v>2.76470064</v>
      </c>
      <c r="R1490">
        <f>0.0040828435*3600</f>
        <v>14.6982366</v>
      </c>
    </row>
    <row r="1491" spans="1:18" x14ac:dyDescent="0.3">
      <c r="A1491" t="s">
        <v>47</v>
      </c>
      <c r="B1491" s="9" t="s">
        <v>359</v>
      </c>
      <c r="C1491">
        <v>298.56427000000002</v>
      </c>
      <c r="D1491">
        <v>99.696516000000003</v>
      </c>
      <c r="E1491">
        <v>13.128</v>
      </c>
      <c r="F1491">
        <v>13.125500000000001</v>
      </c>
      <c r="G1491">
        <v>0.23899999999999999</v>
      </c>
      <c r="H1491">
        <v>0</v>
      </c>
      <c r="I1491">
        <v>1</v>
      </c>
      <c r="J1491" t="s">
        <v>0</v>
      </c>
      <c r="K1491" t="s">
        <v>61</v>
      </c>
      <c r="L1491">
        <v>0</v>
      </c>
      <c r="M1491" t="s">
        <v>52</v>
      </c>
      <c r="N1491">
        <v>1</v>
      </c>
      <c r="O1491" t="s">
        <v>63</v>
      </c>
      <c r="P1491" s="2">
        <v>0.54305555555555551</v>
      </c>
      <c r="Q1491">
        <f>0.0009268584*3600</f>
        <v>3.3366902400000003</v>
      </c>
      <c r="R1491">
        <f>0.0040618814*3600</f>
        <v>14.62277304</v>
      </c>
    </row>
    <row r="1492" spans="1:18" x14ac:dyDescent="0.3">
      <c r="A1492" t="s">
        <v>47</v>
      </c>
      <c r="B1492" s="9" t="s">
        <v>359</v>
      </c>
      <c r="C1492">
        <v>298.56346400000001</v>
      </c>
      <c r="D1492">
        <v>99.696600000000004</v>
      </c>
      <c r="E1492">
        <v>13.128</v>
      </c>
      <c r="F1492">
        <v>13.125500000000001</v>
      </c>
      <c r="G1492">
        <v>0.23899999999999999</v>
      </c>
      <c r="H1492">
        <v>0</v>
      </c>
      <c r="I1492">
        <v>1</v>
      </c>
      <c r="J1492" t="s">
        <v>0</v>
      </c>
      <c r="K1492" t="s">
        <v>61</v>
      </c>
      <c r="L1492">
        <v>0</v>
      </c>
      <c r="M1492" t="s">
        <v>52</v>
      </c>
      <c r="N1492">
        <v>1</v>
      </c>
      <c r="O1492" t="s">
        <v>63</v>
      </c>
      <c r="P1492" s="2">
        <v>0.54305555555555551</v>
      </c>
      <c r="Q1492">
        <f>0.0007961825*3600</f>
        <v>2.8662570000000001</v>
      </c>
      <c r="R1492">
        <f>0.0041590242*3600</f>
        <v>14.97248712</v>
      </c>
    </row>
    <row r="1493" spans="1:18" x14ac:dyDescent="0.3">
      <c r="A1493" t="s">
        <v>47</v>
      </c>
      <c r="B1493" s="9" t="s">
        <v>359</v>
      </c>
      <c r="C1493">
        <v>298.56359300000003</v>
      </c>
      <c r="D1493">
        <v>99.696557999999996</v>
      </c>
      <c r="E1493">
        <v>13.128</v>
      </c>
      <c r="F1493">
        <v>13.125500000000001</v>
      </c>
      <c r="G1493">
        <v>0.23899999999999999</v>
      </c>
      <c r="H1493">
        <v>0</v>
      </c>
      <c r="I1493">
        <v>1</v>
      </c>
      <c r="J1493" t="s">
        <v>0</v>
      </c>
      <c r="K1493" t="s">
        <v>61</v>
      </c>
      <c r="L1493">
        <v>0</v>
      </c>
      <c r="M1493" t="s">
        <v>52</v>
      </c>
      <c r="N1493">
        <v>1</v>
      </c>
      <c r="O1493" t="s">
        <v>63</v>
      </c>
      <c r="P1493" s="2">
        <v>0.54305555555555551</v>
      </c>
      <c r="Q1493">
        <f>0.0008321583*3600</f>
        <v>2.9957698800000001</v>
      </c>
      <c r="R1493">
        <f>0.0040993951*3600</f>
        <v>14.75782236</v>
      </c>
    </row>
    <row r="1494" spans="1:18" x14ac:dyDescent="0.3">
      <c r="A1494" t="s">
        <v>47</v>
      </c>
      <c r="B1494" s="9" t="s">
        <v>359</v>
      </c>
      <c r="C1494">
        <v>298.56437699999998</v>
      </c>
      <c r="D1494">
        <v>99.696432999999999</v>
      </c>
      <c r="E1494">
        <v>13.128</v>
      </c>
      <c r="F1494">
        <v>13.125500000000001</v>
      </c>
      <c r="G1494">
        <v>0.23899999999999999</v>
      </c>
      <c r="H1494">
        <v>0</v>
      </c>
      <c r="I1494">
        <v>1</v>
      </c>
      <c r="J1494" t="s">
        <v>0</v>
      </c>
      <c r="K1494" t="s">
        <v>61</v>
      </c>
      <c r="L1494">
        <v>0</v>
      </c>
      <c r="M1494" t="s">
        <v>52</v>
      </c>
      <c r="N1494">
        <v>1</v>
      </c>
      <c r="O1494" t="s">
        <v>63</v>
      </c>
      <c r="P1494" s="2">
        <v>0.54305555555555551</v>
      </c>
      <c r="Q1494">
        <f>0.0010654198*3600</f>
        <v>3.83551128</v>
      </c>
      <c r="R1494">
        <f>0.0039852098*3600</f>
        <v>14.34675528</v>
      </c>
    </row>
    <row r="1495" spans="1:18" x14ac:dyDescent="0.3">
      <c r="A1495" t="s">
        <v>47</v>
      </c>
      <c r="B1495" s="9" t="s">
        <v>359</v>
      </c>
      <c r="C1495">
        <v>298.56431400000002</v>
      </c>
      <c r="D1495">
        <v>99.696485999999993</v>
      </c>
      <c r="E1495">
        <v>13.128</v>
      </c>
      <c r="F1495">
        <v>13.125500000000001</v>
      </c>
      <c r="G1495">
        <v>0.23899999999999999</v>
      </c>
      <c r="H1495">
        <v>0</v>
      </c>
      <c r="I1495">
        <v>1</v>
      </c>
      <c r="J1495" t="s">
        <v>0</v>
      </c>
      <c r="K1495" t="s">
        <v>61</v>
      </c>
      <c r="L1495">
        <v>0</v>
      </c>
      <c r="M1495" t="s">
        <v>52</v>
      </c>
      <c r="N1495">
        <v>1</v>
      </c>
      <c r="O1495" t="s">
        <v>63</v>
      </c>
      <c r="P1495" s="2">
        <v>0.54305555555555551</v>
      </c>
      <c r="Q1495">
        <f>0.0009180494*3600</f>
        <v>3.3049778400000003</v>
      </c>
      <c r="R1495">
        <f>0.0040318646*3600</f>
        <v>14.51471256</v>
      </c>
    </row>
    <row r="1496" spans="1:18" x14ac:dyDescent="0.3">
      <c r="A1496" t="s">
        <v>47</v>
      </c>
      <c r="B1496" s="9" t="s">
        <v>359</v>
      </c>
      <c r="C1496">
        <v>298.56437399999999</v>
      </c>
      <c r="D1496">
        <v>99.696395999999993</v>
      </c>
      <c r="E1496">
        <v>13.128</v>
      </c>
      <c r="F1496">
        <v>13.125500000000001</v>
      </c>
      <c r="G1496">
        <v>0.23899999999999999</v>
      </c>
      <c r="H1496">
        <v>0</v>
      </c>
      <c r="I1496">
        <v>1</v>
      </c>
      <c r="J1496" t="s">
        <v>0</v>
      </c>
      <c r="K1496" t="s">
        <v>61</v>
      </c>
      <c r="L1496">
        <v>0</v>
      </c>
      <c r="M1496" t="s">
        <v>52</v>
      </c>
      <c r="N1496">
        <v>1</v>
      </c>
      <c r="O1496" t="s">
        <v>63</v>
      </c>
      <c r="P1496" s="2">
        <v>0.54305555555555551</v>
      </c>
      <c r="Q1496">
        <f>0.000804783*3600</f>
        <v>2.8972188000000001</v>
      </c>
      <c r="R1496">
        <f>0.0039250146*3600</f>
        <v>14.130052560000001</v>
      </c>
    </row>
    <row r="1497" spans="1:18" x14ac:dyDescent="0.3">
      <c r="A1497" t="s">
        <v>47</v>
      </c>
      <c r="B1497" s="9" t="s">
        <v>359</v>
      </c>
      <c r="C1497">
        <v>298.56405799999999</v>
      </c>
      <c r="D1497">
        <v>99.696428999999995</v>
      </c>
      <c r="E1497">
        <v>13.128</v>
      </c>
      <c r="F1497">
        <v>13.125500000000001</v>
      </c>
      <c r="G1497">
        <v>0.23899999999999999</v>
      </c>
      <c r="H1497">
        <v>0</v>
      </c>
      <c r="I1497">
        <v>1</v>
      </c>
      <c r="J1497" t="s">
        <v>0</v>
      </c>
      <c r="K1497" t="s">
        <v>61</v>
      </c>
      <c r="L1497">
        <v>0</v>
      </c>
      <c r="M1497" t="s">
        <v>52</v>
      </c>
      <c r="N1497">
        <v>1</v>
      </c>
      <c r="O1497" t="s">
        <v>63</v>
      </c>
      <c r="P1497" s="2">
        <v>0.54305555555555551</v>
      </c>
      <c r="Q1497">
        <f>0.0006738279*3600</f>
        <v>2.42578044</v>
      </c>
      <c r="R1497">
        <f>0.0039985971*3600</f>
        <v>14.394949560000001</v>
      </c>
    </row>
    <row r="1498" spans="1:18" x14ac:dyDescent="0.3">
      <c r="A1498" t="s">
        <v>47</v>
      </c>
      <c r="B1498" s="9" t="s">
        <v>359</v>
      </c>
      <c r="C1498">
        <v>298.56336199999998</v>
      </c>
      <c r="D1498">
        <v>99.696331999999998</v>
      </c>
      <c r="E1498">
        <v>13.128</v>
      </c>
      <c r="F1498">
        <v>13.125500000000001</v>
      </c>
      <c r="G1498">
        <v>0.23899999999999999</v>
      </c>
      <c r="H1498">
        <v>0</v>
      </c>
      <c r="I1498">
        <v>1</v>
      </c>
      <c r="J1498" t="s">
        <v>0</v>
      </c>
      <c r="K1498" t="s">
        <v>61</v>
      </c>
      <c r="L1498">
        <v>0</v>
      </c>
      <c r="M1498" t="s">
        <v>52</v>
      </c>
      <c r="N1498">
        <v>1</v>
      </c>
      <c r="O1498" t="s">
        <v>63</v>
      </c>
      <c r="P1498" s="2">
        <v>0.54305555555555551</v>
      </c>
      <c r="Q1498">
        <f>0.0006297559*3600</f>
        <v>2.2671212400000003</v>
      </c>
      <c r="R1498">
        <f>0.0039093353*3600</f>
        <v>14.073607080000002</v>
      </c>
    </row>
    <row r="1499" spans="1:18" x14ac:dyDescent="0.3">
      <c r="A1499" t="s">
        <v>47</v>
      </c>
      <c r="B1499" s="9" t="s">
        <v>359</v>
      </c>
      <c r="C1499">
        <v>298.56328500000001</v>
      </c>
      <c r="D1499">
        <v>99.696251000000004</v>
      </c>
      <c r="E1499">
        <v>13.128</v>
      </c>
      <c r="F1499">
        <v>13.125500000000001</v>
      </c>
      <c r="G1499">
        <v>0.23899999999999999</v>
      </c>
      <c r="H1499">
        <v>0</v>
      </c>
      <c r="I1499">
        <v>1</v>
      </c>
      <c r="J1499" t="s">
        <v>0</v>
      </c>
      <c r="K1499" t="s">
        <v>61</v>
      </c>
      <c r="L1499">
        <v>0</v>
      </c>
      <c r="M1499" t="s">
        <v>52</v>
      </c>
      <c r="N1499">
        <v>1</v>
      </c>
      <c r="O1499" t="s">
        <v>63</v>
      </c>
      <c r="P1499" s="2">
        <v>0.54305555555555551</v>
      </c>
      <c r="Q1499">
        <f>0.0006955846*3600</f>
        <v>2.5041045599999996</v>
      </c>
      <c r="R1499">
        <f>0.0038286042*3600</f>
        <v>13.78297512</v>
      </c>
    </row>
    <row r="1500" spans="1:18" x14ac:dyDescent="0.3">
      <c r="A1500" t="s">
        <v>47</v>
      </c>
      <c r="B1500" s="9" t="s">
        <v>359</v>
      </c>
      <c r="C1500">
        <v>298.56347199999999</v>
      </c>
      <c r="D1500">
        <v>99.696331000000001</v>
      </c>
      <c r="E1500">
        <v>13.128</v>
      </c>
      <c r="F1500">
        <v>13.125500000000001</v>
      </c>
      <c r="G1500">
        <v>0.23899999999999999</v>
      </c>
      <c r="H1500">
        <v>0</v>
      </c>
      <c r="I1500">
        <v>1</v>
      </c>
      <c r="J1500" t="s">
        <v>0</v>
      </c>
      <c r="K1500" t="s">
        <v>61</v>
      </c>
      <c r="L1500">
        <v>0</v>
      </c>
      <c r="M1500" t="s">
        <v>52</v>
      </c>
      <c r="N1500">
        <v>1</v>
      </c>
      <c r="O1500" t="s">
        <v>63</v>
      </c>
      <c r="P1500" s="2">
        <v>0.54305555555555551</v>
      </c>
      <c r="Q1500">
        <f>0.000670686*3600</f>
        <v>2.4144695999999999</v>
      </c>
      <c r="R1500">
        <f>0.0039115483*3600</f>
        <v>14.081573879999999</v>
      </c>
    </row>
    <row r="1501" spans="1:18" x14ac:dyDescent="0.3">
      <c r="A1501" t="s">
        <v>47</v>
      </c>
      <c r="B1501" s="9" t="s">
        <v>359</v>
      </c>
      <c r="C1501">
        <v>298.56378699999999</v>
      </c>
      <c r="D1501">
        <v>99.696475000000007</v>
      </c>
      <c r="E1501">
        <v>13.128</v>
      </c>
      <c r="F1501">
        <v>13.125500000000001</v>
      </c>
      <c r="G1501">
        <v>0.23899999999999999</v>
      </c>
      <c r="H1501">
        <v>0</v>
      </c>
      <c r="I1501">
        <v>1</v>
      </c>
      <c r="J1501" t="s">
        <v>0</v>
      </c>
      <c r="K1501" t="s">
        <v>61</v>
      </c>
      <c r="L1501">
        <v>0</v>
      </c>
      <c r="M1501" t="s">
        <v>52</v>
      </c>
      <c r="N1501">
        <v>1</v>
      </c>
      <c r="O1501" t="s">
        <v>63</v>
      </c>
      <c r="P1501" s="2">
        <v>0.54305555555555551</v>
      </c>
      <c r="Q1501">
        <f>0.000742432*3600</f>
        <v>2.6727552000000001</v>
      </c>
      <c r="R1501">
        <f>0.0040314057*3600</f>
        <v>14.51306052</v>
      </c>
    </row>
    <row r="1502" spans="1:18" x14ac:dyDescent="0.3">
      <c r="A1502" t="s">
        <v>47</v>
      </c>
      <c r="B1502" s="9" t="s">
        <v>359</v>
      </c>
      <c r="C1502">
        <v>298.56349299999999</v>
      </c>
      <c r="D1502">
        <v>99.696545999999998</v>
      </c>
      <c r="E1502">
        <v>13.128</v>
      </c>
      <c r="F1502">
        <v>13.125500000000001</v>
      </c>
      <c r="G1502">
        <v>0.23899999999999999</v>
      </c>
      <c r="H1502">
        <v>0</v>
      </c>
      <c r="I1502">
        <v>1</v>
      </c>
      <c r="J1502" t="s">
        <v>0</v>
      </c>
      <c r="K1502" t="s">
        <v>61</v>
      </c>
      <c r="L1502">
        <v>0</v>
      </c>
      <c r="M1502" t="s">
        <v>52</v>
      </c>
      <c r="N1502">
        <v>1</v>
      </c>
      <c r="O1502" t="s">
        <v>63</v>
      </c>
      <c r="P1502" s="2">
        <v>0.54305555555555551</v>
      </c>
      <c r="Q1502">
        <f>0.0008362328*3600</f>
        <v>3.0104380799999997</v>
      </c>
      <c r="R1502">
        <f>0.0041202015*3600</f>
        <v>14.832725400000001</v>
      </c>
    </row>
    <row r="1503" spans="1:18" x14ac:dyDescent="0.3">
      <c r="A1503" t="s">
        <v>47</v>
      </c>
      <c r="B1503" s="9" t="s">
        <v>359</v>
      </c>
      <c r="C1503">
        <v>298.56341700000002</v>
      </c>
      <c r="D1503">
        <v>99.696549000000005</v>
      </c>
      <c r="E1503">
        <v>13.128</v>
      </c>
      <c r="F1503">
        <v>13.125500000000001</v>
      </c>
      <c r="G1503">
        <v>0.23899999999999999</v>
      </c>
      <c r="H1503">
        <v>0</v>
      </c>
      <c r="I1503">
        <v>1</v>
      </c>
      <c r="J1503" t="s">
        <v>0</v>
      </c>
      <c r="K1503" t="s">
        <v>61</v>
      </c>
      <c r="L1503">
        <v>0</v>
      </c>
      <c r="M1503" t="s">
        <v>52</v>
      </c>
      <c r="N1503">
        <v>1</v>
      </c>
      <c r="O1503" t="s">
        <v>63</v>
      </c>
      <c r="P1503" s="2">
        <v>0.54305555555555551</v>
      </c>
      <c r="Q1503">
        <f>0.0006833206*3600</f>
        <v>2.4599541600000001</v>
      </c>
      <c r="R1503">
        <f>0.0041251256*3600</f>
        <v>14.850452159999998</v>
      </c>
    </row>
    <row r="1504" spans="1:18" x14ac:dyDescent="0.3">
      <c r="A1504" t="s">
        <v>47</v>
      </c>
      <c r="B1504" s="9" t="s">
        <v>359</v>
      </c>
      <c r="C1504">
        <v>298.56306799999999</v>
      </c>
      <c r="D1504">
        <v>99.696387000000001</v>
      </c>
      <c r="E1504">
        <v>13.128</v>
      </c>
      <c r="F1504">
        <v>13.125500000000001</v>
      </c>
      <c r="G1504">
        <v>0.23899999999999999</v>
      </c>
      <c r="H1504">
        <v>0</v>
      </c>
      <c r="I1504">
        <v>1</v>
      </c>
      <c r="J1504" t="s">
        <v>0</v>
      </c>
      <c r="K1504" t="s">
        <v>61</v>
      </c>
      <c r="L1504">
        <v>0</v>
      </c>
      <c r="M1504" t="s">
        <v>52</v>
      </c>
      <c r="N1504">
        <v>1</v>
      </c>
      <c r="O1504" t="s">
        <v>63</v>
      </c>
      <c r="P1504" s="2">
        <v>0.54305555555555551</v>
      </c>
      <c r="Q1504">
        <f>0.0009532148*3600</f>
        <v>3.4315732800000003</v>
      </c>
      <c r="R1504">
        <f>0.0039584829*3600</f>
        <v>14.25053844</v>
      </c>
    </row>
    <row r="1505" spans="1:18" x14ac:dyDescent="0.3">
      <c r="A1505" t="s">
        <v>47</v>
      </c>
      <c r="B1505" s="9" t="s">
        <v>359</v>
      </c>
      <c r="C1505">
        <v>298.56304399999999</v>
      </c>
      <c r="D1505">
        <v>99.696524999999994</v>
      </c>
      <c r="E1505">
        <v>13.128</v>
      </c>
      <c r="F1505">
        <v>13.125500000000001</v>
      </c>
      <c r="G1505">
        <v>0.23899999999999999</v>
      </c>
      <c r="H1505">
        <v>0</v>
      </c>
      <c r="I1505">
        <v>1</v>
      </c>
      <c r="J1505" t="s">
        <v>0</v>
      </c>
      <c r="K1505" t="s">
        <v>61</v>
      </c>
      <c r="L1505">
        <v>0</v>
      </c>
      <c r="M1505" t="s">
        <v>52</v>
      </c>
      <c r="N1505">
        <v>1</v>
      </c>
      <c r="O1505" t="s">
        <v>63</v>
      </c>
      <c r="P1505" s="2">
        <v>0.54305555555555551</v>
      </c>
      <c r="Q1505">
        <f>0.0010599814*3600</f>
        <v>3.8159330399999996</v>
      </c>
      <c r="R1505">
        <f>0.0041002653*3600</f>
        <v>14.76095508</v>
      </c>
    </row>
    <row r="1506" spans="1:18" x14ac:dyDescent="0.3">
      <c r="A1506" t="s">
        <v>47</v>
      </c>
      <c r="B1506" s="9" t="s">
        <v>359</v>
      </c>
      <c r="C1506">
        <v>298.56304</v>
      </c>
      <c r="D1506">
        <v>99.696353999999999</v>
      </c>
      <c r="E1506">
        <v>13.128</v>
      </c>
      <c r="F1506">
        <v>13.125500000000001</v>
      </c>
      <c r="G1506">
        <v>0.23899999999999999</v>
      </c>
      <c r="H1506">
        <v>0</v>
      </c>
      <c r="I1506">
        <v>1</v>
      </c>
      <c r="J1506" t="s">
        <v>0</v>
      </c>
      <c r="K1506" t="s">
        <v>61</v>
      </c>
      <c r="L1506">
        <v>0</v>
      </c>
      <c r="M1506" t="s">
        <v>52</v>
      </c>
      <c r="N1506">
        <v>1</v>
      </c>
      <c r="O1506" t="s">
        <v>63</v>
      </c>
      <c r="P1506" s="2">
        <v>0.54305555555555551</v>
      </c>
      <c r="Q1506">
        <f>0.0008762671*3600</f>
        <v>3.1545615600000003</v>
      </c>
      <c r="R1506">
        <f>0.0039314008*3600</f>
        <v>14.153042880000001</v>
      </c>
    </row>
    <row r="1507" spans="1:18" x14ac:dyDescent="0.3">
      <c r="A1507" t="s">
        <v>47</v>
      </c>
      <c r="B1507" s="9" t="s">
        <v>359</v>
      </c>
      <c r="C1507">
        <v>298.56314099999997</v>
      </c>
      <c r="D1507">
        <v>99.696432000000001</v>
      </c>
      <c r="E1507">
        <v>13.128</v>
      </c>
      <c r="F1507">
        <v>13.125500000000001</v>
      </c>
      <c r="G1507">
        <v>0.23899999999999999</v>
      </c>
      <c r="H1507">
        <v>0</v>
      </c>
      <c r="I1507">
        <v>1</v>
      </c>
      <c r="J1507" t="s">
        <v>0</v>
      </c>
      <c r="K1507" t="s">
        <v>61</v>
      </c>
      <c r="L1507">
        <v>0</v>
      </c>
      <c r="M1507" t="s">
        <v>52</v>
      </c>
      <c r="N1507">
        <v>1</v>
      </c>
      <c r="O1507" t="s">
        <v>63</v>
      </c>
      <c r="P1507" s="2">
        <v>0.54305555555555551</v>
      </c>
      <c r="Q1507">
        <f>0.0008449712*3600</f>
        <v>3.0418963199999998</v>
      </c>
      <c r="R1507">
        <f>0.0039843415*3600</f>
        <v>14.343629400000001</v>
      </c>
    </row>
    <row r="1508" spans="1:18" x14ac:dyDescent="0.3">
      <c r="A1508" t="s">
        <v>47</v>
      </c>
      <c r="B1508" s="9" t="s">
        <v>359</v>
      </c>
      <c r="C1508">
        <v>298.56261999999998</v>
      </c>
      <c r="D1508">
        <v>99.696568999999997</v>
      </c>
      <c r="E1508">
        <v>13.128</v>
      </c>
      <c r="F1508">
        <v>13.125500000000001</v>
      </c>
      <c r="G1508">
        <v>0.23899999999999999</v>
      </c>
      <c r="H1508">
        <v>0</v>
      </c>
      <c r="I1508">
        <v>1</v>
      </c>
      <c r="J1508" t="s">
        <v>0</v>
      </c>
      <c r="K1508" t="s">
        <v>61</v>
      </c>
      <c r="L1508">
        <v>0</v>
      </c>
      <c r="M1508" t="s">
        <v>52</v>
      </c>
      <c r="N1508">
        <v>1</v>
      </c>
      <c r="O1508" t="s">
        <v>63</v>
      </c>
      <c r="P1508" s="2">
        <v>0.54305555555555551</v>
      </c>
      <c r="Q1508">
        <f>0.0009048308*3600</f>
        <v>3.25739088</v>
      </c>
      <c r="R1508">
        <f>0.0041556716*3600</f>
        <v>14.96041776</v>
      </c>
    </row>
    <row r="1509" spans="1:18" x14ac:dyDescent="0.3">
      <c r="A1509" t="s">
        <v>47</v>
      </c>
      <c r="B1509" s="9" t="s">
        <v>359</v>
      </c>
      <c r="C1509">
        <v>298.56296200000003</v>
      </c>
      <c r="D1509">
        <v>99.696409000000003</v>
      </c>
      <c r="E1509">
        <v>13.128</v>
      </c>
      <c r="F1509">
        <v>13.125500000000001</v>
      </c>
      <c r="G1509">
        <v>0.23899999999999999</v>
      </c>
      <c r="H1509">
        <v>0</v>
      </c>
      <c r="I1509">
        <v>1</v>
      </c>
      <c r="J1509" t="s">
        <v>0</v>
      </c>
      <c r="K1509" t="s">
        <v>61</v>
      </c>
      <c r="L1509">
        <v>0</v>
      </c>
      <c r="M1509" t="s">
        <v>52</v>
      </c>
      <c r="N1509">
        <v>1</v>
      </c>
      <c r="O1509" t="s">
        <v>63</v>
      </c>
      <c r="P1509" s="2">
        <v>0.54305555555555551</v>
      </c>
      <c r="Q1509">
        <f>0.0008353123*3600</f>
        <v>3.0071242800000002</v>
      </c>
      <c r="R1509">
        <f>0.0039933385*3600</f>
        <v>14.376018599999998</v>
      </c>
    </row>
    <row r="1510" spans="1:18" x14ac:dyDescent="0.3">
      <c r="A1510" t="s">
        <v>47</v>
      </c>
      <c r="B1510" s="9" t="s">
        <v>359</v>
      </c>
      <c r="C1510">
        <v>298.56402500000002</v>
      </c>
      <c r="D1510">
        <v>99.696427</v>
      </c>
      <c r="E1510">
        <v>13.128</v>
      </c>
      <c r="F1510">
        <v>13.125500000000001</v>
      </c>
      <c r="G1510">
        <v>0.23899999999999999</v>
      </c>
      <c r="H1510">
        <v>0</v>
      </c>
      <c r="I1510">
        <v>1</v>
      </c>
      <c r="J1510" t="s">
        <v>0</v>
      </c>
      <c r="K1510" t="s">
        <v>61</v>
      </c>
      <c r="L1510">
        <v>0</v>
      </c>
      <c r="M1510" t="s">
        <v>52</v>
      </c>
      <c r="N1510">
        <v>1</v>
      </c>
      <c r="O1510" t="s">
        <v>63</v>
      </c>
      <c r="P1510" s="2">
        <v>0.54375000000000007</v>
      </c>
      <c r="Q1510">
        <f>0.0009672087*3600</f>
        <v>3.4819513200000003</v>
      </c>
      <c r="R1510">
        <f>0.0039752924*3600</f>
        <v>14.311052640000002</v>
      </c>
    </row>
    <row r="1511" spans="1:18" x14ac:dyDescent="0.3">
      <c r="A1511" t="s">
        <v>47</v>
      </c>
      <c r="B1511" s="9" t="s">
        <v>359</v>
      </c>
      <c r="C1511">
        <v>298.56327199999998</v>
      </c>
      <c r="D1511">
        <v>99.696444</v>
      </c>
      <c r="E1511">
        <v>13.128</v>
      </c>
      <c r="F1511">
        <v>13.125500000000001</v>
      </c>
      <c r="G1511">
        <v>0.23899999999999999</v>
      </c>
      <c r="H1511">
        <v>0</v>
      </c>
      <c r="I1511">
        <v>1</v>
      </c>
      <c r="J1511" t="s">
        <v>0</v>
      </c>
      <c r="K1511" t="s">
        <v>61</v>
      </c>
      <c r="L1511">
        <v>0</v>
      </c>
      <c r="M1511" t="s">
        <v>52</v>
      </c>
      <c r="N1511">
        <v>1</v>
      </c>
      <c r="O1511" t="s">
        <v>63</v>
      </c>
      <c r="P1511" s="2">
        <v>0.54375000000000007</v>
      </c>
      <c r="Q1511">
        <f>0.0010932307*3600</f>
        <v>3.9356305199999997</v>
      </c>
      <c r="R1511">
        <f>0.0040265525*3600</f>
        <v>14.495588999999999</v>
      </c>
    </row>
    <row r="1512" spans="1:18" x14ac:dyDescent="0.3">
      <c r="A1512" t="s">
        <v>47</v>
      </c>
      <c r="B1512" s="9" t="s">
        <v>359</v>
      </c>
      <c r="C1512">
        <v>298.56317799999999</v>
      </c>
      <c r="D1512">
        <v>99.696414000000004</v>
      </c>
      <c r="E1512">
        <v>13.128</v>
      </c>
      <c r="F1512">
        <v>13.125500000000001</v>
      </c>
      <c r="G1512">
        <v>0.23899999999999999</v>
      </c>
      <c r="H1512">
        <v>0</v>
      </c>
      <c r="I1512">
        <v>1</v>
      </c>
      <c r="J1512" t="s">
        <v>0</v>
      </c>
      <c r="K1512" t="s">
        <v>61</v>
      </c>
      <c r="L1512">
        <v>0</v>
      </c>
      <c r="M1512" t="s">
        <v>52</v>
      </c>
      <c r="N1512">
        <v>1</v>
      </c>
      <c r="O1512" t="s">
        <v>63</v>
      </c>
      <c r="P1512" s="2">
        <v>0.54375000000000007</v>
      </c>
      <c r="Q1512">
        <f>0.0009574741*3600</f>
        <v>3.4469067600000001</v>
      </c>
      <c r="R1512">
        <f>0.0039924897*3600</f>
        <v>14.372962919999999</v>
      </c>
    </row>
    <row r="1513" spans="1:18" x14ac:dyDescent="0.3">
      <c r="A1513" t="s">
        <v>47</v>
      </c>
      <c r="B1513" s="9" t="s">
        <v>359</v>
      </c>
      <c r="C1513">
        <v>298.563177</v>
      </c>
      <c r="D1513">
        <v>99.696524999999994</v>
      </c>
      <c r="E1513">
        <v>13.128</v>
      </c>
      <c r="F1513">
        <v>13.125500000000001</v>
      </c>
      <c r="G1513">
        <v>0.23899999999999999</v>
      </c>
      <c r="H1513">
        <v>0</v>
      </c>
      <c r="I1513">
        <v>1</v>
      </c>
      <c r="J1513" t="s">
        <v>0</v>
      </c>
      <c r="K1513" t="s">
        <v>61</v>
      </c>
      <c r="L1513">
        <v>0</v>
      </c>
      <c r="M1513" t="s">
        <v>52</v>
      </c>
      <c r="N1513">
        <v>1</v>
      </c>
      <c r="O1513" t="s">
        <v>63</v>
      </c>
      <c r="P1513" s="2">
        <v>0.54375000000000007</v>
      </c>
      <c r="Q1513">
        <f>0.0010151315*3600</f>
        <v>3.6544734000000001</v>
      </c>
      <c r="R1513">
        <f>0.0041037492*3600</f>
        <v>14.773497120000002</v>
      </c>
    </row>
    <row r="1514" spans="1:18" x14ac:dyDescent="0.3">
      <c r="A1514" t="s">
        <v>47</v>
      </c>
      <c r="B1514" s="9" t="s">
        <v>359</v>
      </c>
      <c r="C1514">
        <v>298.563513</v>
      </c>
      <c r="D1514">
        <v>99.696464000000006</v>
      </c>
      <c r="E1514">
        <v>13.128</v>
      </c>
      <c r="F1514">
        <v>13.125500000000001</v>
      </c>
      <c r="G1514">
        <v>0.23899999999999999</v>
      </c>
      <c r="H1514">
        <v>0</v>
      </c>
      <c r="I1514">
        <v>1</v>
      </c>
      <c r="J1514" t="s">
        <v>0</v>
      </c>
      <c r="K1514" t="s">
        <v>61</v>
      </c>
      <c r="L1514">
        <v>0</v>
      </c>
      <c r="M1514" t="s">
        <v>52</v>
      </c>
      <c r="N1514">
        <v>1</v>
      </c>
      <c r="O1514" t="s">
        <v>63</v>
      </c>
      <c r="P1514" s="2">
        <v>0.54375000000000007</v>
      </c>
      <c r="Q1514">
        <f>0.0009769951*3600</f>
        <v>3.5171823600000001</v>
      </c>
      <c r="R1514">
        <f>0.0040447293*3600</f>
        <v>14.56102548</v>
      </c>
    </row>
    <row r="1515" spans="1:18" x14ac:dyDescent="0.3">
      <c r="A1515" t="s">
        <v>47</v>
      </c>
      <c r="B1515" s="9" t="s">
        <v>359</v>
      </c>
      <c r="C1515">
        <v>298.56318700000003</v>
      </c>
      <c r="D1515">
        <v>99.696612000000002</v>
      </c>
      <c r="E1515">
        <v>13.128</v>
      </c>
      <c r="F1515">
        <v>13.125500000000001</v>
      </c>
      <c r="G1515">
        <v>0.23899999999999999</v>
      </c>
      <c r="H1515">
        <v>0</v>
      </c>
      <c r="I1515">
        <v>1</v>
      </c>
      <c r="J1515" t="s">
        <v>0</v>
      </c>
      <c r="K1515" t="s">
        <v>61</v>
      </c>
      <c r="L1515">
        <v>0</v>
      </c>
      <c r="M1515" t="s">
        <v>52</v>
      </c>
      <c r="N1515">
        <v>1</v>
      </c>
      <c r="O1515" t="s">
        <v>63</v>
      </c>
      <c r="P1515" s="2">
        <v>0.54375000000000007</v>
      </c>
      <c r="Q1515">
        <f>0.0010591276*3600</f>
        <v>3.81285936</v>
      </c>
      <c r="R1515">
        <f>0.0041906845*3600</f>
        <v>15.0864642</v>
      </c>
    </row>
    <row r="1516" spans="1:18" x14ac:dyDescent="0.3">
      <c r="A1516" t="s">
        <v>47</v>
      </c>
      <c r="B1516" s="9" t="s">
        <v>359</v>
      </c>
      <c r="C1516">
        <v>298.562971</v>
      </c>
      <c r="D1516">
        <v>99.696420000000003</v>
      </c>
      <c r="E1516">
        <v>13.128</v>
      </c>
      <c r="F1516">
        <v>13.125500000000001</v>
      </c>
      <c r="G1516">
        <v>0.23899999999999999</v>
      </c>
      <c r="H1516">
        <v>0</v>
      </c>
      <c r="I1516">
        <v>1</v>
      </c>
      <c r="J1516" t="s">
        <v>0</v>
      </c>
      <c r="K1516" t="s">
        <v>61</v>
      </c>
      <c r="L1516">
        <v>0</v>
      </c>
      <c r="M1516" t="s">
        <v>52</v>
      </c>
      <c r="N1516">
        <v>1</v>
      </c>
      <c r="O1516" t="s">
        <v>63</v>
      </c>
      <c r="P1516" s="2">
        <v>0.54375000000000007</v>
      </c>
      <c r="Q1516">
        <f>0.0010477805*3600</f>
        <v>3.7720098000000002</v>
      </c>
      <c r="R1516">
        <f>0.0039781764*3600</f>
        <v>14.321435040000001</v>
      </c>
    </row>
    <row r="1517" spans="1:18" x14ac:dyDescent="0.3">
      <c r="A1517" t="s">
        <v>47</v>
      </c>
      <c r="B1517" s="9" t="s">
        <v>359</v>
      </c>
      <c r="C1517">
        <v>298.56483600000001</v>
      </c>
      <c r="D1517">
        <v>99.696417999999994</v>
      </c>
      <c r="E1517">
        <v>13.128</v>
      </c>
      <c r="F1517">
        <v>13.125500000000001</v>
      </c>
      <c r="G1517">
        <v>0.23899999999999999</v>
      </c>
      <c r="H1517">
        <v>0</v>
      </c>
      <c r="I1517">
        <v>1</v>
      </c>
      <c r="J1517" t="s">
        <v>0</v>
      </c>
      <c r="K1517" t="s">
        <v>61</v>
      </c>
      <c r="L1517">
        <v>0</v>
      </c>
      <c r="M1517" t="s">
        <v>52</v>
      </c>
      <c r="N1517">
        <v>1</v>
      </c>
      <c r="O1517" t="s">
        <v>63</v>
      </c>
      <c r="P1517" s="2">
        <v>0.54375000000000007</v>
      </c>
      <c r="Q1517">
        <f>0.0011604632*3600</f>
        <v>4.17766752</v>
      </c>
      <c r="R1517">
        <f>0.004010033*3600</f>
        <v>14.436118799999999</v>
      </c>
    </row>
    <row r="1518" spans="1:18" x14ac:dyDescent="0.3">
      <c r="A1518" t="s">
        <v>47</v>
      </c>
      <c r="B1518" s="9" t="s">
        <v>359</v>
      </c>
      <c r="C1518">
        <v>298.56395700000002</v>
      </c>
      <c r="D1518">
        <v>99.696365</v>
      </c>
      <c r="E1518">
        <v>13.128</v>
      </c>
      <c r="F1518">
        <v>13.125500000000001</v>
      </c>
      <c r="G1518">
        <v>0.23899999999999999</v>
      </c>
      <c r="H1518">
        <v>0</v>
      </c>
      <c r="I1518">
        <v>1</v>
      </c>
      <c r="J1518" t="s">
        <v>0</v>
      </c>
      <c r="K1518" t="s">
        <v>61</v>
      </c>
      <c r="L1518">
        <v>0</v>
      </c>
      <c r="M1518" t="s">
        <v>52</v>
      </c>
      <c r="N1518">
        <v>1</v>
      </c>
      <c r="O1518" t="s">
        <v>63</v>
      </c>
      <c r="P1518" s="2">
        <v>0.54375000000000007</v>
      </c>
      <c r="Q1518">
        <f>0.0008620357*3600</f>
        <v>3.1033285199999998</v>
      </c>
      <c r="R1518">
        <f>0.0039661411*3600</f>
        <v>14.27810796</v>
      </c>
    </row>
    <row r="1519" spans="1:18" x14ac:dyDescent="0.3">
      <c r="A1519" t="s">
        <v>47</v>
      </c>
      <c r="B1519" s="9" t="s">
        <v>359</v>
      </c>
      <c r="C1519">
        <v>298.56431600000002</v>
      </c>
      <c r="D1519">
        <v>99.696218999999999</v>
      </c>
      <c r="E1519">
        <v>13.128</v>
      </c>
      <c r="F1519">
        <v>13.125500000000001</v>
      </c>
      <c r="G1519">
        <v>0.23899999999999999</v>
      </c>
      <c r="H1519">
        <v>0</v>
      </c>
      <c r="I1519">
        <v>1</v>
      </c>
      <c r="J1519" t="s">
        <v>0</v>
      </c>
      <c r="K1519" t="s">
        <v>61</v>
      </c>
      <c r="L1519">
        <v>0</v>
      </c>
      <c r="M1519" t="s">
        <v>52</v>
      </c>
      <c r="N1519">
        <v>1</v>
      </c>
      <c r="O1519" t="s">
        <v>63</v>
      </c>
      <c r="P1519" s="2">
        <v>0.54375000000000007</v>
      </c>
      <c r="Q1519">
        <f>0.0006426007*3600</f>
        <v>2.3133625200000001</v>
      </c>
      <c r="R1519">
        <f>0.0037932063*3600</f>
        <v>13.65554268</v>
      </c>
    </row>
    <row r="1520" spans="1:18" x14ac:dyDescent="0.3">
      <c r="A1520" t="s">
        <v>47</v>
      </c>
      <c r="B1520" s="9" t="s">
        <v>359</v>
      </c>
      <c r="C1520">
        <v>298.56359900000001</v>
      </c>
      <c r="D1520">
        <v>99.696192999999994</v>
      </c>
      <c r="E1520">
        <v>13.128</v>
      </c>
      <c r="F1520">
        <v>13.125500000000001</v>
      </c>
      <c r="G1520">
        <v>0.23899999999999999</v>
      </c>
      <c r="H1520">
        <v>0</v>
      </c>
      <c r="I1520">
        <v>1</v>
      </c>
      <c r="J1520" t="s">
        <v>0</v>
      </c>
      <c r="K1520" t="s">
        <v>61</v>
      </c>
      <c r="L1520">
        <v>0</v>
      </c>
      <c r="M1520" t="s">
        <v>52</v>
      </c>
      <c r="N1520">
        <v>1</v>
      </c>
      <c r="O1520" t="s">
        <v>63</v>
      </c>
      <c r="P1520" s="2">
        <v>0.54375000000000007</v>
      </c>
      <c r="Q1520">
        <f>0.000620128*3600</f>
        <v>2.2324607999999997</v>
      </c>
      <c r="R1520">
        <f>0.0037538892*3600</f>
        <v>13.51400112</v>
      </c>
    </row>
    <row r="1521" spans="1:18" x14ac:dyDescent="0.3">
      <c r="A1521" t="s">
        <v>47</v>
      </c>
      <c r="B1521" s="9" t="s">
        <v>359</v>
      </c>
      <c r="C1521">
        <v>298.56308799999999</v>
      </c>
      <c r="D1521">
        <v>99.696385000000006</v>
      </c>
      <c r="E1521">
        <v>13.128</v>
      </c>
      <c r="F1521">
        <v>13.125500000000001</v>
      </c>
      <c r="G1521">
        <v>0.23899999999999999</v>
      </c>
      <c r="H1521">
        <v>0</v>
      </c>
      <c r="I1521">
        <v>1</v>
      </c>
      <c r="J1521" t="s">
        <v>0</v>
      </c>
      <c r="K1521" t="s">
        <v>61</v>
      </c>
      <c r="L1521">
        <v>0</v>
      </c>
      <c r="M1521" t="s">
        <v>52</v>
      </c>
      <c r="N1521">
        <v>1</v>
      </c>
      <c r="O1521" t="s">
        <v>63</v>
      </c>
      <c r="P1521" s="2">
        <v>0.54375000000000007</v>
      </c>
      <c r="Q1521">
        <f>0.0007140958*3600</f>
        <v>2.5707448800000003</v>
      </c>
      <c r="R1521">
        <f>0.0039713321*3600</f>
        <v>14.29679556</v>
      </c>
    </row>
    <row r="1522" spans="1:18" x14ac:dyDescent="0.3">
      <c r="A1522" t="s">
        <v>47</v>
      </c>
      <c r="B1522" s="9" t="s">
        <v>359</v>
      </c>
      <c r="C1522">
        <v>298.56280800000002</v>
      </c>
      <c r="D1522">
        <v>99.696427999999997</v>
      </c>
      <c r="E1522">
        <v>13.128</v>
      </c>
      <c r="F1522">
        <v>13.125500000000001</v>
      </c>
      <c r="G1522">
        <v>0.23899999999999999</v>
      </c>
      <c r="H1522">
        <v>0</v>
      </c>
      <c r="I1522">
        <v>1</v>
      </c>
      <c r="J1522" t="s">
        <v>0</v>
      </c>
      <c r="K1522" t="s">
        <v>61</v>
      </c>
      <c r="L1522">
        <v>0</v>
      </c>
      <c r="M1522" t="s">
        <v>52</v>
      </c>
      <c r="N1522">
        <v>1</v>
      </c>
      <c r="O1522" t="s">
        <v>63</v>
      </c>
      <c r="P1522" s="2">
        <v>0.54375000000000007</v>
      </c>
      <c r="Q1522">
        <f>0.0008442442*3600</f>
        <v>3.0392791200000002</v>
      </c>
      <c r="R1522">
        <f>0.003986234*3600</f>
        <v>14.3504424</v>
      </c>
    </row>
    <row r="1523" spans="1:18" x14ac:dyDescent="0.3">
      <c r="A1523" t="s">
        <v>47</v>
      </c>
      <c r="B1523" s="9" t="s">
        <v>359</v>
      </c>
      <c r="C1523">
        <v>298.56395099999997</v>
      </c>
      <c r="D1523">
        <v>99.696399999999997</v>
      </c>
      <c r="E1523">
        <v>13.128</v>
      </c>
      <c r="F1523">
        <v>13.125500000000001</v>
      </c>
      <c r="G1523">
        <v>0.23899999999999999</v>
      </c>
      <c r="H1523">
        <v>0</v>
      </c>
      <c r="I1523">
        <v>1</v>
      </c>
      <c r="J1523" t="s">
        <v>0</v>
      </c>
      <c r="K1523" t="s">
        <v>61</v>
      </c>
      <c r="L1523">
        <v>0</v>
      </c>
      <c r="M1523" t="s">
        <v>52</v>
      </c>
      <c r="N1523">
        <v>1</v>
      </c>
      <c r="O1523" t="s">
        <v>63</v>
      </c>
      <c r="P1523" s="2">
        <v>0.54375000000000007</v>
      </c>
      <c r="Q1523">
        <f>0.0009053055*3600</f>
        <v>3.2590998</v>
      </c>
      <c r="R1523">
        <f>0.0039808824*3600</f>
        <v>14.331176640000001</v>
      </c>
    </row>
    <row r="1524" spans="1:18" x14ac:dyDescent="0.3">
      <c r="A1524" t="s">
        <v>47</v>
      </c>
      <c r="B1524" s="9" t="s">
        <v>359</v>
      </c>
      <c r="C1524">
        <v>298.56348700000001</v>
      </c>
      <c r="D1524">
        <v>99.696335000000005</v>
      </c>
      <c r="E1524">
        <v>13.128</v>
      </c>
      <c r="F1524">
        <v>13.125500000000001</v>
      </c>
      <c r="G1524">
        <v>0.23899999999999999</v>
      </c>
      <c r="H1524">
        <v>0</v>
      </c>
      <c r="I1524">
        <v>1</v>
      </c>
      <c r="J1524" t="s">
        <v>0</v>
      </c>
      <c r="K1524" t="s">
        <v>61</v>
      </c>
      <c r="L1524">
        <v>0</v>
      </c>
      <c r="M1524" t="s">
        <v>52</v>
      </c>
      <c r="N1524">
        <v>1</v>
      </c>
      <c r="O1524" t="s">
        <v>63</v>
      </c>
      <c r="P1524" s="2">
        <v>0.54375000000000007</v>
      </c>
      <c r="Q1524">
        <f>0.0009336298*3600</f>
        <v>3.3610672799999999</v>
      </c>
      <c r="R1524">
        <f>0.0039353433*3600</f>
        <v>14.167235879999998</v>
      </c>
    </row>
    <row r="1525" spans="1:18" x14ac:dyDescent="0.3">
      <c r="A1525" t="s">
        <v>47</v>
      </c>
      <c r="B1525" s="9" t="s">
        <v>359</v>
      </c>
      <c r="C1525">
        <v>298.56363599999997</v>
      </c>
      <c r="D1525">
        <v>99.696276999999995</v>
      </c>
      <c r="E1525">
        <v>13.128</v>
      </c>
      <c r="F1525">
        <v>13.125500000000001</v>
      </c>
      <c r="G1525">
        <v>0.23899999999999999</v>
      </c>
      <c r="H1525">
        <v>0</v>
      </c>
      <c r="I1525">
        <v>1</v>
      </c>
      <c r="J1525" t="s">
        <v>0</v>
      </c>
      <c r="K1525" t="s">
        <v>61</v>
      </c>
      <c r="L1525">
        <v>0</v>
      </c>
      <c r="M1525" t="s">
        <v>52</v>
      </c>
      <c r="N1525">
        <v>1</v>
      </c>
      <c r="O1525" t="s">
        <v>63</v>
      </c>
      <c r="P1525" s="2">
        <v>0.54375000000000007</v>
      </c>
      <c r="Q1525">
        <f>0.0008581506*3600</f>
        <v>3.0893421600000002</v>
      </c>
      <c r="R1525">
        <f>0.0038628638*3600</f>
        <v>13.90630968</v>
      </c>
    </row>
    <row r="1526" spans="1:18" x14ac:dyDescent="0.3">
      <c r="A1526" t="s">
        <v>47</v>
      </c>
      <c r="B1526" s="9" t="s">
        <v>359</v>
      </c>
      <c r="C1526">
        <v>298.56414100000001</v>
      </c>
      <c r="D1526">
        <v>99.696535999999995</v>
      </c>
      <c r="E1526">
        <v>13.128</v>
      </c>
      <c r="F1526">
        <v>13.125500000000001</v>
      </c>
      <c r="G1526">
        <v>0.23899999999999999</v>
      </c>
      <c r="H1526">
        <v>0</v>
      </c>
      <c r="I1526">
        <v>1</v>
      </c>
      <c r="J1526" t="s">
        <v>0</v>
      </c>
      <c r="K1526" t="s">
        <v>61</v>
      </c>
      <c r="L1526">
        <v>0</v>
      </c>
      <c r="M1526" t="s">
        <v>52</v>
      </c>
      <c r="N1526">
        <v>1</v>
      </c>
      <c r="O1526" t="s">
        <v>63</v>
      </c>
      <c r="P1526" s="2">
        <v>0.54375000000000007</v>
      </c>
      <c r="Q1526">
        <f>0.0010303629*3600</f>
        <v>3.7093064400000002</v>
      </c>
      <c r="R1526">
        <f>0.0041203353*3600</f>
        <v>14.833207079999999</v>
      </c>
    </row>
    <row r="1527" spans="1:18" x14ac:dyDescent="0.3">
      <c r="A1527" t="s">
        <v>47</v>
      </c>
      <c r="B1527" s="9" t="s">
        <v>359</v>
      </c>
      <c r="C1527">
        <v>298.563875</v>
      </c>
      <c r="D1527">
        <v>99.696427999999997</v>
      </c>
      <c r="E1527">
        <v>13.128</v>
      </c>
      <c r="F1527">
        <v>13.125500000000001</v>
      </c>
      <c r="G1527">
        <v>0.23899999999999999</v>
      </c>
      <c r="H1527">
        <v>0</v>
      </c>
      <c r="I1527">
        <v>1</v>
      </c>
      <c r="J1527" t="s">
        <v>0</v>
      </c>
      <c r="K1527" t="s">
        <v>61</v>
      </c>
      <c r="L1527">
        <v>0</v>
      </c>
      <c r="M1527" t="s">
        <v>52</v>
      </c>
      <c r="N1527">
        <v>1</v>
      </c>
      <c r="O1527" t="s">
        <v>63</v>
      </c>
      <c r="P1527" s="2">
        <v>0.54375000000000007</v>
      </c>
      <c r="Q1527">
        <f>0.0008066661*3600</f>
        <v>2.9039979599999999</v>
      </c>
      <c r="R1527">
        <f>0.0040337512*3600</f>
        <v>14.521504320000002</v>
      </c>
    </row>
    <row r="1528" spans="1:18" x14ac:dyDescent="0.3">
      <c r="A1528" t="s">
        <v>47</v>
      </c>
      <c r="B1528" s="9" t="s">
        <v>359</v>
      </c>
      <c r="C1528">
        <v>298.56471099999999</v>
      </c>
      <c r="D1528">
        <v>99.696208999999996</v>
      </c>
      <c r="E1528">
        <v>13.128</v>
      </c>
      <c r="F1528">
        <v>13.125500000000001</v>
      </c>
      <c r="G1528">
        <v>0.23899999999999999</v>
      </c>
      <c r="H1528">
        <v>0</v>
      </c>
      <c r="I1528">
        <v>1</v>
      </c>
      <c r="J1528" t="s">
        <v>0</v>
      </c>
      <c r="K1528" t="s">
        <v>61</v>
      </c>
      <c r="L1528">
        <v>0</v>
      </c>
      <c r="M1528" t="s">
        <v>52</v>
      </c>
      <c r="N1528">
        <v>1</v>
      </c>
      <c r="O1528" t="s">
        <v>63</v>
      </c>
      <c r="P1528" s="2">
        <v>0.54375000000000007</v>
      </c>
      <c r="Q1528">
        <f>0.0007323653*3600</f>
        <v>2.6365150800000001</v>
      </c>
      <c r="R1528">
        <f>0.0038094036*3600</f>
        <v>13.713852960000001</v>
      </c>
    </row>
    <row r="1529" spans="1:18" x14ac:dyDescent="0.3">
      <c r="A1529" t="s">
        <v>47</v>
      </c>
      <c r="B1529" s="9" t="s">
        <v>359</v>
      </c>
      <c r="C1529">
        <v>298.56461400000001</v>
      </c>
      <c r="D1529">
        <v>99.696203999999994</v>
      </c>
      <c r="E1529">
        <v>13.128</v>
      </c>
      <c r="F1529">
        <v>13.125500000000001</v>
      </c>
      <c r="G1529">
        <v>0.23899999999999999</v>
      </c>
      <c r="H1529">
        <v>0</v>
      </c>
      <c r="I1529">
        <v>1</v>
      </c>
      <c r="J1529" t="s">
        <v>0</v>
      </c>
      <c r="K1529" t="s">
        <v>61</v>
      </c>
      <c r="L1529">
        <v>0</v>
      </c>
      <c r="M1529" t="s">
        <v>52</v>
      </c>
      <c r="N1529">
        <v>1</v>
      </c>
      <c r="O1529" t="s">
        <v>63</v>
      </c>
      <c r="P1529" s="2">
        <v>0.54375000000000007</v>
      </c>
      <c r="Q1529">
        <f>0.0004803194*3600</f>
        <v>1.72914984</v>
      </c>
      <c r="R1529">
        <f>0.0037945637*3600</f>
        <v>13.66042932</v>
      </c>
    </row>
    <row r="1530" spans="1:18" x14ac:dyDescent="0.3">
      <c r="A1530" t="s">
        <v>47</v>
      </c>
      <c r="B1530" s="9" t="s">
        <v>359</v>
      </c>
      <c r="C1530">
        <v>298.56465200000002</v>
      </c>
      <c r="D1530">
        <v>99.696144000000004</v>
      </c>
      <c r="E1530">
        <v>13.128</v>
      </c>
      <c r="F1530">
        <v>13.125500000000001</v>
      </c>
      <c r="G1530">
        <v>0.23899999999999999</v>
      </c>
      <c r="H1530">
        <v>0</v>
      </c>
      <c r="I1530">
        <v>1</v>
      </c>
      <c r="J1530" t="s">
        <v>0</v>
      </c>
      <c r="K1530" t="s">
        <v>61</v>
      </c>
      <c r="L1530">
        <v>0</v>
      </c>
      <c r="M1530" t="s">
        <v>52</v>
      </c>
      <c r="N1530">
        <v>1</v>
      </c>
      <c r="O1530" t="s">
        <v>63</v>
      </c>
      <c r="P1530" s="2">
        <v>0.54375000000000007</v>
      </c>
      <c r="Q1530">
        <f>0.0005413015*3600</f>
        <v>1.9486853999999998</v>
      </c>
      <c r="R1530">
        <f>0.0037533579*3600</f>
        <v>13.512088439999999</v>
      </c>
    </row>
    <row r="1531" spans="1:18" x14ac:dyDescent="0.3">
      <c r="A1531" t="s">
        <v>47</v>
      </c>
      <c r="B1531" s="9" t="s">
        <v>359</v>
      </c>
      <c r="C1531">
        <v>298.56460399999997</v>
      </c>
      <c r="D1531">
        <v>99.696247</v>
      </c>
      <c r="E1531">
        <v>13.128</v>
      </c>
      <c r="F1531">
        <v>13.125500000000001</v>
      </c>
      <c r="G1531">
        <v>0.23899999999999999</v>
      </c>
      <c r="H1531">
        <v>0</v>
      </c>
      <c r="I1531">
        <v>1</v>
      </c>
      <c r="J1531" t="s">
        <v>0</v>
      </c>
      <c r="K1531" t="s">
        <v>61</v>
      </c>
      <c r="L1531">
        <v>0</v>
      </c>
      <c r="M1531" t="s">
        <v>52</v>
      </c>
      <c r="N1531">
        <v>1</v>
      </c>
      <c r="O1531" t="s">
        <v>63</v>
      </c>
      <c r="P1531" s="2">
        <v>0.54375000000000007</v>
      </c>
      <c r="Q1531">
        <f>0.0006520774*3600</f>
        <v>2.3474786399999998</v>
      </c>
      <c r="R1531">
        <f>0.0038552314*3600</f>
        <v>13.87883304</v>
      </c>
    </row>
    <row r="1532" spans="1:18" x14ac:dyDescent="0.3">
      <c r="A1532" t="s">
        <v>47</v>
      </c>
      <c r="B1532" s="9" t="s">
        <v>359</v>
      </c>
      <c r="C1532">
        <v>298.56477000000001</v>
      </c>
      <c r="D1532">
        <v>99.696213999999998</v>
      </c>
      <c r="E1532">
        <v>13.128</v>
      </c>
      <c r="F1532">
        <v>13.125500000000001</v>
      </c>
      <c r="G1532">
        <v>0.23899999999999999</v>
      </c>
      <c r="H1532">
        <v>0</v>
      </c>
      <c r="I1532">
        <v>1</v>
      </c>
      <c r="J1532" t="s">
        <v>0</v>
      </c>
      <c r="K1532" t="s">
        <v>61</v>
      </c>
      <c r="L1532">
        <v>0</v>
      </c>
      <c r="M1532" t="s">
        <v>52</v>
      </c>
      <c r="N1532">
        <v>1</v>
      </c>
      <c r="O1532" t="s">
        <v>63</v>
      </c>
      <c r="P1532" s="2">
        <v>0.54375000000000007</v>
      </c>
      <c r="Q1532">
        <f>0.0006416307*3600</f>
        <v>2.30987052</v>
      </c>
      <c r="R1532">
        <f>0.0037967779*3600</f>
        <v>13.668400440000001</v>
      </c>
    </row>
    <row r="1533" spans="1:18" x14ac:dyDescent="0.3">
      <c r="A1533" t="s">
        <v>47</v>
      </c>
      <c r="B1533" s="9" t="s">
        <v>359</v>
      </c>
      <c r="C1533">
        <v>298.56493799999998</v>
      </c>
      <c r="D1533">
        <v>99.696257000000003</v>
      </c>
      <c r="E1533">
        <v>13.128</v>
      </c>
      <c r="F1533">
        <v>13.125500000000001</v>
      </c>
      <c r="G1533">
        <v>0.23899999999999999</v>
      </c>
      <c r="H1533">
        <v>0</v>
      </c>
      <c r="I1533">
        <v>1</v>
      </c>
      <c r="J1533" t="s">
        <v>0</v>
      </c>
      <c r="K1533" t="s">
        <v>61</v>
      </c>
      <c r="L1533">
        <v>0</v>
      </c>
      <c r="M1533" t="s">
        <v>52</v>
      </c>
      <c r="N1533">
        <v>1</v>
      </c>
      <c r="O1533" t="s">
        <v>63</v>
      </c>
      <c r="P1533" s="2">
        <v>0.54375000000000007</v>
      </c>
      <c r="Q1533">
        <f>0.0007650286*3600</f>
        <v>2.75410296</v>
      </c>
      <c r="R1533">
        <f>0.0038396723*3600</f>
        <v>13.82282028</v>
      </c>
    </row>
    <row r="1534" spans="1:18" x14ac:dyDescent="0.3">
      <c r="A1534" t="s">
        <v>47</v>
      </c>
      <c r="B1534" s="9" t="s">
        <v>359</v>
      </c>
      <c r="C1534">
        <v>298.56407799999999</v>
      </c>
      <c r="D1534">
        <v>99.696330000000003</v>
      </c>
      <c r="E1534">
        <v>13.128</v>
      </c>
      <c r="F1534">
        <v>13.125500000000001</v>
      </c>
      <c r="G1534">
        <v>0.23899999999999999</v>
      </c>
      <c r="H1534">
        <v>0</v>
      </c>
      <c r="I1534">
        <v>1</v>
      </c>
      <c r="J1534" t="s">
        <v>0</v>
      </c>
      <c r="K1534" t="s">
        <v>61</v>
      </c>
      <c r="L1534">
        <v>0</v>
      </c>
      <c r="M1534" t="s">
        <v>52</v>
      </c>
      <c r="N1534">
        <v>1</v>
      </c>
      <c r="O1534" t="s">
        <v>63</v>
      </c>
      <c r="P1534" s="2">
        <v>0.54375000000000007</v>
      </c>
      <c r="Q1534">
        <f>0.0007458166*3600</f>
        <v>2.6849397600000002</v>
      </c>
      <c r="R1534">
        <f>0.0039184763*3600</f>
        <v>14.10651468</v>
      </c>
    </row>
    <row r="1535" spans="1:18" x14ac:dyDescent="0.3">
      <c r="A1535" t="s">
        <v>47</v>
      </c>
      <c r="B1535" s="9" t="s">
        <v>359</v>
      </c>
      <c r="C1535">
        <v>298.56363399999998</v>
      </c>
      <c r="D1535">
        <v>99.696306000000007</v>
      </c>
      <c r="E1535">
        <v>13.128</v>
      </c>
      <c r="F1535">
        <v>13.125500000000001</v>
      </c>
      <c r="G1535">
        <v>0.23899999999999999</v>
      </c>
      <c r="H1535">
        <v>0</v>
      </c>
      <c r="I1535">
        <v>1</v>
      </c>
      <c r="J1535" t="s">
        <v>0</v>
      </c>
      <c r="K1535" t="s">
        <v>61</v>
      </c>
      <c r="L1535">
        <v>0</v>
      </c>
      <c r="M1535" t="s">
        <v>52</v>
      </c>
      <c r="N1535">
        <v>1</v>
      </c>
      <c r="O1535" t="s">
        <v>63</v>
      </c>
      <c r="P1535" s="2">
        <v>0.54375000000000007</v>
      </c>
      <c r="Q1535">
        <f>0.0006472227*3600</f>
        <v>2.3300017200000003</v>
      </c>
      <c r="R1535">
        <f>0.0039178296*3600</f>
        <v>14.104186559999999</v>
      </c>
    </row>
    <row r="1536" spans="1:18" x14ac:dyDescent="0.3">
      <c r="A1536" t="s">
        <v>47</v>
      </c>
      <c r="B1536" s="9" t="s">
        <v>359</v>
      </c>
      <c r="C1536">
        <v>98.562985999999995</v>
      </c>
      <c r="D1536">
        <v>300.29486200000002</v>
      </c>
      <c r="E1536">
        <v>13.128</v>
      </c>
      <c r="F1536">
        <v>13.125500000000001</v>
      </c>
      <c r="G1536">
        <v>0.23899999999999999</v>
      </c>
      <c r="H1536">
        <v>0</v>
      </c>
      <c r="I1536">
        <v>2</v>
      </c>
      <c r="J1536" t="s">
        <v>0</v>
      </c>
      <c r="K1536" t="s">
        <v>61</v>
      </c>
      <c r="L1536">
        <v>0</v>
      </c>
      <c r="M1536" t="s">
        <v>52</v>
      </c>
      <c r="N1536">
        <v>1</v>
      </c>
      <c r="O1536" t="s">
        <v>63</v>
      </c>
      <c r="P1536" s="2">
        <v>0.5444444444444444</v>
      </c>
      <c r="Q1536">
        <f>-0.0008053374*3600</f>
        <v>-2.8992146399999998</v>
      </c>
      <c r="R1536">
        <f>-0.0030700148*3600</f>
        <v>-11.052053280000001</v>
      </c>
    </row>
    <row r="1537" spans="1:18" x14ac:dyDescent="0.3">
      <c r="A1537" t="s">
        <v>47</v>
      </c>
      <c r="B1537" s="9" t="s">
        <v>359</v>
      </c>
      <c r="C1537">
        <v>98.563693000000001</v>
      </c>
      <c r="D1537">
        <v>300.29482100000001</v>
      </c>
      <c r="E1537">
        <v>13.128</v>
      </c>
      <c r="F1537">
        <v>13.125500000000001</v>
      </c>
      <c r="G1537">
        <v>0.23899999999999999</v>
      </c>
      <c r="H1537">
        <v>0</v>
      </c>
      <c r="I1537">
        <v>2</v>
      </c>
      <c r="J1537" t="s">
        <v>0</v>
      </c>
      <c r="K1537" t="s">
        <v>61</v>
      </c>
      <c r="L1537">
        <v>0</v>
      </c>
      <c r="M1537" t="s">
        <v>52</v>
      </c>
      <c r="N1537">
        <v>1</v>
      </c>
      <c r="O1537" t="s">
        <v>63</v>
      </c>
      <c r="P1537" s="2">
        <v>0.5444444444444444</v>
      </c>
      <c r="Q1537">
        <f>-0.0008825169*3600</f>
        <v>-3.1770608399999998</v>
      </c>
      <c r="R1537">
        <f>-0.0031344192*3600</f>
        <v>-11.283909119999999</v>
      </c>
    </row>
    <row r="1538" spans="1:18" x14ac:dyDescent="0.3">
      <c r="A1538" t="s">
        <v>47</v>
      </c>
      <c r="B1538" s="9" t="s">
        <v>359</v>
      </c>
      <c r="C1538">
        <v>98.563535000000002</v>
      </c>
      <c r="D1538">
        <v>300.294827</v>
      </c>
      <c r="E1538">
        <v>13.128</v>
      </c>
      <c r="F1538">
        <v>13.125500000000001</v>
      </c>
      <c r="G1538">
        <v>0.23899999999999999</v>
      </c>
      <c r="H1538">
        <v>0</v>
      </c>
      <c r="I1538">
        <v>2</v>
      </c>
      <c r="J1538" t="s">
        <v>0</v>
      </c>
      <c r="K1538" t="s">
        <v>61</v>
      </c>
      <c r="L1538">
        <v>0</v>
      </c>
      <c r="M1538" t="s">
        <v>52</v>
      </c>
      <c r="N1538">
        <v>1</v>
      </c>
      <c r="O1538" t="s">
        <v>63</v>
      </c>
      <c r="P1538" s="2">
        <v>0.5444444444444444</v>
      </c>
      <c r="Q1538">
        <f>-0.0008819738*3600</f>
        <v>-3.1751056800000002</v>
      </c>
      <c r="R1538">
        <f>-0.0031273955*3600</f>
        <v>-11.258623800000001</v>
      </c>
    </row>
    <row r="1539" spans="1:18" x14ac:dyDescent="0.3">
      <c r="A1539" t="s">
        <v>47</v>
      </c>
      <c r="B1539" s="9" t="s">
        <v>359</v>
      </c>
      <c r="C1539">
        <v>98.562552999999994</v>
      </c>
      <c r="D1539">
        <v>300.29483499999998</v>
      </c>
      <c r="E1539">
        <v>13.128</v>
      </c>
      <c r="F1539">
        <v>13.125500000000001</v>
      </c>
      <c r="G1539">
        <v>0.23899999999999999</v>
      </c>
      <c r="H1539">
        <v>0</v>
      </c>
      <c r="I1539">
        <v>2</v>
      </c>
      <c r="J1539" t="s">
        <v>0</v>
      </c>
      <c r="K1539" t="s">
        <v>61</v>
      </c>
      <c r="L1539">
        <v>0</v>
      </c>
      <c r="M1539" t="s">
        <v>52</v>
      </c>
      <c r="N1539">
        <v>1</v>
      </c>
      <c r="O1539" t="s">
        <v>63</v>
      </c>
      <c r="P1539" s="2">
        <v>0.5444444444444444</v>
      </c>
      <c r="Q1539">
        <f>-0.0009639946*3600</f>
        <v>-3.4703805600000002</v>
      </c>
      <c r="R1539">
        <f>-0.0031447683*3600</f>
        <v>-11.321165880000001</v>
      </c>
    </row>
    <row r="1540" spans="1:18" x14ac:dyDescent="0.3">
      <c r="A1540" t="s">
        <v>47</v>
      </c>
      <c r="B1540" s="9" t="s">
        <v>359</v>
      </c>
      <c r="C1540">
        <v>98.563188999999994</v>
      </c>
      <c r="D1540">
        <v>300.294895</v>
      </c>
      <c r="E1540">
        <v>13.128</v>
      </c>
      <c r="F1540">
        <v>13.125500000000001</v>
      </c>
      <c r="G1540">
        <v>0.23899999999999999</v>
      </c>
      <c r="H1540">
        <v>0</v>
      </c>
      <c r="I1540">
        <v>2</v>
      </c>
      <c r="J1540" t="s">
        <v>0</v>
      </c>
      <c r="K1540" t="s">
        <v>61</v>
      </c>
      <c r="L1540">
        <v>0</v>
      </c>
      <c r="M1540" t="s">
        <v>52</v>
      </c>
      <c r="N1540">
        <v>1</v>
      </c>
      <c r="O1540" t="s">
        <v>63</v>
      </c>
      <c r="P1540" s="2">
        <v>0.5444444444444444</v>
      </c>
      <c r="Q1540">
        <f>-0.000762586*3600</f>
        <v>-2.7453096000000001</v>
      </c>
      <c r="R1540">
        <f>-0.0030693122*3600</f>
        <v>-11.04952392</v>
      </c>
    </row>
    <row r="1541" spans="1:18" x14ac:dyDescent="0.3">
      <c r="A1541" t="s">
        <v>47</v>
      </c>
      <c r="B1541" s="9" t="s">
        <v>359</v>
      </c>
      <c r="C1541">
        <v>98.562736000000001</v>
      </c>
      <c r="D1541">
        <v>300.29482100000001</v>
      </c>
      <c r="E1541">
        <v>13.128</v>
      </c>
      <c r="F1541">
        <v>13.125500000000001</v>
      </c>
      <c r="G1541">
        <v>0.23899999999999999</v>
      </c>
      <c r="H1541">
        <v>0</v>
      </c>
      <c r="I1541">
        <v>2</v>
      </c>
      <c r="J1541" t="s">
        <v>0</v>
      </c>
      <c r="K1541" t="s">
        <v>61</v>
      </c>
      <c r="L1541">
        <v>0</v>
      </c>
      <c r="M1541" t="s">
        <v>52</v>
      </c>
      <c r="N1541">
        <v>1</v>
      </c>
      <c r="O1541" t="s">
        <v>63</v>
      </c>
      <c r="P1541" s="2">
        <v>0.5444444444444444</v>
      </c>
      <c r="Q1541">
        <f>-0.0008915343*3600</f>
        <v>-3.2095234800000001</v>
      </c>
      <c r="R1541">
        <f>-0.0031334394*3600</f>
        <v>-11.28038184</v>
      </c>
    </row>
    <row r="1542" spans="1:18" x14ac:dyDescent="0.3">
      <c r="A1542" t="s">
        <v>47</v>
      </c>
      <c r="B1542" s="9" t="s">
        <v>359</v>
      </c>
      <c r="C1542">
        <v>98.563030999999995</v>
      </c>
      <c r="D1542">
        <v>300.29487999999998</v>
      </c>
      <c r="E1542">
        <v>13.128</v>
      </c>
      <c r="F1542">
        <v>13.125500000000001</v>
      </c>
      <c r="G1542">
        <v>0.23899999999999999</v>
      </c>
      <c r="H1542">
        <v>0</v>
      </c>
      <c r="I1542">
        <v>2</v>
      </c>
      <c r="J1542" t="s">
        <v>0</v>
      </c>
      <c r="K1542" t="s">
        <v>61</v>
      </c>
      <c r="L1542">
        <v>0</v>
      </c>
      <c r="M1542" t="s">
        <v>52</v>
      </c>
      <c r="N1542">
        <v>1</v>
      </c>
      <c r="O1542" t="s">
        <v>63</v>
      </c>
      <c r="P1542" s="2">
        <v>0.5444444444444444</v>
      </c>
      <c r="Q1542">
        <f>-0.0007818089*3600</f>
        <v>-2.8145120400000003</v>
      </c>
      <c r="R1542">
        <f>-0.0030884065*3600</f>
        <v>-11.1182634</v>
      </c>
    </row>
    <row r="1543" spans="1:18" x14ac:dyDescent="0.3">
      <c r="A1543" t="s">
        <v>47</v>
      </c>
      <c r="B1543" s="9" t="s">
        <v>359</v>
      </c>
      <c r="C1543">
        <v>98.563400999999999</v>
      </c>
      <c r="D1543">
        <v>300.29482400000001</v>
      </c>
      <c r="E1543">
        <v>13.128</v>
      </c>
      <c r="F1543">
        <v>13.125500000000001</v>
      </c>
      <c r="G1543">
        <v>0.23899999999999999</v>
      </c>
      <c r="H1543">
        <v>0</v>
      </c>
      <c r="I1543">
        <v>2</v>
      </c>
      <c r="J1543" t="s">
        <v>0</v>
      </c>
      <c r="K1543" t="s">
        <v>61</v>
      </c>
      <c r="L1543">
        <v>0</v>
      </c>
      <c r="M1543" t="s">
        <v>52</v>
      </c>
      <c r="N1543">
        <v>1</v>
      </c>
      <c r="O1543" t="s">
        <v>63</v>
      </c>
      <c r="P1543" s="2">
        <v>0.5444444444444444</v>
      </c>
      <c r="Q1543">
        <f>-0.0008952009*3600</f>
        <v>-3.2227232399999997</v>
      </c>
      <c r="R1543">
        <f>-0.0031621117*3600</f>
        <v>-11.383602119999999</v>
      </c>
    </row>
    <row r="1544" spans="1:18" x14ac:dyDescent="0.3">
      <c r="A1544" t="s">
        <v>47</v>
      </c>
      <c r="B1544" s="9" t="s">
        <v>359</v>
      </c>
      <c r="C1544">
        <v>98.561981000000003</v>
      </c>
      <c r="D1544">
        <v>300.29488400000002</v>
      </c>
      <c r="E1544">
        <v>13.128</v>
      </c>
      <c r="F1544">
        <v>13.125500000000001</v>
      </c>
      <c r="G1544">
        <v>0.23899999999999999</v>
      </c>
      <c r="H1544">
        <v>0</v>
      </c>
      <c r="I1544">
        <v>2</v>
      </c>
      <c r="J1544" t="s">
        <v>0</v>
      </c>
      <c r="K1544" t="s">
        <v>61</v>
      </c>
      <c r="L1544">
        <v>0</v>
      </c>
      <c r="M1544" t="s">
        <v>52</v>
      </c>
      <c r="N1544">
        <v>1</v>
      </c>
      <c r="O1544" t="s">
        <v>63</v>
      </c>
      <c r="P1544" s="2">
        <v>0.5444444444444444</v>
      </c>
      <c r="Q1544">
        <f>-0.0009041045*3600</f>
        <v>-3.2547762000000002</v>
      </c>
      <c r="R1544">
        <f>-0.0031027212*3600</f>
        <v>-11.169796320000001</v>
      </c>
    </row>
    <row r="1545" spans="1:18" x14ac:dyDescent="0.3">
      <c r="A1545" t="s">
        <v>47</v>
      </c>
      <c r="B1545" s="9" t="s">
        <v>359</v>
      </c>
      <c r="C1545">
        <v>98.563473999999999</v>
      </c>
      <c r="D1545">
        <v>300.29490500000003</v>
      </c>
      <c r="E1545">
        <v>13.128</v>
      </c>
      <c r="F1545">
        <v>13.125500000000001</v>
      </c>
      <c r="G1545">
        <v>0.23899999999999999</v>
      </c>
      <c r="H1545">
        <v>0</v>
      </c>
      <c r="I1545">
        <v>2</v>
      </c>
      <c r="J1545" t="s">
        <v>0</v>
      </c>
      <c r="K1545" t="s">
        <v>61</v>
      </c>
      <c r="L1545">
        <v>0</v>
      </c>
      <c r="M1545" t="s">
        <v>52</v>
      </c>
      <c r="N1545">
        <v>1</v>
      </c>
      <c r="O1545" t="s">
        <v>63</v>
      </c>
      <c r="P1545" s="2">
        <v>0.5444444444444444</v>
      </c>
      <c r="Q1545">
        <f>-0.0007614027*3600</f>
        <v>-2.7410497199999999</v>
      </c>
      <c r="R1545">
        <f>-0.0030758953*3600</f>
        <v>-11.07322308</v>
      </c>
    </row>
    <row r="1546" spans="1:18" x14ac:dyDescent="0.3">
      <c r="A1546" t="s">
        <v>47</v>
      </c>
      <c r="B1546" s="9" t="s">
        <v>359</v>
      </c>
      <c r="C1546">
        <v>98.564986000000005</v>
      </c>
      <c r="D1546">
        <v>300.29487499999999</v>
      </c>
      <c r="E1546">
        <v>13.128</v>
      </c>
      <c r="F1546">
        <v>13.125500000000001</v>
      </c>
      <c r="G1546">
        <v>0.23899999999999999</v>
      </c>
      <c r="H1546">
        <v>0</v>
      </c>
      <c r="I1546">
        <v>2</v>
      </c>
      <c r="J1546" t="s">
        <v>0</v>
      </c>
      <c r="K1546" t="s">
        <v>61</v>
      </c>
      <c r="L1546">
        <v>0</v>
      </c>
      <c r="M1546" t="s">
        <v>52</v>
      </c>
      <c r="N1546">
        <v>1</v>
      </c>
      <c r="O1546" t="s">
        <v>63</v>
      </c>
      <c r="P1546" s="2">
        <v>0.5444444444444444</v>
      </c>
      <c r="Q1546">
        <f>-0.0006649302*3600</f>
        <v>-2.3937487199999996</v>
      </c>
      <c r="R1546">
        <f>-0.0031087285*3600</f>
        <v>-11.191422599999999</v>
      </c>
    </row>
    <row r="1547" spans="1:18" x14ac:dyDescent="0.3">
      <c r="A1547" t="s">
        <v>47</v>
      </c>
      <c r="B1547" s="9" t="s">
        <v>359</v>
      </c>
      <c r="C1547">
        <v>98.564100999999994</v>
      </c>
      <c r="D1547">
        <v>300.29486500000002</v>
      </c>
      <c r="E1547">
        <v>13.128</v>
      </c>
      <c r="F1547">
        <v>13.125500000000001</v>
      </c>
      <c r="G1547">
        <v>0.23899999999999999</v>
      </c>
      <c r="H1547">
        <v>0</v>
      </c>
      <c r="I1547">
        <v>2</v>
      </c>
      <c r="J1547" t="s">
        <v>0</v>
      </c>
      <c r="K1547" t="s">
        <v>61</v>
      </c>
      <c r="L1547">
        <v>0</v>
      </c>
      <c r="M1547" t="s">
        <v>52</v>
      </c>
      <c r="N1547">
        <v>1</v>
      </c>
      <c r="O1547" t="s">
        <v>63</v>
      </c>
      <c r="P1547" s="2">
        <v>0.5444444444444444</v>
      </c>
      <c r="Q1547">
        <f>-0.0008355681*3600</f>
        <v>-3.00804516</v>
      </c>
      <c r="R1547">
        <f>-0.0031110956*3600</f>
        <v>-11.199944160000001</v>
      </c>
    </row>
    <row r="1548" spans="1:18" x14ac:dyDescent="0.3">
      <c r="A1548" t="s">
        <v>47</v>
      </c>
      <c r="B1548" s="9" t="s">
        <v>359</v>
      </c>
      <c r="C1548">
        <v>98.563042999999993</v>
      </c>
      <c r="D1548">
        <v>300.294828</v>
      </c>
      <c r="E1548">
        <v>13.128</v>
      </c>
      <c r="F1548">
        <v>13.125500000000001</v>
      </c>
      <c r="G1548">
        <v>0.23899999999999999</v>
      </c>
      <c r="H1548">
        <v>0</v>
      </c>
      <c r="I1548">
        <v>2</v>
      </c>
      <c r="J1548" t="s">
        <v>0</v>
      </c>
      <c r="K1548" t="s">
        <v>61</v>
      </c>
      <c r="L1548">
        <v>0</v>
      </c>
      <c r="M1548" t="s">
        <v>52</v>
      </c>
      <c r="N1548">
        <v>1</v>
      </c>
      <c r="O1548" t="s">
        <v>63</v>
      </c>
      <c r="P1548" s="2">
        <v>0.5444444444444444</v>
      </c>
      <c r="Q1548">
        <f>-0.0009120281*3600</f>
        <v>-3.2833011599999997</v>
      </c>
      <c r="R1548">
        <f>-0.0031597963*3600</f>
        <v>-11.375266679999999</v>
      </c>
    </row>
    <row r="1549" spans="1:18" x14ac:dyDescent="0.3">
      <c r="A1549" t="s">
        <v>47</v>
      </c>
      <c r="B1549" s="9" t="s">
        <v>359</v>
      </c>
      <c r="C1549">
        <v>98.563153999999997</v>
      </c>
      <c r="D1549">
        <v>300.294805</v>
      </c>
      <c r="E1549">
        <v>13.128</v>
      </c>
      <c r="F1549">
        <v>13.125500000000001</v>
      </c>
      <c r="G1549">
        <v>0.23899999999999999</v>
      </c>
      <c r="H1549">
        <v>0</v>
      </c>
      <c r="I1549">
        <v>2</v>
      </c>
      <c r="J1549" t="s">
        <v>0</v>
      </c>
      <c r="K1549" t="s">
        <v>61</v>
      </c>
      <c r="L1549">
        <v>0</v>
      </c>
      <c r="M1549" t="s">
        <v>52</v>
      </c>
      <c r="N1549">
        <v>1</v>
      </c>
      <c r="O1549" t="s">
        <v>63</v>
      </c>
      <c r="P1549" s="2">
        <v>0.5444444444444444</v>
      </c>
      <c r="Q1549">
        <f>-0.0009762382*3600</f>
        <v>-3.5144575200000001</v>
      </c>
      <c r="R1549">
        <f>-0.0031684707*3600</f>
        <v>-11.406494519999999</v>
      </c>
    </row>
    <row r="1550" spans="1:18" x14ac:dyDescent="0.3">
      <c r="A1550" t="s">
        <v>47</v>
      </c>
      <c r="B1550" s="9" t="s">
        <v>359</v>
      </c>
      <c r="C1550">
        <v>98.563649999999996</v>
      </c>
      <c r="D1550">
        <v>300.29499600000003</v>
      </c>
      <c r="E1550">
        <v>13.128</v>
      </c>
      <c r="F1550">
        <v>13.125500000000001</v>
      </c>
      <c r="G1550">
        <v>0.23899999999999999</v>
      </c>
      <c r="H1550">
        <v>0</v>
      </c>
      <c r="I1550">
        <v>2</v>
      </c>
      <c r="J1550" t="s">
        <v>0</v>
      </c>
      <c r="K1550" t="s">
        <v>61</v>
      </c>
      <c r="L1550">
        <v>0</v>
      </c>
      <c r="M1550" t="s">
        <v>52</v>
      </c>
      <c r="N1550">
        <v>1</v>
      </c>
      <c r="O1550" t="s">
        <v>63</v>
      </c>
      <c r="P1550" s="2">
        <v>0.5444444444444444</v>
      </c>
      <c r="Q1550">
        <f>-0.0007732917*3600</f>
        <v>-2.7838501199999999</v>
      </c>
      <c r="R1550">
        <f>-0.0030175267*3600</f>
        <v>-10.863096120000002</v>
      </c>
    </row>
    <row r="1551" spans="1:18" x14ac:dyDescent="0.3">
      <c r="A1551" t="s">
        <v>47</v>
      </c>
      <c r="B1551" s="9" t="s">
        <v>359</v>
      </c>
      <c r="C1551">
        <v>98.563184000000007</v>
      </c>
      <c r="D1551">
        <v>300.29478899999998</v>
      </c>
      <c r="E1551">
        <v>13.128</v>
      </c>
      <c r="F1551">
        <v>13.125500000000001</v>
      </c>
      <c r="G1551">
        <v>0.23899999999999999</v>
      </c>
      <c r="H1551">
        <v>0</v>
      </c>
      <c r="I1551">
        <v>2</v>
      </c>
      <c r="J1551" t="s">
        <v>0</v>
      </c>
      <c r="K1551" t="s">
        <v>61</v>
      </c>
      <c r="L1551">
        <v>0</v>
      </c>
      <c r="M1551" t="s">
        <v>52</v>
      </c>
      <c r="N1551">
        <v>1</v>
      </c>
      <c r="O1551" t="s">
        <v>63</v>
      </c>
      <c r="P1551" s="2">
        <v>0.5444444444444444</v>
      </c>
      <c r="Q1551">
        <f>-0.0009412286*3600</f>
        <v>-3.3884229600000002</v>
      </c>
      <c r="R1551">
        <f>-0.0032051593*3600</f>
        <v>-11.53857348</v>
      </c>
    </row>
    <row r="1552" spans="1:18" x14ac:dyDescent="0.3">
      <c r="A1552" t="s">
        <v>47</v>
      </c>
      <c r="B1552" s="9" t="s">
        <v>359</v>
      </c>
      <c r="C1552">
        <v>98.562534999999997</v>
      </c>
      <c r="D1552">
        <v>300.294849</v>
      </c>
      <c r="E1552">
        <v>13.128</v>
      </c>
      <c r="F1552">
        <v>13.125500000000001</v>
      </c>
      <c r="G1552">
        <v>0.23899999999999999</v>
      </c>
      <c r="H1552">
        <v>0</v>
      </c>
      <c r="I1552">
        <v>2</v>
      </c>
      <c r="J1552" t="s">
        <v>0</v>
      </c>
      <c r="K1552" t="s">
        <v>61</v>
      </c>
      <c r="L1552">
        <v>0</v>
      </c>
      <c r="M1552" t="s">
        <v>52</v>
      </c>
      <c r="N1552">
        <v>1</v>
      </c>
      <c r="O1552" t="s">
        <v>63</v>
      </c>
      <c r="P1552" s="2">
        <v>0.5444444444444444</v>
      </c>
      <c r="Q1552">
        <f>-0.0009189463*3600</f>
        <v>-3.3082066800000001</v>
      </c>
      <c r="R1552">
        <f>-0.0031459552*3600</f>
        <v>-11.325438719999999</v>
      </c>
    </row>
    <row r="1553" spans="1:18" x14ac:dyDescent="0.3">
      <c r="A1553" t="s">
        <v>47</v>
      </c>
      <c r="B1553" s="9" t="s">
        <v>359</v>
      </c>
      <c r="C1553">
        <v>98.562072000000001</v>
      </c>
      <c r="D1553">
        <v>300.29479700000002</v>
      </c>
      <c r="E1553">
        <v>13.128</v>
      </c>
      <c r="F1553">
        <v>13.125500000000001</v>
      </c>
      <c r="G1553">
        <v>0.23899999999999999</v>
      </c>
      <c r="H1553">
        <v>0</v>
      </c>
      <c r="I1553">
        <v>2</v>
      </c>
      <c r="J1553" t="s">
        <v>0</v>
      </c>
      <c r="K1553" t="s">
        <v>61</v>
      </c>
      <c r="L1553">
        <v>0</v>
      </c>
      <c r="M1553" t="s">
        <v>52</v>
      </c>
      <c r="N1553">
        <v>1</v>
      </c>
      <c r="O1553" t="s">
        <v>63</v>
      </c>
      <c r="P1553" s="2">
        <v>0.5444444444444444</v>
      </c>
      <c r="Q1553">
        <f>-0.0009622766*3600</f>
        <v>-3.46419576</v>
      </c>
      <c r="R1553">
        <f>-0.0031940064*3600</f>
        <v>-11.498423039999999</v>
      </c>
    </row>
    <row r="1554" spans="1:18" x14ac:dyDescent="0.3">
      <c r="A1554" t="s">
        <v>47</v>
      </c>
      <c r="B1554" s="9" t="s">
        <v>359</v>
      </c>
      <c r="C1554">
        <v>98.562307000000004</v>
      </c>
      <c r="D1554">
        <v>300.29489999999998</v>
      </c>
      <c r="E1554">
        <v>13.128</v>
      </c>
      <c r="F1554">
        <v>13.125500000000001</v>
      </c>
      <c r="G1554">
        <v>0.23899999999999999</v>
      </c>
      <c r="H1554">
        <v>0</v>
      </c>
      <c r="I1554">
        <v>2</v>
      </c>
      <c r="J1554" t="s">
        <v>0</v>
      </c>
      <c r="K1554" t="s">
        <v>61</v>
      </c>
      <c r="L1554">
        <v>0</v>
      </c>
      <c r="M1554" t="s">
        <v>52</v>
      </c>
      <c r="N1554">
        <v>1</v>
      </c>
      <c r="O1554" t="s">
        <v>63</v>
      </c>
      <c r="P1554" s="2">
        <v>0.5444444444444444</v>
      </c>
      <c r="Q1554">
        <f>-0.0007565588*3600</f>
        <v>-2.7236116799999999</v>
      </c>
      <c r="R1554">
        <f>-0.0030851928*3600</f>
        <v>-11.10669408</v>
      </c>
    </row>
    <row r="1555" spans="1:18" x14ac:dyDescent="0.3">
      <c r="A1555" t="s">
        <v>47</v>
      </c>
      <c r="B1555" s="9" t="s">
        <v>359</v>
      </c>
      <c r="C1555">
        <v>98.562849999999997</v>
      </c>
      <c r="D1555">
        <v>300.29491899999999</v>
      </c>
      <c r="E1555">
        <v>13.128</v>
      </c>
      <c r="F1555">
        <v>13.125500000000001</v>
      </c>
      <c r="G1555">
        <v>0.23899999999999999</v>
      </c>
      <c r="H1555">
        <v>0</v>
      </c>
      <c r="I1555">
        <v>2</v>
      </c>
      <c r="J1555" t="s">
        <v>0</v>
      </c>
      <c r="K1555" t="s">
        <v>61</v>
      </c>
      <c r="L1555">
        <v>0</v>
      </c>
      <c r="M1555" t="s">
        <v>52</v>
      </c>
      <c r="N1555">
        <v>1</v>
      </c>
      <c r="O1555" t="s">
        <v>63</v>
      </c>
      <c r="P1555" s="2">
        <v>0.5444444444444444</v>
      </c>
      <c r="Q1555">
        <f>-0.0007898546*3600</f>
        <v>-2.84347656</v>
      </c>
      <c r="R1555">
        <f>-0.0030811482*3600</f>
        <v>-11.092133520000001</v>
      </c>
    </row>
    <row r="1556" spans="1:18" x14ac:dyDescent="0.3">
      <c r="A1556" t="s">
        <v>47</v>
      </c>
      <c r="B1556" s="9" t="s">
        <v>359</v>
      </c>
      <c r="C1556">
        <v>98.561738000000005</v>
      </c>
      <c r="D1556">
        <v>300.29483199999999</v>
      </c>
      <c r="E1556">
        <v>13.128</v>
      </c>
      <c r="F1556">
        <v>13.125500000000001</v>
      </c>
      <c r="G1556">
        <v>0.23899999999999999</v>
      </c>
      <c r="H1556">
        <v>0</v>
      </c>
      <c r="I1556">
        <v>2</v>
      </c>
      <c r="J1556" t="s">
        <v>0</v>
      </c>
      <c r="K1556" t="s">
        <v>61</v>
      </c>
      <c r="L1556">
        <v>0</v>
      </c>
      <c r="M1556" t="s">
        <v>52</v>
      </c>
      <c r="N1556">
        <v>1</v>
      </c>
      <c r="O1556" t="s">
        <v>63</v>
      </c>
      <c r="P1556" s="2">
        <v>0.5444444444444444</v>
      </c>
      <c r="Q1556">
        <f>-0.0008912023*3600</f>
        <v>-3.2083282799999999</v>
      </c>
      <c r="R1556">
        <f>-0.0031352837*3600</f>
        <v>-11.287021319999999</v>
      </c>
    </row>
    <row r="1557" spans="1:18" x14ac:dyDescent="0.3">
      <c r="A1557" t="s">
        <v>47</v>
      </c>
      <c r="B1557" s="9" t="s">
        <v>359</v>
      </c>
      <c r="C1557">
        <v>98.563670000000002</v>
      </c>
      <c r="D1557">
        <v>300.29485099999999</v>
      </c>
      <c r="E1557">
        <v>13.128</v>
      </c>
      <c r="F1557">
        <v>13.125500000000001</v>
      </c>
      <c r="G1557">
        <v>0.23899999999999999</v>
      </c>
      <c r="H1557">
        <v>0</v>
      </c>
      <c r="I1557">
        <v>2</v>
      </c>
      <c r="J1557" t="s">
        <v>0</v>
      </c>
      <c r="K1557" t="s">
        <v>61</v>
      </c>
      <c r="L1557">
        <v>0</v>
      </c>
      <c r="M1557" t="s">
        <v>52</v>
      </c>
      <c r="N1557">
        <v>1</v>
      </c>
      <c r="O1557" t="s">
        <v>63</v>
      </c>
      <c r="P1557" s="2">
        <v>0.5444444444444444</v>
      </c>
      <c r="Q1557">
        <f>-0.0008963897*3600</f>
        <v>-3.2270029199999999</v>
      </c>
      <c r="R1557">
        <f>-0.0031511048*3600</f>
        <v>-11.343977279999999</v>
      </c>
    </row>
    <row r="1558" spans="1:18" x14ac:dyDescent="0.3">
      <c r="A1558" t="s">
        <v>47</v>
      </c>
      <c r="B1558" s="9" t="s">
        <v>359</v>
      </c>
      <c r="C1558">
        <v>98.562218000000001</v>
      </c>
      <c r="D1558">
        <v>300.29489100000001</v>
      </c>
      <c r="E1558">
        <v>13.128</v>
      </c>
      <c r="F1558">
        <v>13.125500000000001</v>
      </c>
      <c r="G1558">
        <v>0.23899999999999999</v>
      </c>
      <c r="H1558">
        <v>0</v>
      </c>
      <c r="I1558">
        <v>2</v>
      </c>
      <c r="J1558" t="s">
        <v>0</v>
      </c>
      <c r="K1558" t="s">
        <v>61</v>
      </c>
      <c r="L1558">
        <v>0</v>
      </c>
      <c r="M1558" t="s">
        <v>52</v>
      </c>
      <c r="N1558">
        <v>1</v>
      </c>
      <c r="O1558" t="s">
        <v>63</v>
      </c>
      <c r="P1558" s="2">
        <v>0.5444444444444444</v>
      </c>
      <c r="Q1558">
        <f>-0.0007848471*3600</f>
        <v>-2.82544956</v>
      </c>
      <c r="R1558">
        <f>-0.0030952673*3600</f>
        <v>-11.142962280000001</v>
      </c>
    </row>
    <row r="1559" spans="1:18" x14ac:dyDescent="0.3">
      <c r="A1559" t="s">
        <v>47</v>
      </c>
      <c r="B1559" s="9" t="s">
        <v>359</v>
      </c>
      <c r="C1559">
        <v>98.562275999999997</v>
      </c>
      <c r="D1559">
        <v>300.29484300000001</v>
      </c>
      <c r="E1559">
        <v>13.128</v>
      </c>
      <c r="F1559">
        <v>13.125500000000001</v>
      </c>
      <c r="G1559">
        <v>0.23899999999999999</v>
      </c>
      <c r="H1559">
        <v>0</v>
      </c>
      <c r="I1559">
        <v>2</v>
      </c>
      <c r="J1559" t="s">
        <v>0</v>
      </c>
      <c r="K1559" t="s">
        <v>61</v>
      </c>
      <c r="L1559">
        <v>0</v>
      </c>
      <c r="M1559" t="s">
        <v>52</v>
      </c>
      <c r="N1559">
        <v>1</v>
      </c>
      <c r="O1559" t="s">
        <v>63</v>
      </c>
      <c r="P1559" s="2">
        <v>0.5444444444444444</v>
      </c>
      <c r="Q1559">
        <f>-0.000939863*3600</f>
        <v>-3.3835068000000001</v>
      </c>
      <c r="R1559">
        <f>-0.0031475009*3600</f>
        <v>-11.331003239999999</v>
      </c>
    </row>
    <row r="1560" spans="1:18" x14ac:dyDescent="0.3">
      <c r="A1560" t="s">
        <v>47</v>
      </c>
      <c r="B1560" s="9" t="s">
        <v>359</v>
      </c>
      <c r="C1560">
        <v>98.562381000000002</v>
      </c>
      <c r="D1560">
        <v>300.29477300000002</v>
      </c>
      <c r="E1560">
        <v>13.128</v>
      </c>
      <c r="F1560">
        <v>13.125500000000001</v>
      </c>
      <c r="G1560">
        <v>0.23899999999999999</v>
      </c>
      <c r="H1560">
        <v>0</v>
      </c>
      <c r="I1560">
        <v>2</v>
      </c>
      <c r="J1560" t="s">
        <v>0</v>
      </c>
      <c r="K1560" t="s">
        <v>61</v>
      </c>
      <c r="L1560">
        <v>0</v>
      </c>
      <c r="M1560" t="s">
        <v>52</v>
      </c>
      <c r="N1560">
        <v>1</v>
      </c>
      <c r="O1560" t="s">
        <v>63</v>
      </c>
      <c r="P1560" s="2">
        <v>0.5444444444444444</v>
      </c>
      <c r="Q1560">
        <f>-0.0008585574*3600</f>
        <v>-3.0908066399999998</v>
      </c>
      <c r="R1560">
        <f>-0.0032186312*3600</f>
        <v>-11.587072320000001</v>
      </c>
    </row>
    <row r="1561" spans="1:18" x14ac:dyDescent="0.3">
      <c r="A1561" t="s">
        <v>47</v>
      </c>
      <c r="B1561" s="9" t="s">
        <v>359</v>
      </c>
      <c r="C1561">
        <v>98.562571000000005</v>
      </c>
      <c r="D1561">
        <v>300.29487699999999</v>
      </c>
      <c r="E1561">
        <v>13.128</v>
      </c>
      <c r="F1561">
        <v>13.125500000000001</v>
      </c>
      <c r="G1561">
        <v>0.23899999999999999</v>
      </c>
      <c r="H1561">
        <v>0</v>
      </c>
      <c r="I1561">
        <v>2</v>
      </c>
      <c r="J1561" t="s">
        <v>0</v>
      </c>
      <c r="K1561" t="s">
        <v>61</v>
      </c>
      <c r="L1561">
        <v>0</v>
      </c>
      <c r="M1561" t="s">
        <v>52</v>
      </c>
      <c r="N1561">
        <v>1</v>
      </c>
      <c r="O1561" t="s">
        <v>63</v>
      </c>
      <c r="P1561" s="2">
        <v>0.5444444444444444</v>
      </c>
      <c r="Q1561">
        <f>-0.0008478973*3600</f>
        <v>-3.0524302799999998</v>
      </c>
      <c r="R1561">
        <f>-0.0031360713*3600</f>
        <v>-11.28985668</v>
      </c>
    </row>
    <row r="1562" spans="1:18" x14ac:dyDescent="0.3">
      <c r="A1562" t="s">
        <v>47</v>
      </c>
      <c r="B1562" s="9" t="s">
        <v>359</v>
      </c>
      <c r="C1562">
        <v>98.563109999999995</v>
      </c>
      <c r="D1562">
        <v>300.29487399999999</v>
      </c>
      <c r="E1562">
        <v>13.128</v>
      </c>
      <c r="F1562">
        <v>13.125500000000001</v>
      </c>
      <c r="G1562">
        <v>0.23899999999999999</v>
      </c>
      <c r="H1562">
        <v>0</v>
      </c>
      <c r="I1562">
        <v>2</v>
      </c>
      <c r="J1562" t="s">
        <v>0</v>
      </c>
      <c r="K1562" t="s">
        <v>61</v>
      </c>
      <c r="L1562">
        <v>0</v>
      </c>
      <c r="M1562" t="s">
        <v>52</v>
      </c>
      <c r="N1562">
        <v>1</v>
      </c>
      <c r="O1562" t="s">
        <v>63</v>
      </c>
      <c r="P1562" s="2">
        <v>0.54513888888888895</v>
      </c>
      <c r="Q1562">
        <f>-0.0007888644*3600</f>
        <v>-2.8399118400000001</v>
      </c>
      <c r="R1562">
        <f>-0.0031276939*3600</f>
        <v>-11.25969804</v>
      </c>
    </row>
    <row r="1563" spans="1:18" x14ac:dyDescent="0.3">
      <c r="A1563" t="s">
        <v>47</v>
      </c>
      <c r="B1563" s="9" t="s">
        <v>359</v>
      </c>
      <c r="C1563">
        <v>98.563147999999998</v>
      </c>
      <c r="D1563">
        <v>300.29491400000001</v>
      </c>
      <c r="E1563">
        <v>13.128</v>
      </c>
      <c r="F1563">
        <v>13.125500000000001</v>
      </c>
      <c r="G1563">
        <v>0.23899999999999999</v>
      </c>
      <c r="H1563">
        <v>0</v>
      </c>
      <c r="I1563">
        <v>2</v>
      </c>
      <c r="J1563" t="s">
        <v>0</v>
      </c>
      <c r="K1563" t="s">
        <v>61</v>
      </c>
      <c r="L1563">
        <v>0</v>
      </c>
      <c r="M1563" t="s">
        <v>52</v>
      </c>
      <c r="N1563">
        <v>1</v>
      </c>
      <c r="O1563" t="s">
        <v>63</v>
      </c>
      <c r="P1563" s="2">
        <v>0.54513888888888895</v>
      </c>
      <c r="Q1563">
        <f>-0.000786784*3600</f>
        <v>-2.8324224</v>
      </c>
      <c r="R1563">
        <f>-0.0030904148*3600</f>
        <v>-11.125493280000001</v>
      </c>
    </row>
    <row r="1564" spans="1:18" x14ac:dyDescent="0.3">
      <c r="A1564" t="s">
        <v>47</v>
      </c>
      <c r="B1564" s="9" t="s">
        <v>359</v>
      </c>
      <c r="C1564">
        <v>98.562970000000007</v>
      </c>
      <c r="D1564">
        <v>300.29493400000001</v>
      </c>
      <c r="E1564">
        <v>13.128</v>
      </c>
      <c r="F1564">
        <v>13.125500000000001</v>
      </c>
      <c r="G1564">
        <v>0.23899999999999999</v>
      </c>
      <c r="H1564">
        <v>0</v>
      </c>
      <c r="I1564">
        <v>2</v>
      </c>
      <c r="J1564" t="s">
        <v>0</v>
      </c>
      <c r="K1564" t="s">
        <v>61</v>
      </c>
      <c r="L1564">
        <v>0</v>
      </c>
      <c r="M1564" t="s">
        <v>52</v>
      </c>
      <c r="N1564">
        <v>1</v>
      </c>
      <c r="O1564" t="s">
        <v>63</v>
      </c>
      <c r="P1564" s="2">
        <v>0.54513888888888895</v>
      </c>
      <c r="Q1564">
        <f>-0.0007324181*3600</f>
        <v>-2.63670516</v>
      </c>
      <c r="R1564">
        <f>-0.0030915434*3600</f>
        <v>-11.129556240000001</v>
      </c>
    </row>
    <row r="1565" spans="1:18" x14ac:dyDescent="0.3">
      <c r="A1565" t="s">
        <v>47</v>
      </c>
      <c r="B1565" s="9" t="s">
        <v>359</v>
      </c>
      <c r="C1565">
        <v>98.562842000000003</v>
      </c>
      <c r="D1565">
        <v>300.29487499999999</v>
      </c>
      <c r="E1565">
        <v>13.128</v>
      </c>
      <c r="F1565">
        <v>13.125500000000001</v>
      </c>
      <c r="G1565">
        <v>0.23899999999999999</v>
      </c>
      <c r="H1565">
        <v>0</v>
      </c>
      <c r="I1565">
        <v>2</v>
      </c>
      <c r="J1565" t="s">
        <v>0</v>
      </c>
      <c r="K1565" t="s">
        <v>61</v>
      </c>
      <c r="L1565">
        <v>0</v>
      </c>
      <c r="M1565" t="s">
        <v>52</v>
      </c>
      <c r="N1565">
        <v>1</v>
      </c>
      <c r="O1565" t="s">
        <v>63</v>
      </c>
      <c r="P1565" s="2">
        <v>0.54513888888888895</v>
      </c>
      <c r="Q1565">
        <f>-0.0007547302*3600</f>
        <v>-2.7170287200000001</v>
      </c>
      <c r="R1565">
        <f>-0.0031193675*3600</f>
        <v>-11.229723</v>
      </c>
    </row>
    <row r="1566" spans="1:18" x14ac:dyDescent="0.3">
      <c r="A1566" t="s">
        <v>47</v>
      </c>
      <c r="B1566" s="9" t="s">
        <v>359</v>
      </c>
      <c r="C1566">
        <v>98.564483999999993</v>
      </c>
      <c r="D1566">
        <v>300.29491200000001</v>
      </c>
      <c r="E1566">
        <v>13.128</v>
      </c>
      <c r="F1566">
        <v>13.125500000000001</v>
      </c>
      <c r="G1566">
        <v>0.23899999999999999</v>
      </c>
      <c r="H1566">
        <v>0</v>
      </c>
      <c r="I1566">
        <v>2</v>
      </c>
      <c r="J1566" t="s">
        <v>0</v>
      </c>
      <c r="K1566" t="s">
        <v>61</v>
      </c>
      <c r="L1566">
        <v>0</v>
      </c>
      <c r="M1566" t="s">
        <v>52</v>
      </c>
      <c r="N1566">
        <v>1</v>
      </c>
      <c r="O1566" t="s">
        <v>63</v>
      </c>
      <c r="P1566" s="2">
        <v>0.54513888888888895</v>
      </c>
      <c r="Q1566">
        <f>-0.0008976646*3600</f>
        <v>-3.2315925600000002</v>
      </c>
      <c r="R1566">
        <f>-0.0030990793*3600</f>
        <v>-11.15668548</v>
      </c>
    </row>
    <row r="1567" spans="1:18" x14ac:dyDescent="0.3">
      <c r="A1567" t="s">
        <v>47</v>
      </c>
      <c r="B1567" s="9" t="s">
        <v>359</v>
      </c>
      <c r="C1567">
        <v>98.564503999999999</v>
      </c>
      <c r="D1567">
        <v>300.29485099999999</v>
      </c>
      <c r="E1567">
        <v>13.128</v>
      </c>
      <c r="F1567">
        <v>13.125500000000001</v>
      </c>
      <c r="G1567">
        <v>0.23899999999999999</v>
      </c>
      <c r="H1567">
        <v>0</v>
      </c>
      <c r="I1567">
        <v>2</v>
      </c>
      <c r="J1567" t="s">
        <v>0</v>
      </c>
      <c r="K1567" t="s">
        <v>61</v>
      </c>
      <c r="L1567">
        <v>0</v>
      </c>
      <c r="M1567" t="s">
        <v>52</v>
      </c>
      <c r="N1567">
        <v>1</v>
      </c>
      <c r="O1567" t="s">
        <v>63</v>
      </c>
      <c r="P1567" s="2">
        <v>0.54513888888888895</v>
      </c>
      <c r="Q1567">
        <f>-0.0009379776*3600</f>
        <v>-3.3767193600000001</v>
      </c>
      <c r="R1567">
        <f>-0.0031637775*3600</f>
        <v>-11.389599</v>
      </c>
    </row>
    <row r="1568" spans="1:18" x14ac:dyDescent="0.3">
      <c r="A1568" t="s">
        <v>47</v>
      </c>
      <c r="B1568" s="9" t="s">
        <v>359</v>
      </c>
      <c r="C1568">
        <v>98.564147000000006</v>
      </c>
      <c r="D1568">
        <v>300.29473200000001</v>
      </c>
      <c r="E1568">
        <v>13.128</v>
      </c>
      <c r="F1568">
        <v>13.125500000000001</v>
      </c>
      <c r="G1568">
        <v>0.23899999999999999</v>
      </c>
      <c r="H1568">
        <v>0</v>
      </c>
      <c r="I1568">
        <v>2</v>
      </c>
      <c r="J1568" t="s">
        <v>0</v>
      </c>
      <c r="K1568" t="s">
        <v>61</v>
      </c>
      <c r="L1568">
        <v>0</v>
      </c>
      <c r="M1568" t="s">
        <v>52</v>
      </c>
      <c r="N1568">
        <v>1</v>
      </c>
      <c r="O1568" t="s">
        <v>63</v>
      </c>
      <c r="P1568" s="2">
        <v>0.54513888888888895</v>
      </c>
      <c r="Q1568">
        <f>-0.0009749436*3600</f>
        <v>-3.5097969600000001</v>
      </c>
      <c r="R1568">
        <f>-0.0032680461*3600</f>
        <v>-11.764965960000001</v>
      </c>
    </row>
    <row r="1569" spans="1:18" x14ac:dyDescent="0.3">
      <c r="A1569" t="s">
        <v>47</v>
      </c>
      <c r="B1569" s="9" t="s">
        <v>359</v>
      </c>
      <c r="C1569">
        <v>98.563658000000004</v>
      </c>
      <c r="D1569">
        <v>300.29488400000002</v>
      </c>
      <c r="E1569">
        <v>13.128</v>
      </c>
      <c r="F1569">
        <v>13.125500000000001</v>
      </c>
      <c r="G1569">
        <v>0.23899999999999999</v>
      </c>
      <c r="H1569">
        <v>0</v>
      </c>
      <c r="I1569">
        <v>2</v>
      </c>
      <c r="J1569" t="s">
        <v>0</v>
      </c>
      <c r="K1569" t="s">
        <v>61</v>
      </c>
      <c r="L1569">
        <v>0</v>
      </c>
      <c r="M1569" t="s">
        <v>52</v>
      </c>
      <c r="N1569">
        <v>1</v>
      </c>
      <c r="O1569" t="s">
        <v>63</v>
      </c>
      <c r="P1569" s="2">
        <v>0.54513888888888895</v>
      </c>
      <c r="Q1569">
        <f>-0.0009503912*3600</f>
        <v>-3.4214083200000003</v>
      </c>
      <c r="R1569">
        <f>-0.003140863*3600</f>
        <v>-11.3071068</v>
      </c>
    </row>
    <row r="1570" spans="1:18" x14ac:dyDescent="0.3">
      <c r="A1570" t="s">
        <v>47</v>
      </c>
      <c r="B1570" s="9" t="s">
        <v>359</v>
      </c>
      <c r="C1570">
        <v>98.563153999999997</v>
      </c>
      <c r="D1570">
        <v>300.29490199999998</v>
      </c>
      <c r="E1570">
        <v>13.128</v>
      </c>
      <c r="F1570">
        <v>13.125500000000001</v>
      </c>
      <c r="G1570">
        <v>0.23899999999999999</v>
      </c>
      <c r="H1570">
        <v>0</v>
      </c>
      <c r="I1570">
        <v>2</v>
      </c>
      <c r="J1570" t="s">
        <v>0</v>
      </c>
      <c r="K1570" t="s">
        <v>61</v>
      </c>
      <c r="L1570">
        <v>0</v>
      </c>
      <c r="M1570" t="s">
        <v>52</v>
      </c>
      <c r="N1570">
        <v>1</v>
      </c>
      <c r="O1570" t="s">
        <v>63</v>
      </c>
      <c r="P1570" s="2">
        <v>0.54513888888888895</v>
      </c>
      <c r="Q1570">
        <f>-0.0009039329*3600</f>
        <v>-3.2541584399999999</v>
      </c>
      <c r="R1570">
        <f>-0.0031157103*3600</f>
        <v>-11.216557079999999</v>
      </c>
    </row>
    <row r="1571" spans="1:18" x14ac:dyDescent="0.3">
      <c r="A1571" t="s">
        <v>47</v>
      </c>
      <c r="B1571" s="9" t="s">
        <v>359</v>
      </c>
      <c r="C1571">
        <v>98.563631999999998</v>
      </c>
      <c r="D1571">
        <v>300.29484100000002</v>
      </c>
      <c r="E1571">
        <v>13.128</v>
      </c>
      <c r="F1571">
        <v>13.125500000000001</v>
      </c>
      <c r="G1571">
        <v>0.23899999999999999</v>
      </c>
      <c r="H1571">
        <v>0</v>
      </c>
      <c r="I1571">
        <v>2</v>
      </c>
      <c r="J1571" t="s">
        <v>0</v>
      </c>
      <c r="K1571" t="s">
        <v>61</v>
      </c>
      <c r="L1571">
        <v>0</v>
      </c>
      <c r="M1571" t="s">
        <v>52</v>
      </c>
      <c r="N1571">
        <v>1</v>
      </c>
      <c r="O1571" t="s">
        <v>63</v>
      </c>
      <c r="P1571" s="2">
        <v>0.54513888888888895</v>
      </c>
      <c r="Q1571">
        <f>-0.0009960835*3600</f>
        <v>-3.5859006</v>
      </c>
      <c r="R1571">
        <f>-0.0031909407*3600</f>
        <v>-11.487386519999999</v>
      </c>
    </row>
    <row r="1572" spans="1:18" x14ac:dyDescent="0.3">
      <c r="A1572" t="s">
        <v>47</v>
      </c>
      <c r="B1572" s="9" t="s">
        <v>359</v>
      </c>
      <c r="C1572">
        <v>98.562486000000007</v>
      </c>
      <c r="D1572">
        <v>300.29482999999999</v>
      </c>
      <c r="E1572">
        <v>13.128</v>
      </c>
      <c r="F1572">
        <v>13.125500000000001</v>
      </c>
      <c r="G1572">
        <v>0.23899999999999999</v>
      </c>
      <c r="H1572">
        <v>0</v>
      </c>
      <c r="I1572">
        <v>2</v>
      </c>
      <c r="J1572" t="s">
        <v>0</v>
      </c>
      <c r="K1572" t="s">
        <v>61</v>
      </c>
      <c r="L1572">
        <v>0</v>
      </c>
      <c r="M1572" t="s">
        <v>52</v>
      </c>
      <c r="N1572">
        <v>1</v>
      </c>
      <c r="O1572" t="s">
        <v>63</v>
      </c>
      <c r="P1572" s="2">
        <v>0.54513888888888895</v>
      </c>
      <c r="Q1572">
        <f>-0.0009914303*3600</f>
        <v>-3.5691490800000003</v>
      </c>
      <c r="R1572">
        <f>-0.0031982274*3600</f>
        <v>-11.513618639999999</v>
      </c>
    </row>
    <row r="1573" spans="1:18" x14ac:dyDescent="0.3">
      <c r="A1573" t="s">
        <v>47</v>
      </c>
      <c r="B1573" s="9" t="s">
        <v>359</v>
      </c>
      <c r="C1573">
        <v>98.562799999999996</v>
      </c>
      <c r="D1573">
        <v>300.29494</v>
      </c>
      <c r="E1573">
        <v>13.128</v>
      </c>
      <c r="F1573">
        <v>13.125500000000001</v>
      </c>
      <c r="G1573">
        <v>0.23899999999999999</v>
      </c>
      <c r="H1573">
        <v>0</v>
      </c>
      <c r="I1573">
        <v>2</v>
      </c>
      <c r="J1573" t="s">
        <v>0</v>
      </c>
      <c r="K1573" t="s">
        <v>61</v>
      </c>
      <c r="L1573">
        <v>0</v>
      </c>
      <c r="M1573" t="s">
        <v>52</v>
      </c>
      <c r="N1573">
        <v>1</v>
      </c>
      <c r="O1573" t="s">
        <v>63</v>
      </c>
      <c r="P1573" s="2">
        <v>0.54513888888888895</v>
      </c>
      <c r="Q1573">
        <f>-0.0007964439*3600</f>
        <v>-2.8671980399999999</v>
      </c>
      <c r="R1573">
        <f>-0.0030759032*3600</f>
        <v>-11.073251520000001</v>
      </c>
    </row>
    <row r="1574" spans="1:18" x14ac:dyDescent="0.3">
      <c r="A1574" t="s">
        <v>47</v>
      </c>
      <c r="B1574" s="9" t="s">
        <v>359</v>
      </c>
      <c r="C1574">
        <v>98.562516000000002</v>
      </c>
      <c r="D1574">
        <v>300.29494699999998</v>
      </c>
      <c r="E1574">
        <v>13.128</v>
      </c>
      <c r="F1574">
        <v>13.125500000000001</v>
      </c>
      <c r="G1574">
        <v>0.23899999999999999</v>
      </c>
      <c r="H1574">
        <v>0</v>
      </c>
      <c r="I1574">
        <v>2</v>
      </c>
      <c r="J1574" t="s">
        <v>0</v>
      </c>
      <c r="K1574" t="s">
        <v>61</v>
      </c>
      <c r="L1574">
        <v>0</v>
      </c>
      <c r="M1574" t="s">
        <v>52</v>
      </c>
      <c r="N1574">
        <v>1</v>
      </c>
      <c r="O1574" t="s">
        <v>63</v>
      </c>
      <c r="P1574" s="2">
        <v>0.54513888888888895</v>
      </c>
      <c r="Q1574">
        <f>-0.0007449904*3600</f>
        <v>-2.6819654399999999</v>
      </c>
      <c r="R1574">
        <f>-0.0030685717*3600</f>
        <v>-11.046858120000001</v>
      </c>
    </row>
    <row r="1575" spans="1:18" x14ac:dyDescent="0.3">
      <c r="A1575" t="s">
        <v>47</v>
      </c>
      <c r="B1575" s="9" t="s">
        <v>359</v>
      </c>
      <c r="C1575">
        <v>98.563473999999999</v>
      </c>
      <c r="D1575">
        <v>300.29497099999998</v>
      </c>
      <c r="E1575">
        <v>13.128</v>
      </c>
      <c r="F1575">
        <v>13.125500000000001</v>
      </c>
      <c r="G1575">
        <v>0.23899999999999999</v>
      </c>
      <c r="H1575">
        <v>0</v>
      </c>
      <c r="I1575">
        <v>2</v>
      </c>
      <c r="J1575" t="s">
        <v>0</v>
      </c>
      <c r="K1575" t="s">
        <v>61</v>
      </c>
      <c r="L1575">
        <v>0</v>
      </c>
      <c r="M1575" t="s">
        <v>52</v>
      </c>
      <c r="N1575">
        <v>1</v>
      </c>
      <c r="O1575" t="s">
        <v>63</v>
      </c>
      <c r="P1575" s="2">
        <v>0.54513888888888895</v>
      </c>
      <c r="Q1575">
        <f>-0.0007289088*3600</f>
        <v>-2.6240716799999997</v>
      </c>
      <c r="R1575">
        <f>-0.0030556076*3600</f>
        <v>-11.00018736</v>
      </c>
    </row>
    <row r="1576" spans="1:18" x14ac:dyDescent="0.3">
      <c r="A1576" t="s">
        <v>47</v>
      </c>
      <c r="B1576" s="9" t="s">
        <v>359</v>
      </c>
      <c r="C1576">
        <v>98.563474999999997</v>
      </c>
      <c r="D1576">
        <v>300.29483399999998</v>
      </c>
      <c r="E1576">
        <v>13.128</v>
      </c>
      <c r="F1576">
        <v>13.125500000000001</v>
      </c>
      <c r="G1576">
        <v>0.23899999999999999</v>
      </c>
      <c r="H1576">
        <v>0</v>
      </c>
      <c r="I1576">
        <v>2</v>
      </c>
      <c r="J1576" t="s">
        <v>0</v>
      </c>
      <c r="K1576" t="s">
        <v>61</v>
      </c>
      <c r="L1576">
        <v>0</v>
      </c>
      <c r="M1576" t="s">
        <v>52</v>
      </c>
      <c r="N1576">
        <v>1</v>
      </c>
      <c r="O1576" t="s">
        <v>63</v>
      </c>
      <c r="P1576" s="2">
        <v>0.54513888888888895</v>
      </c>
      <c r="Q1576">
        <f>-0.0008693061*3600</f>
        <v>-3.1295019599999998</v>
      </c>
      <c r="R1576">
        <f>-0.0031925706*3600</f>
        <v>-11.493254159999999</v>
      </c>
    </row>
    <row r="1577" spans="1:18" x14ac:dyDescent="0.3">
      <c r="A1577" t="s">
        <v>47</v>
      </c>
      <c r="B1577" s="9" t="s">
        <v>359</v>
      </c>
      <c r="C1577">
        <v>98.562860999999998</v>
      </c>
      <c r="D1577">
        <v>300.294894</v>
      </c>
      <c r="E1577">
        <v>13.128</v>
      </c>
      <c r="F1577">
        <v>13.125500000000001</v>
      </c>
      <c r="G1577">
        <v>0.23899999999999999</v>
      </c>
      <c r="H1577">
        <v>0</v>
      </c>
      <c r="I1577">
        <v>2</v>
      </c>
      <c r="J1577" t="s">
        <v>0</v>
      </c>
      <c r="K1577" t="s">
        <v>61</v>
      </c>
      <c r="L1577">
        <v>0</v>
      </c>
      <c r="M1577" t="s">
        <v>52</v>
      </c>
      <c r="N1577">
        <v>1</v>
      </c>
      <c r="O1577" t="s">
        <v>63</v>
      </c>
      <c r="P1577" s="2">
        <v>0.54513888888888895</v>
      </c>
      <c r="Q1577">
        <f>-0.0008642183*3600</f>
        <v>-3.1111858800000003</v>
      </c>
      <c r="R1577">
        <f>-0.0031456259*3600</f>
        <v>-11.324253239999999</v>
      </c>
    </row>
    <row r="1578" spans="1:18" x14ac:dyDescent="0.3">
      <c r="A1578" t="s">
        <v>47</v>
      </c>
      <c r="B1578" s="9" t="s">
        <v>359</v>
      </c>
      <c r="C1578">
        <v>98.562567000000001</v>
      </c>
      <c r="D1578">
        <v>300.29489599999999</v>
      </c>
      <c r="E1578">
        <v>13.128</v>
      </c>
      <c r="F1578">
        <v>13.125500000000001</v>
      </c>
      <c r="G1578">
        <v>0.23899999999999999</v>
      </c>
      <c r="H1578">
        <v>0</v>
      </c>
      <c r="I1578">
        <v>2</v>
      </c>
      <c r="J1578" t="s">
        <v>0</v>
      </c>
      <c r="K1578" t="s">
        <v>61</v>
      </c>
      <c r="L1578">
        <v>0</v>
      </c>
      <c r="M1578" t="s">
        <v>52</v>
      </c>
      <c r="N1578">
        <v>1</v>
      </c>
      <c r="O1578" t="s">
        <v>63</v>
      </c>
      <c r="P1578" s="2">
        <v>0.54513888888888895</v>
      </c>
      <c r="Q1578">
        <f>-0.0009294088*3600</f>
        <v>-3.3458716800000001</v>
      </c>
      <c r="R1578">
        <f>-0.0031300192*3600</f>
        <v>-11.26806912</v>
      </c>
    </row>
    <row r="1579" spans="1:18" x14ac:dyDescent="0.3">
      <c r="A1579" t="s">
        <v>47</v>
      </c>
      <c r="B1579" s="9" t="s">
        <v>359</v>
      </c>
      <c r="C1579">
        <v>98.563112000000004</v>
      </c>
      <c r="D1579">
        <v>300.29487599999999</v>
      </c>
      <c r="E1579">
        <v>13.128</v>
      </c>
      <c r="F1579">
        <v>13.125500000000001</v>
      </c>
      <c r="G1579">
        <v>0.23899999999999999</v>
      </c>
      <c r="H1579">
        <v>0</v>
      </c>
      <c r="I1579">
        <v>2</v>
      </c>
      <c r="J1579" t="s">
        <v>0</v>
      </c>
      <c r="K1579" t="s">
        <v>61</v>
      </c>
      <c r="L1579">
        <v>0</v>
      </c>
      <c r="M1579" t="s">
        <v>52</v>
      </c>
      <c r="N1579">
        <v>1</v>
      </c>
      <c r="O1579" t="s">
        <v>63</v>
      </c>
      <c r="P1579" s="2">
        <v>0.54513888888888895</v>
      </c>
      <c r="Q1579">
        <f>-0.000872835*3600</f>
        <v>-3.1422059999999998</v>
      </c>
      <c r="R1579">
        <f>-0.0031618489*3600</f>
        <v>-11.382656040000001</v>
      </c>
    </row>
    <row r="1580" spans="1:18" x14ac:dyDescent="0.3">
      <c r="A1580" t="s">
        <v>47</v>
      </c>
      <c r="B1580" s="9" t="s">
        <v>359</v>
      </c>
      <c r="C1580">
        <v>98.563608000000002</v>
      </c>
      <c r="D1580">
        <v>300.29493300000001</v>
      </c>
      <c r="E1580">
        <v>13.128</v>
      </c>
      <c r="F1580">
        <v>13.125500000000001</v>
      </c>
      <c r="G1580">
        <v>0.23899999999999999</v>
      </c>
      <c r="H1580">
        <v>0</v>
      </c>
      <c r="I1580">
        <v>2</v>
      </c>
      <c r="J1580" t="s">
        <v>0</v>
      </c>
      <c r="K1580" t="s">
        <v>61</v>
      </c>
      <c r="L1580">
        <v>0</v>
      </c>
      <c r="M1580" t="s">
        <v>52</v>
      </c>
      <c r="N1580">
        <v>1</v>
      </c>
      <c r="O1580" t="s">
        <v>63</v>
      </c>
      <c r="P1580" s="2">
        <v>0.54513888888888895</v>
      </c>
      <c r="Q1580">
        <f>-0.000663097*3600</f>
        <v>-2.3871492000000001</v>
      </c>
      <c r="R1580">
        <f>-0.0030776846*3600</f>
        <v>-11.079664559999999</v>
      </c>
    </row>
    <row r="1581" spans="1:18" x14ac:dyDescent="0.3">
      <c r="A1581" t="s">
        <v>47</v>
      </c>
      <c r="B1581" s="9" t="s">
        <v>359</v>
      </c>
      <c r="C1581">
        <v>98.563301999999993</v>
      </c>
      <c r="D1581">
        <v>300.29487899999998</v>
      </c>
      <c r="E1581">
        <v>13.128</v>
      </c>
      <c r="F1581">
        <v>13.125500000000001</v>
      </c>
      <c r="G1581">
        <v>0.23899999999999999</v>
      </c>
      <c r="H1581">
        <v>0</v>
      </c>
      <c r="I1581">
        <v>2</v>
      </c>
      <c r="J1581" t="s">
        <v>0</v>
      </c>
      <c r="K1581" t="s">
        <v>61</v>
      </c>
      <c r="L1581">
        <v>0</v>
      </c>
      <c r="M1581" t="s">
        <v>52</v>
      </c>
      <c r="N1581">
        <v>1</v>
      </c>
      <c r="O1581" t="s">
        <v>63</v>
      </c>
      <c r="P1581" s="2">
        <v>0.54513888888888895</v>
      </c>
      <c r="Q1581">
        <f>-0.0008859477*3600</f>
        <v>-3.1894117199999998</v>
      </c>
      <c r="R1581">
        <f>-0.0031436261*3600</f>
        <v>-11.317053960000001</v>
      </c>
    </row>
    <row r="1582" spans="1:18" x14ac:dyDescent="0.3">
      <c r="A1582" t="s">
        <v>47</v>
      </c>
      <c r="B1582" s="9" t="s">
        <v>359</v>
      </c>
      <c r="C1582">
        <v>98.562062999999995</v>
      </c>
      <c r="D1582">
        <v>300.294826</v>
      </c>
      <c r="E1582">
        <v>13.128</v>
      </c>
      <c r="F1582">
        <v>13.125500000000001</v>
      </c>
      <c r="G1582">
        <v>0.23899999999999999</v>
      </c>
      <c r="H1582">
        <v>0</v>
      </c>
      <c r="I1582">
        <v>2</v>
      </c>
      <c r="J1582" t="s">
        <v>0</v>
      </c>
      <c r="K1582" t="s">
        <v>61</v>
      </c>
      <c r="L1582">
        <v>0</v>
      </c>
      <c r="M1582" t="s">
        <v>52</v>
      </c>
      <c r="N1582">
        <v>1</v>
      </c>
      <c r="O1582" t="s">
        <v>63</v>
      </c>
      <c r="P1582" s="2">
        <v>0.54513888888888895</v>
      </c>
      <c r="Q1582">
        <f>-0.0009288042*3600</f>
        <v>-3.34369512</v>
      </c>
      <c r="R1582">
        <f>-0.0031700435*3600</f>
        <v>-11.412156600000001</v>
      </c>
    </row>
    <row r="1583" spans="1:18" x14ac:dyDescent="0.3">
      <c r="A1583" t="s">
        <v>47</v>
      </c>
      <c r="B1583" s="9" t="s">
        <v>359</v>
      </c>
      <c r="C1583">
        <v>98.563595000000007</v>
      </c>
      <c r="D1583">
        <v>300.29488800000001</v>
      </c>
      <c r="E1583">
        <v>13.128</v>
      </c>
      <c r="F1583">
        <v>13.125500000000001</v>
      </c>
      <c r="G1583">
        <v>0.23899999999999999</v>
      </c>
      <c r="H1583">
        <v>0</v>
      </c>
      <c r="I1583">
        <v>2</v>
      </c>
      <c r="J1583" t="s">
        <v>0</v>
      </c>
      <c r="K1583" t="s">
        <v>61</v>
      </c>
      <c r="L1583">
        <v>0</v>
      </c>
      <c r="M1583" t="s">
        <v>52</v>
      </c>
      <c r="N1583">
        <v>1</v>
      </c>
      <c r="O1583" t="s">
        <v>63</v>
      </c>
      <c r="P1583" s="2">
        <v>0.54513888888888895</v>
      </c>
      <c r="Q1583">
        <f>-0.0008170965*3600</f>
        <v>-2.9415473999999997</v>
      </c>
      <c r="R1583">
        <f>-0.0031229971*3600</f>
        <v>-11.242789559999999</v>
      </c>
    </row>
    <row r="1584" spans="1:18" x14ac:dyDescent="0.3">
      <c r="A1584" t="s">
        <v>47</v>
      </c>
      <c r="B1584" s="9" t="s">
        <v>359</v>
      </c>
      <c r="C1584">
        <v>98.563027000000005</v>
      </c>
      <c r="D1584">
        <v>300.29480599999999</v>
      </c>
      <c r="E1584">
        <v>13.128</v>
      </c>
      <c r="F1584">
        <v>13.125500000000001</v>
      </c>
      <c r="G1584">
        <v>0.23899999999999999</v>
      </c>
      <c r="H1584">
        <v>0</v>
      </c>
      <c r="I1584">
        <v>2</v>
      </c>
      <c r="J1584" t="s">
        <v>0</v>
      </c>
      <c r="K1584" t="s">
        <v>61</v>
      </c>
      <c r="L1584">
        <v>0</v>
      </c>
      <c r="M1584" t="s">
        <v>52</v>
      </c>
      <c r="N1584">
        <v>1</v>
      </c>
      <c r="O1584" t="s">
        <v>63</v>
      </c>
      <c r="P1584" s="2">
        <v>0.54513888888888895</v>
      </c>
      <c r="Q1584">
        <f>-0.0008841053*3600</f>
        <v>-3.18277908</v>
      </c>
      <c r="R1584">
        <f>-0.0032069662*3600</f>
        <v>-11.54507832</v>
      </c>
    </row>
    <row r="1585" spans="1:18" x14ac:dyDescent="0.3">
      <c r="A1585" t="s">
        <v>47</v>
      </c>
      <c r="B1585" s="9" t="s">
        <v>359</v>
      </c>
      <c r="C1585">
        <v>98.563530999999998</v>
      </c>
      <c r="D1585">
        <v>300.29494599999998</v>
      </c>
      <c r="E1585">
        <v>13.128</v>
      </c>
      <c r="F1585">
        <v>13.125500000000001</v>
      </c>
      <c r="G1585">
        <v>0.23899999999999999</v>
      </c>
      <c r="H1585">
        <v>0</v>
      </c>
      <c r="I1585">
        <v>2</v>
      </c>
      <c r="J1585" t="s">
        <v>0</v>
      </c>
      <c r="K1585" t="s">
        <v>61</v>
      </c>
      <c r="L1585">
        <v>0</v>
      </c>
      <c r="M1585" t="s">
        <v>52</v>
      </c>
      <c r="N1585">
        <v>1</v>
      </c>
      <c r="O1585" t="s">
        <v>63</v>
      </c>
      <c r="P1585" s="2">
        <v>0.54513888888888895</v>
      </c>
      <c r="Q1585">
        <f>-0.0008171359*3600</f>
        <v>-2.9416892399999996</v>
      </c>
      <c r="R1585">
        <f>-0.0030815128*3600</f>
        <v>-11.09344608</v>
      </c>
    </row>
    <row r="1586" spans="1:18" x14ac:dyDescent="0.3">
      <c r="A1586" t="s">
        <v>47</v>
      </c>
      <c r="B1586" s="9" t="s">
        <v>359</v>
      </c>
      <c r="C1586">
        <v>98.563710999999998</v>
      </c>
      <c r="D1586">
        <v>300.29490800000002</v>
      </c>
      <c r="E1586">
        <v>13.128</v>
      </c>
      <c r="F1586">
        <v>13.125500000000001</v>
      </c>
      <c r="G1586">
        <v>0.23899999999999999</v>
      </c>
      <c r="H1586">
        <v>0</v>
      </c>
      <c r="I1586">
        <v>2</v>
      </c>
      <c r="J1586" t="s">
        <v>0</v>
      </c>
      <c r="K1586" t="s">
        <v>61</v>
      </c>
      <c r="L1586">
        <v>0</v>
      </c>
      <c r="M1586" t="s">
        <v>52</v>
      </c>
      <c r="N1586">
        <v>1</v>
      </c>
      <c r="O1586" t="s">
        <v>63</v>
      </c>
      <c r="P1586" s="2">
        <v>0.54513888888888895</v>
      </c>
      <c r="Q1586">
        <f>-0.0009916061*3600</f>
        <v>-3.5697819599999998</v>
      </c>
      <c r="R1586">
        <f>-0.0031297192*3600</f>
        <v>-11.26698912</v>
      </c>
    </row>
    <row r="1587" spans="1:18" x14ac:dyDescent="0.3">
      <c r="A1587" t="s">
        <v>47</v>
      </c>
      <c r="B1587" s="9" t="s">
        <v>359</v>
      </c>
      <c r="C1587">
        <v>98.562816999999995</v>
      </c>
      <c r="D1587">
        <v>300.29492099999999</v>
      </c>
      <c r="E1587">
        <v>13.128</v>
      </c>
      <c r="F1587">
        <v>13.125500000000001</v>
      </c>
      <c r="G1587">
        <v>0.23899999999999999</v>
      </c>
      <c r="H1587">
        <v>0</v>
      </c>
      <c r="I1587">
        <v>2</v>
      </c>
      <c r="J1587" t="s">
        <v>0</v>
      </c>
      <c r="K1587" t="s">
        <v>61</v>
      </c>
      <c r="L1587">
        <v>0</v>
      </c>
      <c r="M1587" t="s">
        <v>52</v>
      </c>
      <c r="N1587">
        <v>1</v>
      </c>
      <c r="O1587" t="s">
        <v>63</v>
      </c>
      <c r="P1587" s="2">
        <v>0.54513888888888895</v>
      </c>
      <c r="Q1587">
        <f>-0.0009283686*3600</f>
        <v>-3.3421269600000003</v>
      </c>
      <c r="R1587">
        <f>-0.0031103699*3600</f>
        <v>-11.19733164</v>
      </c>
    </row>
    <row r="1588" spans="1:18" x14ac:dyDescent="0.3">
      <c r="A1588" t="s">
        <v>47</v>
      </c>
      <c r="B1588" s="9" t="s">
        <v>359</v>
      </c>
      <c r="C1588">
        <v>98.563491999999997</v>
      </c>
      <c r="D1588">
        <v>300.294982</v>
      </c>
      <c r="E1588">
        <v>13.128</v>
      </c>
      <c r="F1588">
        <v>13.125500000000001</v>
      </c>
      <c r="G1588">
        <v>0.23899999999999999</v>
      </c>
      <c r="H1588">
        <v>0</v>
      </c>
      <c r="I1588">
        <v>2</v>
      </c>
      <c r="J1588" t="s">
        <v>0</v>
      </c>
      <c r="K1588" t="s">
        <v>61</v>
      </c>
      <c r="L1588">
        <v>0</v>
      </c>
      <c r="M1588" t="s">
        <v>52</v>
      </c>
      <c r="N1588">
        <v>1</v>
      </c>
      <c r="O1588" t="s">
        <v>63</v>
      </c>
      <c r="P1588" s="2">
        <v>0.54513888888888895</v>
      </c>
      <c r="Q1588">
        <f>-0.0008261896*3600</f>
        <v>-2.9742825599999998</v>
      </c>
      <c r="R1588">
        <f>-0.0030718065*3600</f>
        <v>-11.058503399999999</v>
      </c>
    </row>
    <row r="1589" spans="1:18" x14ac:dyDescent="0.3">
      <c r="A1589" t="s">
        <v>47</v>
      </c>
      <c r="B1589" s="9" t="s">
        <v>359</v>
      </c>
      <c r="C1589">
        <v>98.563160999999994</v>
      </c>
      <c r="D1589">
        <v>300.29488500000002</v>
      </c>
      <c r="E1589">
        <v>13.128</v>
      </c>
      <c r="F1589">
        <v>13.125500000000001</v>
      </c>
      <c r="G1589">
        <v>0.23899999999999999</v>
      </c>
      <c r="H1589">
        <v>0</v>
      </c>
      <c r="I1589">
        <v>2</v>
      </c>
      <c r="J1589" t="s">
        <v>0</v>
      </c>
      <c r="K1589" t="s">
        <v>61</v>
      </c>
      <c r="L1589">
        <v>0</v>
      </c>
      <c r="M1589" t="s">
        <v>52</v>
      </c>
      <c r="N1589">
        <v>1</v>
      </c>
      <c r="O1589" t="s">
        <v>63</v>
      </c>
      <c r="P1589" s="2">
        <v>0.54513888888888895</v>
      </c>
      <c r="Q1589">
        <f>-0.0008298959*3600</f>
        <v>-2.9876252399999998</v>
      </c>
      <c r="R1589">
        <f>-0.0031463194*3600</f>
        <v>-11.32674984</v>
      </c>
    </row>
    <row r="1590" spans="1:18" x14ac:dyDescent="0.3">
      <c r="A1590" t="s">
        <v>47</v>
      </c>
      <c r="B1590" s="9" t="s">
        <v>359</v>
      </c>
      <c r="C1590">
        <v>98.563883000000004</v>
      </c>
      <c r="D1590">
        <v>300.29490900000002</v>
      </c>
      <c r="E1590">
        <v>13.128</v>
      </c>
      <c r="F1590">
        <v>13.125500000000001</v>
      </c>
      <c r="G1590">
        <v>0.23899999999999999</v>
      </c>
      <c r="H1590">
        <v>0</v>
      </c>
      <c r="I1590">
        <v>2</v>
      </c>
      <c r="J1590" t="s">
        <v>0</v>
      </c>
      <c r="K1590" t="s">
        <v>61</v>
      </c>
      <c r="L1590">
        <v>0</v>
      </c>
      <c r="M1590" t="s">
        <v>52</v>
      </c>
      <c r="N1590">
        <v>1</v>
      </c>
      <c r="O1590" t="s">
        <v>63</v>
      </c>
      <c r="P1590" s="2">
        <v>0.54513888888888895</v>
      </c>
      <c r="Q1590">
        <f>-0.0008456157*3600</f>
        <v>-3.04421652</v>
      </c>
      <c r="R1590">
        <f>-0.0031295295*3600</f>
        <v>-11.266306200000001</v>
      </c>
    </row>
    <row r="1591" spans="1:18" x14ac:dyDescent="0.3">
      <c r="A1591" t="s">
        <v>47</v>
      </c>
      <c r="B1591" s="9" t="s">
        <v>359</v>
      </c>
      <c r="C1591">
        <v>98.563986</v>
      </c>
      <c r="D1591">
        <v>300.29489999999998</v>
      </c>
      <c r="E1591">
        <v>13.128</v>
      </c>
      <c r="F1591">
        <v>13.125500000000001</v>
      </c>
      <c r="G1591">
        <v>0.23899999999999999</v>
      </c>
      <c r="H1591">
        <v>0</v>
      </c>
      <c r="I1591">
        <v>2</v>
      </c>
      <c r="J1591" t="s">
        <v>0</v>
      </c>
      <c r="K1591" t="s">
        <v>61</v>
      </c>
      <c r="L1591">
        <v>0</v>
      </c>
      <c r="M1591" t="s">
        <v>52</v>
      </c>
      <c r="N1591">
        <v>1</v>
      </c>
      <c r="O1591" t="s">
        <v>63</v>
      </c>
      <c r="P1591" s="2">
        <v>0.54513888888888895</v>
      </c>
      <c r="Q1591">
        <f>-0.0008254648*3600</f>
        <v>-2.9716732800000001</v>
      </c>
      <c r="R1591">
        <f>-0.0031370044*3600</f>
        <v>-11.293215839999998</v>
      </c>
    </row>
    <row r="1592" spans="1:18" x14ac:dyDescent="0.3">
      <c r="A1592" t="s">
        <v>47</v>
      </c>
      <c r="B1592" s="9" t="s">
        <v>359</v>
      </c>
      <c r="C1592">
        <v>98.562663999999998</v>
      </c>
      <c r="D1592">
        <v>300.29493300000001</v>
      </c>
      <c r="E1592">
        <v>13.128</v>
      </c>
      <c r="F1592">
        <v>13.125500000000001</v>
      </c>
      <c r="G1592">
        <v>0.23899999999999999</v>
      </c>
      <c r="H1592">
        <v>0</v>
      </c>
      <c r="I1592">
        <v>2</v>
      </c>
      <c r="J1592" t="s">
        <v>0</v>
      </c>
      <c r="K1592" t="s">
        <v>61</v>
      </c>
      <c r="L1592">
        <v>0</v>
      </c>
      <c r="M1592" t="s">
        <v>52</v>
      </c>
      <c r="N1592">
        <v>1</v>
      </c>
      <c r="O1592" t="s">
        <v>63</v>
      </c>
      <c r="P1592" s="2">
        <v>0.54513888888888895</v>
      </c>
      <c r="Q1592">
        <f>-0.0009051882*3600</f>
        <v>-3.25867752</v>
      </c>
      <c r="R1592">
        <f>-0.0030967001*3600</f>
        <v>-11.14812036</v>
      </c>
    </row>
    <row r="1593" spans="1:18" x14ac:dyDescent="0.3">
      <c r="A1593" t="s">
        <v>47</v>
      </c>
      <c r="B1593" s="9" t="s">
        <v>359</v>
      </c>
      <c r="C1593">
        <v>98.561909999999997</v>
      </c>
      <c r="D1593">
        <v>300.29492199999999</v>
      </c>
      <c r="E1593">
        <v>13.128</v>
      </c>
      <c r="F1593">
        <v>13.125500000000001</v>
      </c>
      <c r="G1593">
        <v>0.23899999999999999</v>
      </c>
      <c r="H1593">
        <v>0</v>
      </c>
      <c r="I1593">
        <v>2</v>
      </c>
      <c r="J1593" t="s">
        <v>0</v>
      </c>
      <c r="K1593" t="s">
        <v>61</v>
      </c>
      <c r="L1593">
        <v>0</v>
      </c>
      <c r="M1593" t="s">
        <v>52</v>
      </c>
      <c r="N1593">
        <v>1</v>
      </c>
      <c r="O1593" t="s">
        <v>63</v>
      </c>
      <c r="P1593" s="2">
        <v>0.54513888888888895</v>
      </c>
      <c r="Q1593">
        <f>-0.0009432119*3600</f>
        <v>-3.3955628399999997</v>
      </c>
      <c r="R1593">
        <f>-0.0031089832*3600</f>
        <v>-11.192339520000001</v>
      </c>
    </row>
    <row r="1594" spans="1:18" x14ac:dyDescent="0.3">
      <c r="A1594" t="s">
        <v>47</v>
      </c>
      <c r="B1594" s="9" t="s">
        <v>359</v>
      </c>
      <c r="C1594">
        <v>98.562100999999998</v>
      </c>
      <c r="D1594">
        <v>300.29494699999998</v>
      </c>
      <c r="E1594">
        <v>13.128</v>
      </c>
      <c r="F1594">
        <v>13.125500000000001</v>
      </c>
      <c r="G1594">
        <v>0.23899999999999999</v>
      </c>
      <c r="H1594">
        <v>0</v>
      </c>
      <c r="I1594">
        <v>2</v>
      </c>
      <c r="J1594" t="s">
        <v>0</v>
      </c>
      <c r="K1594" t="s">
        <v>61</v>
      </c>
      <c r="L1594">
        <v>0</v>
      </c>
      <c r="M1594" t="s">
        <v>52</v>
      </c>
      <c r="N1594">
        <v>1</v>
      </c>
      <c r="O1594" t="s">
        <v>63</v>
      </c>
      <c r="P1594" s="2">
        <v>0.54513888888888895</v>
      </c>
      <c r="Q1594">
        <f>-0.0007938668*3600</f>
        <v>-2.8579204800000002</v>
      </c>
      <c r="R1594">
        <f>-0.0030878239*3600</f>
        <v>-11.11616604</v>
      </c>
    </row>
    <row r="1595" spans="1:18" x14ac:dyDescent="0.3">
      <c r="A1595" t="s">
        <v>47</v>
      </c>
      <c r="B1595" s="9" t="s">
        <v>359</v>
      </c>
      <c r="C1595">
        <v>98.563018</v>
      </c>
      <c r="D1595">
        <v>300.29491300000001</v>
      </c>
      <c r="E1595">
        <v>13.128</v>
      </c>
      <c r="F1595">
        <v>13.125500000000001</v>
      </c>
      <c r="G1595">
        <v>0.23899999999999999</v>
      </c>
      <c r="H1595">
        <v>0</v>
      </c>
      <c r="I1595">
        <v>2</v>
      </c>
      <c r="J1595" t="s">
        <v>0</v>
      </c>
      <c r="K1595" t="s">
        <v>61</v>
      </c>
      <c r="L1595">
        <v>0</v>
      </c>
      <c r="M1595" t="s">
        <v>52</v>
      </c>
      <c r="N1595">
        <v>1</v>
      </c>
      <c r="O1595" t="s">
        <v>63</v>
      </c>
      <c r="P1595" s="2">
        <v>0.54583333333333328</v>
      </c>
      <c r="Q1595">
        <f>-0.0008183017*3600</f>
        <v>-2.9458861199999999</v>
      </c>
      <c r="R1595">
        <f>-0.0031210948*3600</f>
        <v>-11.235941279999999</v>
      </c>
    </row>
    <row r="1596" spans="1:18" x14ac:dyDescent="0.3">
      <c r="A1596" t="s">
        <v>47</v>
      </c>
      <c r="B1596" s="9" t="s">
        <v>359</v>
      </c>
      <c r="C1596">
        <v>98.563446999999996</v>
      </c>
      <c r="D1596">
        <v>300.29494299999999</v>
      </c>
      <c r="E1596">
        <v>13.128</v>
      </c>
      <c r="F1596">
        <v>13.125500000000001</v>
      </c>
      <c r="G1596">
        <v>0.23899999999999999</v>
      </c>
      <c r="H1596">
        <v>0</v>
      </c>
      <c r="I1596">
        <v>2</v>
      </c>
      <c r="J1596" t="s">
        <v>0</v>
      </c>
      <c r="K1596" t="s">
        <v>61</v>
      </c>
      <c r="L1596">
        <v>0</v>
      </c>
      <c r="M1596" t="s">
        <v>52</v>
      </c>
      <c r="N1596">
        <v>1</v>
      </c>
      <c r="O1596" t="s">
        <v>63</v>
      </c>
      <c r="P1596" s="2">
        <v>0.54583333333333328</v>
      </c>
      <c r="Q1596">
        <f>-0.0008095795*3600</f>
        <v>-2.9144861999999998</v>
      </c>
      <c r="R1596">
        <f>-0.0030982806*3600</f>
        <v>-11.153810159999999</v>
      </c>
    </row>
    <row r="1597" spans="1:18" x14ac:dyDescent="0.3">
      <c r="A1597" t="s">
        <v>47</v>
      </c>
      <c r="B1597" s="9" t="s">
        <v>359</v>
      </c>
      <c r="C1597">
        <v>98.563344999999998</v>
      </c>
      <c r="D1597">
        <v>300.29486700000001</v>
      </c>
      <c r="E1597">
        <v>13.128</v>
      </c>
      <c r="F1597">
        <v>13.125500000000001</v>
      </c>
      <c r="G1597">
        <v>0.23899999999999999</v>
      </c>
      <c r="H1597">
        <v>0</v>
      </c>
      <c r="I1597">
        <v>2</v>
      </c>
      <c r="J1597" t="s">
        <v>0</v>
      </c>
      <c r="K1597" t="s">
        <v>61</v>
      </c>
      <c r="L1597">
        <v>0</v>
      </c>
      <c r="M1597" t="s">
        <v>52</v>
      </c>
      <c r="N1597">
        <v>1</v>
      </c>
      <c r="O1597" t="s">
        <v>63</v>
      </c>
      <c r="P1597" s="2">
        <v>0.54583333333333328</v>
      </c>
      <c r="Q1597">
        <f>-0.0009005687*3600</f>
        <v>-3.2420473200000002</v>
      </c>
      <c r="R1597">
        <f>-0.0031595988*3600</f>
        <v>-11.37455568</v>
      </c>
    </row>
    <row r="1598" spans="1:18" x14ac:dyDescent="0.3">
      <c r="A1598" t="s">
        <v>47</v>
      </c>
      <c r="B1598" s="9" t="s">
        <v>359</v>
      </c>
      <c r="C1598">
        <v>98.562753000000001</v>
      </c>
      <c r="D1598">
        <v>300.29486900000001</v>
      </c>
      <c r="E1598">
        <v>13.128</v>
      </c>
      <c r="F1598">
        <v>13.125500000000001</v>
      </c>
      <c r="G1598">
        <v>0.23899999999999999</v>
      </c>
      <c r="H1598">
        <v>0</v>
      </c>
      <c r="I1598">
        <v>2</v>
      </c>
      <c r="J1598" t="s">
        <v>0</v>
      </c>
      <c r="K1598" t="s">
        <v>61</v>
      </c>
      <c r="L1598">
        <v>0</v>
      </c>
      <c r="M1598" t="s">
        <v>52</v>
      </c>
      <c r="N1598">
        <v>1</v>
      </c>
      <c r="O1598" t="s">
        <v>63</v>
      </c>
      <c r="P1598" s="2">
        <v>0.54583333333333328</v>
      </c>
      <c r="Q1598">
        <f>-0.0008894726*3600</f>
        <v>-3.2021013599999999</v>
      </c>
      <c r="R1598">
        <f>-0.0031457879*3600</f>
        <v>-11.32483644</v>
      </c>
    </row>
    <row r="1599" spans="1:18" x14ac:dyDescent="0.3">
      <c r="A1599" t="s">
        <v>47</v>
      </c>
      <c r="B1599" s="9" t="s">
        <v>359</v>
      </c>
      <c r="C1599">
        <v>98.562854999999999</v>
      </c>
      <c r="D1599">
        <v>300.29490299999998</v>
      </c>
      <c r="E1599">
        <v>13.128</v>
      </c>
      <c r="F1599">
        <v>13.125500000000001</v>
      </c>
      <c r="G1599">
        <v>0.23899999999999999</v>
      </c>
      <c r="H1599">
        <v>0</v>
      </c>
      <c r="I1599">
        <v>2</v>
      </c>
      <c r="J1599" t="s">
        <v>0</v>
      </c>
      <c r="K1599" t="s">
        <v>61</v>
      </c>
      <c r="L1599">
        <v>0</v>
      </c>
      <c r="M1599" t="s">
        <v>52</v>
      </c>
      <c r="N1599">
        <v>1</v>
      </c>
      <c r="O1599" t="s">
        <v>63</v>
      </c>
      <c r="P1599" s="2">
        <v>0.54583333333333328</v>
      </c>
      <c r="Q1599">
        <f>-0.0009157742*3600</f>
        <v>-3.2967871199999998</v>
      </c>
      <c r="R1599">
        <f>-0.0031443213*3600</f>
        <v>-11.31955668</v>
      </c>
    </row>
    <row r="1600" spans="1:18" x14ac:dyDescent="0.3">
      <c r="A1600" t="s">
        <v>47</v>
      </c>
      <c r="B1600" s="9" t="s">
        <v>359</v>
      </c>
      <c r="C1600">
        <v>98.563192999999998</v>
      </c>
      <c r="D1600">
        <v>300.29497500000002</v>
      </c>
      <c r="E1600">
        <v>13.128</v>
      </c>
      <c r="F1600">
        <v>13.125500000000001</v>
      </c>
      <c r="G1600">
        <v>0.23899999999999999</v>
      </c>
      <c r="H1600">
        <v>0</v>
      </c>
      <c r="I1600">
        <v>2</v>
      </c>
      <c r="J1600" t="s">
        <v>0</v>
      </c>
      <c r="K1600" t="s">
        <v>61</v>
      </c>
      <c r="L1600">
        <v>0</v>
      </c>
      <c r="M1600" t="s">
        <v>52</v>
      </c>
      <c r="N1600">
        <v>1</v>
      </c>
      <c r="O1600" t="s">
        <v>63</v>
      </c>
      <c r="P1600" s="2">
        <v>0.54583333333333328</v>
      </c>
      <c r="Q1600">
        <f>-0.000854074*3600</f>
        <v>-3.0746663999999999</v>
      </c>
      <c r="R1600">
        <f>-0.0030677358*3600</f>
        <v>-11.043848880000001</v>
      </c>
    </row>
    <row r="1601" spans="1:18" x14ac:dyDescent="0.3">
      <c r="A1601" t="s">
        <v>47</v>
      </c>
      <c r="B1601" s="9" t="s">
        <v>359</v>
      </c>
      <c r="C1601">
        <v>98.563021000000006</v>
      </c>
      <c r="D1601">
        <v>300.29491999999999</v>
      </c>
      <c r="E1601">
        <v>13.128</v>
      </c>
      <c r="F1601">
        <v>13.125500000000001</v>
      </c>
      <c r="G1601">
        <v>0.23899999999999999</v>
      </c>
      <c r="H1601">
        <v>0</v>
      </c>
      <c r="I1601">
        <v>2</v>
      </c>
      <c r="J1601" t="s">
        <v>0</v>
      </c>
      <c r="K1601" t="s">
        <v>61</v>
      </c>
      <c r="L1601">
        <v>0</v>
      </c>
      <c r="M1601" t="s">
        <v>52</v>
      </c>
      <c r="N1601">
        <v>1</v>
      </c>
      <c r="O1601" t="s">
        <v>63</v>
      </c>
      <c r="P1601" s="2">
        <v>0.54583333333333328</v>
      </c>
      <c r="Q1601">
        <f>-0.0008873117*3600</f>
        <v>-3.1943221200000003</v>
      </c>
      <c r="R1601">
        <f>-0.0031227259*3600</f>
        <v>-11.241813240000001</v>
      </c>
    </row>
    <row r="1602" spans="1:18" x14ac:dyDescent="0.3">
      <c r="A1602" t="s">
        <v>47</v>
      </c>
      <c r="B1602" s="9" t="s">
        <v>359</v>
      </c>
      <c r="C1602">
        <v>98.562860000000001</v>
      </c>
      <c r="D1602">
        <v>300.29492699999997</v>
      </c>
      <c r="E1602">
        <v>13.128</v>
      </c>
      <c r="F1602">
        <v>13.125500000000001</v>
      </c>
      <c r="G1602">
        <v>0.23899999999999999</v>
      </c>
      <c r="H1602">
        <v>0</v>
      </c>
      <c r="I1602">
        <v>2</v>
      </c>
      <c r="J1602" t="s">
        <v>0</v>
      </c>
      <c r="K1602" t="s">
        <v>61</v>
      </c>
      <c r="L1602">
        <v>0</v>
      </c>
      <c r="M1602" t="s">
        <v>52</v>
      </c>
      <c r="N1602">
        <v>1</v>
      </c>
      <c r="O1602" t="s">
        <v>63</v>
      </c>
      <c r="P1602" s="2">
        <v>0.54583333333333328</v>
      </c>
      <c r="Q1602">
        <f>-0.0009295028*3600</f>
        <v>-3.3462100800000001</v>
      </c>
      <c r="R1602">
        <f>-0.0031103149*3600</f>
        <v>-11.197133640000001</v>
      </c>
    </row>
    <row r="1603" spans="1:18" x14ac:dyDescent="0.3">
      <c r="A1603" t="s">
        <v>47</v>
      </c>
      <c r="B1603" s="9" t="s">
        <v>359</v>
      </c>
      <c r="C1603">
        <v>98.561501000000007</v>
      </c>
      <c r="D1603">
        <v>300.29487799999998</v>
      </c>
      <c r="E1603">
        <v>13.128</v>
      </c>
      <c r="F1603">
        <v>13.125500000000001</v>
      </c>
      <c r="G1603">
        <v>0.23899999999999999</v>
      </c>
      <c r="H1603">
        <v>0</v>
      </c>
      <c r="I1603">
        <v>2</v>
      </c>
      <c r="J1603" t="s">
        <v>0</v>
      </c>
      <c r="K1603" t="s">
        <v>61</v>
      </c>
      <c r="L1603">
        <v>0</v>
      </c>
      <c r="M1603" t="s">
        <v>52</v>
      </c>
      <c r="N1603">
        <v>1</v>
      </c>
      <c r="O1603" t="s">
        <v>63</v>
      </c>
      <c r="P1603" s="2">
        <v>0.54583333333333328</v>
      </c>
      <c r="Q1603">
        <f>-0.0010088825*3600</f>
        <v>-3.631977</v>
      </c>
      <c r="R1603">
        <f>-0.0031608019*3600</f>
        <v>-11.37888684</v>
      </c>
    </row>
    <row r="1604" spans="1:18" x14ac:dyDescent="0.3">
      <c r="A1604" t="s">
        <v>47</v>
      </c>
      <c r="B1604" s="9" t="s">
        <v>359</v>
      </c>
      <c r="C1604">
        <v>98.561125000000004</v>
      </c>
      <c r="D1604">
        <v>300.294893</v>
      </c>
      <c r="E1604">
        <v>13.128</v>
      </c>
      <c r="F1604">
        <v>13.125500000000001</v>
      </c>
      <c r="G1604">
        <v>0.23899999999999999</v>
      </c>
      <c r="H1604">
        <v>0</v>
      </c>
      <c r="I1604">
        <v>2</v>
      </c>
      <c r="J1604" t="s">
        <v>0</v>
      </c>
      <c r="K1604" t="s">
        <v>61</v>
      </c>
      <c r="L1604">
        <v>0</v>
      </c>
      <c r="M1604" t="s">
        <v>52</v>
      </c>
      <c r="N1604">
        <v>1</v>
      </c>
      <c r="O1604" t="s">
        <v>63</v>
      </c>
      <c r="P1604" s="2">
        <v>0.54583333333333328</v>
      </c>
      <c r="Q1604">
        <f>-0.0009290084*3600</f>
        <v>-3.3444302399999999</v>
      </c>
      <c r="R1604">
        <f>-0.0031471723*3600</f>
        <v>-11.32982028</v>
      </c>
    </row>
    <row r="1605" spans="1:18" x14ac:dyDescent="0.3">
      <c r="A1605" t="s">
        <v>47</v>
      </c>
      <c r="B1605" s="9" t="s">
        <v>359</v>
      </c>
      <c r="C1605">
        <v>98.563288</v>
      </c>
      <c r="D1605">
        <v>300.29486500000002</v>
      </c>
      <c r="E1605">
        <v>13.128</v>
      </c>
      <c r="F1605">
        <v>13.125500000000001</v>
      </c>
      <c r="G1605">
        <v>0.23899999999999999</v>
      </c>
      <c r="H1605">
        <v>0</v>
      </c>
      <c r="I1605">
        <v>2</v>
      </c>
      <c r="J1605" t="s">
        <v>0</v>
      </c>
      <c r="K1605" t="s">
        <v>61</v>
      </c>
      <c r="L1605">
        <v>0</v>
      </c>
      <c r="M1605" t="s">
        <v>52</v>
      </c>
      <c r="N1605">
        <v>1</v>
      </c>
      <c r="O1605" t="s">
        <v>63</v>
      </c>
      <c r="P1605" s="2">
        <v>0.54583333333333328</v>
      </c>
      <c r="Q1605">
        <f>-0.0008932437*3600</f>
        <v>-3.2156773199999997</v>
      </c>
      <c r="R1605">
        <f>-0.0031853094*3600</f>
        <v>-11.46711384</v>
      </c>
    </row>
    <row r="1606" spans="1:18" x14ac:dyDescent="0.3">
      <c r="A1606" t="s">
        <v>47</v>
      </c>
      <c r="B1606" s="9" t="s">
        <v>359</v>
      </c>
      <c r="C1606">
        <v>98.563783000000001</v>
      </c>
      <c r="D1606">
        <v>300.29488600000002</v>
      </c>
      <c r="E1606">
        <v>13.128</v>
      </c>
      <c r="F1606">
        <v>13.125500000000001</v>
      </c>
      <c r="G1606">
        <v>0.23899999999999999</v>
      </c>
      <c r="H1606">
        <v>0</v>
      </c>
      <c r="I1606">
        <v>2</v>
      </c>
      <c r="J1606" t="s">
        <v>0</v>
      </c>
      <c r="K1606" t="s">
        <v>61</v>
      </c>
      <c r="L1606">
        <v>0</v>
      </c>
      <c r="M1606" t="s">
        <v>52</v>
      </c>
      <c r="N1606">
        <v>1</v>
      </c>
      <c r="O1606" t="s">
        <v>63</v>
      </c>
      <c r="P1606" s="2">
        <v>0.54583333333333328</v>
      </c>
      <c r="Q1606">
        <f>-0.0008808017*3600</f>
        <v>-3.17088612</v>
      </c>
      <c r="R1606">
        <f>-0.0031673268*3600</f>
        <v>-11.402376480000001</v>
      </c>
    </row>
    <row r="1607" spans="1:18" x14ac:dyDescent="0.3">
      <c r="A1607" t="s">
        <v>47</v>
      </c>
      <c r="B1607" s="9" t="s">
        <v>359</v>
      </c>
      <c r="C1607">
        <v>98.562959000000006</v>
      </c>
      <c r="D1607">
        <v>300.29490500000003</v>
      </c>
      <c r="E1607">
        <v>13.128</v>
      </c>
      <c r="F1607">
        <v>13.125500000000001</v>
      </c>
      <c r="G1607">
        <v>0.23899999999999999</v>
      </c>
      <c r="H1607">
        <v>0</v>
      </c>
      <c r="I1607">
        <v>2</v>
      </c>
      <c r="J1607" t="s">
        <v>0</v>
      </c>
      <c r="K1607" t="s">
        <v>61</v>
      </c>
      <c r="L1607">
        <v>0</v>
      </c>
      <c r="M1607" t="s">
        <v>52</v>
      </c>
      <c r="N1607">
        <v>1</v>
      </c>
      <c r="O1607" t="s">
        <v>63</v>
      </c>
      <c r="P1607" s="2">
        <v>0.54583333333333328</v>
      </c>
      <c r="Q1607">
        <f>-0.0008100179*3600</f>
        <v>-2.91606444</v>
      </c>
      <c r="R1607">
        <f>-0.0031201789*3600</f>
        <v>-11.232644039999998</v>
      </c>
    </row>
    <row r="1608" spans="1:18" x14ac:dyDescent="0.3">
      <c r="A1608" t="s">
        <v>47</v>
      </c>
      <c r="B1608" s="9" t="s">
        <v>359</v>
      </c>
      <c r="C1608">
        <v>98.562383999999994</v>
      </c>
      <c r="D1608">
        <v>300.29490500000003</v>
      </c>
      <c r="E1608">
        <v>13.128</v>
      </c>
      <c r="F1608">
        <v>13.125500000000001</v>
      </c>
      <c r="G1608">
        <v>0.23899999999999999</v>
      </c>
      <c r="H1608">
        <v>0</v>
      </c>
      <c r="I1608">
        <v>2</v>
      </c>
      <c r="J1608" t="s">
        <v>0</v>
      </c>
      <c r="K1608" t="s">
        <v>61</v>
      </c>
      <c r="L1608">
        <v>0</v>
      </c>
      <c r="M1608" t="s">
        <v>52</v>
      </c>
      <c r="N1608">
        <v>1</v>
      </c>
      <c r="O1608" t="s">
        <v>63</v>
      </c>
      <c r="P1608" s="2">
        <v>0.54583333333333328</v>
      </c>
      <c r="Q1608">
        <f>-0.0008156391*3600</f>
        <v>-2.93630076</v>
      </c>
      <c r="R1608">
        <f>-0.0031002526*3600</f>
        <v>-11.16090936</v>
      </c>
    </row>
    <row r="1609" spans="1:18" x14ac:dyDescent="0.3">
      <c r="A1609" t="s">
        <v>47</v>
      </c>
      <c r="B1609" s="9" t="s">
        <v>359</v>
      </c>
      <c r="C1609">
        <v>98.562004000000002</v>
      </c>
      <c r="D1609">
        <v>300.29484400000001</v>
      </c>
      <c r="E1609">
        <v>13.128</v>
      </c>
      <c r="F1609">
        <v>13.125500000000001</v>
      </c>
      <c r="G1609">
        <v>0.23899999999999999</v>
      </c>
      <c r="H1609">
        <v>0</v>
      </c>
      <c r="I1609">
        <v>2</v>
      </c>
      <c r="J1609" t="s">
        <v>0</v>
      </c>
      <c r="K1609" t="s">
        <v>61</v>
      </c>
      <c r="L1609">
        <v>0</v>
      </c>
      <c r="M1609" t="s">
        <v>52</v>
      </c>
      <c r="N1609">
        <v>1</v>
      </c>
      <c r="O1609" t="s">
        <v>63</v>
      </c>
      <c r="P1609" s="2">
        <v>0.54583333333333328</v>
      </c>
      <c r="Q1609">
        <f>-0.0009589787*3600</f>
        <v>-3.4523233200000001</v>
      </c>
      <c r="R1609">
        <f>-0.0032024756*3600</f>
        <v>-11.528912159999999</v>
      </c>
    </row>
    <row r="1610" spans="1:18" x14ac:dyDescent="0.3">
      <c r="A1610" t="s">
        <v>47</v>
      </c>
      <c r="B1610" s="9" t="s">
        <v>359</v>
      </c>
      <c r="C1610">
        <v>98.562522999999999</v>
      </c>
      <c r="D1610">
        <v>300.29491899999999</v>
      </c>
      <c r="E1610">
        <v>13.128</v>
      </c>
      <c r="F1610">
        <v>13.125500000000001</v>
      </c>
      <c r="G1610">
        <v>0.23899999999999999</v>
      </c>
      <c r="H1610">
        <v>0</v>
      </c>
      <c r="I1610">
        <v>2</v>
      </c>
      <c r="J1610" t="s">
        <v>0</v>
      </c>
      <c r="K1610" t="s">
        <v>61</v>
      </c>
      <c r="L1610">
        <v>0</v>
      </c>
      <c r="M1610" t="s">
        <v>52</v>
      </c>
      <c r="N1610">
        <v>1</v>
      </c>
      <c r="O1610" t="s">
        <v>63</v>
      </c>
      <c r="P1610" s="2">
        <v>0.54583333333333328</v>
      </c>
      <c r="Q1610">
        <f>-0.0009336656*3600</f>
        <v>-3.36119616</v>
      </c>
      <c r="R1610">
        <f>-0.0031243921*3600</f>
        <v>-11.247811560000001</v>
      </c>
    </row>
    <row r="1611" spans="1:18" x14ac:dyDescent="0.3">
      <c r="A1611" t="s">
        <v>47</v>
      </c>
      <c r="B1611" s="9" t="s">
        <v>359</v>
      </c>
      <c r="C1611">
        <v>98.564105999999995</v>
      </c>
      <c r="D1611">
        <v>300.29490900000002</v>
      </c>
      <c r="E1611">
        <v>13.128</v>
      </c>
      <c r="F1611">
        <v>13.125500000000001</v>
      </c>
      <c r="G1611">
        <v>0.23899999999999999</v>
      </c>
      <c r="H1611">
        <v>0</v>
      </c>
      <c r="I1611">
        <v>2</v>
      </c>
      <c r="J1611" t="s">
        <v>0</v>
      </c>
      <c r="K1611" t="s">
        <v>61</v>
      </c>
      <c r="L1611">
        <v>0</v>
      </c>
      <c r="M1611" t="s">
        <v>52</v>
      </c>
      <c r="N1611">
        <v>1</v>
      </c>
      <c r="O1611" t="s">
        <v>63</v>
      </c>
      <c r="P1611" s="2">
        <v>0.54583333333333328</v>
      </c>
      <c r="Q1611">
        <f>-0.0008629101*3600</f>
        <v>-3.1064763599999998</v>
      </c>
      <c r="R1611">
        <f>-0.0031448907*3600</f>
        <v>-11.32160652</v>
      </c>
    </row>
    <row r="1612" spans="1:18" x14ac:dyDescent="0.3">
      <c r="A1612" t="s">
        <v>47</v>
      </c>
      <c r="B1612" s="9" t="s">
        <v>359</v>
      </c>
      <c r="C1612">
        <v>98.563835999999995</v>
      </c>
      <c r="D1612">
        <v>300.29488099999998</v>
      </c>
      <c r="E1612">
        <v>13.128</v>
      </c>
      <c r="F1612">
        <v>13.125500000000001</v>
      </c>
      <c r="G1612">
        <v>0.23899999999999999</v>
      </c>
      <c r="H1612">
        <v>0</v>
      </c>
      <c r="I1612">
        <v>2</v>
      </c>
      <c r="J1612" t="s">
        <v>0</v>
      </c>
      <c r="K1612" t="s">
        <v>61</v>
      </c>
      <c r="L1612">
        <v>0</v>
      </c>
      <c r="M1612" t="s">
        <v>52</v>
      </c>
      <c r="N1612">
        <v>1</v>
      </c>
      <c r="O1612" t="s">
        <v>63</v>
      </c>
      <c r="P1612" s="2">
        <v>0.54583333333333328</v>
      </c>
      <c r="Q1612">
        <f>-0.0007770055*3600</f>
        <v>-2.7972198000000001</v>
      </c>
      <c r="R1612">
        <f>-0.0031244479*3600</f>
        <v>-11.24801244</v>
      </c>
    </row>
    <row r="1613" spans="1:18" x14ac:dyDescent="0.3">
      <c r="A1613" t="s">
        <v>47</v>
      </c>
      <c r="B1613" s="9" t="s">
        <v>359</v>
      </c>
      <c r="C1613">
        <v>98.563180000000003</v>
      </c>
      <c r="D1613">
        <v>300.29486000000003</v>
      </c>
      <c r="E1613">
        <v>13.128</v>
      </c>
      <c r="F1613">
        <v>13.125500000000001</v>
      </c>
      <c r="G1613">
        <v>0.23899999999999999</v>
      </c>
      <c r="H1613">
        <v>0</v>
      </c>
      <c r="I1613">
        <v>2</v>
      </c>
      <c r="J1613" t="s">
        <v>0</v>
      </c>
      <c r="K1613" t="s">
        <v>61</v>
      </c>
      <c r="L1613">
        <v>0</v>
      </c>
      <c r="M1613" t="s">
        <v>52</v>
      </c>
      <c r="N1613">
        <v>1</v>
      </c>
      <c r="O1613" t="s">
        <v>63</v>
      </c>
      <c r="P1613" s="2">
        <v>0.54583333333333328</v>
      </c>
      <c r="Q1613">
        <f>-0.0009785356*3600</f>
        <v>-3.5227281599999998</v>
      </c>
      <c r="R1613">
        <f>-0.0032094641*3600</f>
        <v>-11.55407076</v>
      </c>
    </row>
    <row r="1614" spans="1:18" x14ac:dyDescent="0.3">
      <c r="A1614" t="s">
        <v>47</v>
      </c>
      <c r="B1614" s="9" t="s">
        <v>359</v>
      </c>
      <c r="C1614">
        <v>98.563507999999999</v>
      </c>
      <c r="D1614">
        <v>300.29485599999998</v>
      </c>
      <c r="E1614">
        <v>13.128</v>
      </c>
      <c r="F1614">
        <v>13.125500000000001</v>
      </c>
      <c r="G1614">
        <v>0.23899999999999999</v>
      </c>
      <c r="H1614">
        <v>0</v>
      </c>
      <c r="I1614">
        <v>2</v>
      </c>
      <c r="J1614" t="s">
        <v>0</v>
      </c>
      <c r="K1614" t="s">
        <v>61</v>
      </c>
      <c r="L1614">
        <v>0</v>
      </c>
      <c r="M1614" t="s">
        <v>52</v>
      </c>
      <c r="N1614">
        <v>1</v>
      </c>
      <c r="O1614" t="s">
        <v>63</v>
      </c>
      <c r="P1614" s="2">
        <v>0.54583333333333328</v>
      </c>
      <c r="Q1614">
        <f>-0.001026081*3600</f>
        <v>-3.6938916000000002</v>
      </c>
      <c r="R1614">
        <f>-0.0032043174*3600</f>
        <v>-11.535542640000001</v>
      </c>
    </row>
    <row r="1615" spans="1:18" x14ac:dyDescent="0.3">
      <c r="A1615" t="s">
        <v>47</v>
      </c>
      <c r="B1615" s="9" t="s">
        <v>359</v>
      </c>
      <c r="C1615">
        <v>98.562510000000003</v>
      </c>
      <c r="D1615">
        <v>300.29493400000001</v>
      </c>
      <c r="E1615">
        <v>13.128</v>
      </c>
      <c r="F1615">
        <v>13.125500000000001</v>
      </c>
      <c r="G1615">
        <v>0.23899999999999999</v>
      </c>
      <c r="H1615">
        <v>0</v>
      </c>
      <c r="I1615">
        <v>2</v>
      </c>
      <c r="J1615" t="s">
        <v>0</v>
      </c>
      <c r="K1615" t="s">
        <v>61</v>
      </c>
      <c r="L1615">
        <v>0</v>
      </c>
      <c r="M1615" t="s">
        <v>52</v>
      </c>
      <c r="N1615">
        <v>1</v>
      </c>
      <c r="O1615" t="s">
        <v>63</v>
      </c>
      <c r="P1615" s="2">
        <v>0.54583333333333328</v>
      </c>
      <c r="Q1615">
        <f>-0.0009415627*3600</f>
        <v>-3.3896257199999997</v>
      </c>
      <c r="R1615">
        <f>-0.0031101124*3600</f>
        <v>-11.196404640000001</v>
      </c>
    </row>
    <row r="1616" spans="1:18" x14ac:dyDescent="0.3">
      <c r="A1616" t="s">
        <v>47</v>
      </c>
      <c r="B1616" s="9" t="s">
        <v>359</v>
      </c>
      <c r="C1616">
        <v>98.562976000000006</v>
      </c>
      <c r="D1616">
        <v>300.29492099999999</v>
      </c>
      <c r="E1616">
        <v>13.128</v>
      </c>
      <c r="F1616">
        <v>13.125500000000001</v>
      </c>
      <c r="G1616">
        <v>0.23899999999999999</v>
      </c>
      <c r="H1616">
        <v>0</v>
      </c>
      <c r="I1616">
        <v>2</v>
      </c>
      <c r="J1616" t="s">
        <v>0</v>
      </c>
      <c r="K1616" t="s">
        <v>61</v>
      </c>
      <c r="L1616">
        <v>0</v>
      </c>
      <c r="M1616" t="s">
        <v>52</v>
      </c>
      <c r="N1616">
        <v>1</v>
      </c>
      <c r="O1616" t="s">
        <v>63</v>
      </c>
      <c r="P1616" s="2">
        <v>0.54583333333333328</v>
      </c>
      <c r="Q1616">
        <f>-0.0009427485*3600</f>
        <v>-3.3938946000000003</v>
      </c>
      <c r="R1616">
        <f>-0.0031205864*3600</f>
        <v>-11.23411104</v>
      </c>
    </row>
    <row r="1617" spans="1:18" x14ac:dyDescent="0.3">
      <c r="A1617" t="s">
        <v>47</v>
      </c>
      <c r="B1617" s="9" t="s">
        <v>359</v>
      </c>
      <c r="C1617">
        <v>98.563097999999997</v>
      </c>
      <c r="D1617">
        <v>300.294826</v>
      </c>
      <c r="E1617">
        <v>13.128</v>
      </c>
      <c r="F1617">
        <v>13.125500000000001</v>
      </c>
      <c r="G1617">
        <v>0.23899999999999999</v>
      </c>
      <c r="H1617">
        <v>0</v>
      </c>
      <c r="I1617">
        <v>2</v>
      </c>
      <c r="J1617" t="s">
        <v>0</v>
      </c>
      <c r="K1617" t="s">
        <v>61</v>
      </c>
      <c r="L1617">
        <v>0</v>
      </c>
      <c r="M1617" t="s">
        <v>52</v>
      </c>
      <c r="N1617">
        <v>1</v>
      </c>
      <c r="O1617" t="s">
        <v>63</v>
      </c>
      <c r="P1617" s="2">
        <v>0.54583333333333328</v>
      </c>
      <c r="Q1617">
        <f>-0.0009535329*3600</f>
        <v>-3.4327184399999999</v>
      </c>
      <c r="R1617">
        <f>-0.003206537*3600</f>
        <v>-11.543533200000001</v>
      </c>
    </row>
    <row r="1618" spans="1:18" x14ac:dyDescent="0.3">
      <c r="A1618" t="s">
        <v>47</v>
      </c>
      <c r="B1618" s="9" t="s">
        <v>359</v>
      </c>
      <c r="C1618">
        <v>98.563179000000005</v>
      </c>
      <c r="D1618">
        <v>300.294893</v>
      </c>
      <c r="E1618">
        <v>13.128</v>
      </c>
      <c r="F1618">
        <v>13.125500000000001</v>
      </c>
      <c r="G1618">
        <v>0.23899999999999999</v>
      </c>
      <c r="H1618">
        <v>0</v>
      </c>
      <c r="I1618">
        <v>2</v>
      </c>
      <c r="J1618" t="s">
        <v>0</v>
      </c>
      <c r="K1618" t="s">
        <v>61</v>
      </c>
      <c r="L1618">
        <v>0</v>
      </c>
      <c r="M1618" t="s">
        <v>52</v>
      </c>
      <c r="N1618">
        <v>1</v>
      </c>
      <c r="O1618" t="s">
        <v>63</v>
      </c>
      <c r="P1618" s="2">
        <v>0.54583333333333328</v>
      </c>
      <c r="Q1618">
        <f>-0.0009473298*3600</f>
        <v>-3.4103872799999997</v>
      </c>
      <c r="R1618">
        <f>-0.0031514919*3600</f>
        <v>-11.345370840000001</v>
      </c>
    </row>
    <row r="1619" spans="1:18" x14ac:dyDescent="0.3">
      <c r="A1619" t="s">
        <v>47</v>
      </c>
      <c r="B1619" s="9" t="s">
        <v>359</v>
      </c>
      <c r="C1619">
        <v>98.563529000000003</v>
      </c>
      <c r="D1619">
        <v>300.29491000000002</v>
      </c>
      <c r="E1619">
        <v>13.128</v>
      </c>
      <c r="F1619">
        <v>13.125500000000001</v>
      </c>
      <c r="G1619">
        <v>0.23899999999999999</v>
      </c>
      <c r="H1619">
        <v>0</v>
      </c>
      <c r="I1619">
        <v>2</v>
      </c>
      <c r="J1619" t="s">
        <v>0</v>
      </c>
      <c r="K1619" t="s">
        <v>61</v>
      </c>
      <c r="L1619">
        <v>0</v>
      </c>
      <c r="M1619" t="s">
        <v>52</v>
      </c>
      <c r="N1619">
        <v>1</v>
      </c>
      <c r="O1619" t="s">
        <v>63</v>
      </c>
      <c r="P1619" s="2">
        <v>0.54583333333333328</v>
      </c>
      <c r="Q1619">
        <f>-0.000953167*3600</f>
        <v>-3.4314011999999998</v>
      </c>
      <c r="R1619">
        <f>-0.0031488258*3600</f>
        <v>-11.33577288</v>
      </c>
    </row>
    <row r="1620" spans="1:18" x14ac:dyDescent="0.3">
      <c r="A1620" t="s">
        <v>47</v>
      </c>
      <c r="B1620" s="9" t="s">
        <v>359</v>
      </c>
      <c r="C1620">
        <v>98.563528000000005</v>
      </c>
      <c r="D1620">
        <v>300.29480999999998</v>
      </c>
      <c r="E1620">
        <v>13.128</v>
      </c>
      <c r="F1620">
        <v>13.125500000000001</v>
      </c>
      <c r="G1620">
        <v>0.23899999999999999</v>
      </c>
      <c r="H1620">
        <v>0</v>
      </c>
      <c r="I1620">
        <v>2</v>
      </c>
      <c r="J1620" t="s">
        <v>0</v>
      </c>
      <c r="K1620" t="s">
        <v>61</v>
      </c>
      <c r="L1620">
        <v>0</v>
      </c>
      <c r="M1620" t="s">
        <v>52</v>
      </c>
      <c r="N1620">
        <v>1</v>
      </c>
      <c r="O1620" t="s">
        <v>63</v>
      </c>
      <c r="P1620" s="2">
        <v>0.54583333333333328</v>
      </c>
      <c r="Q1620">
        <f>-0.0010826304*3600</f>
        <v>-3.8974694399999996</v>
      </c>
      <c r="R1620">
        <f>-0.0032503368*3600</f>
        <v>-11.701212480000001</v>
      </c>
    </row>
    <row r="1621" spans="1:18" x14ac:dyDescent="0.3">
      <c r="A1621" t="s">
        <v>47</v>
      </c>
      <c r="B1621" s="9" t="s">
        <v>359</v>
      </c>
      <c r="C1621">
        <v>98.563187999999997</v>
      </c>
      <c r="D1621">
        <v>300.29486600000001</v>
      </c>
      <c r="E1621">
        <v>13.128</v>
      </c>
      <c r="F1621">
        <v>13.125500000000001</v>
      </c>
      <c r="G1621">
        <v>0.23899999999999999</v>
      </c>
      <c r="H1621">
        <v>0</v>
      </c>
      <c r="I1621">
        <v>2</v>
      </c>
      <c r="J1621" t="s">
        <v>0</v>
      </c>
      <c r="K1621" t="s">
        <v>61</v>
      </c>
      <c r="L1621">
        <v>0</v>
      </c>
      <c r="M1621" t="s">
        <v>52</v>
      </c>
      <c r="N1621">
        <v>1</v>
      </c>
      <c r="O1621" t="s">
        <v>63</v>
      </c>
      <c r="P1621" s="2">
        <v>0.54583333333333328</v>
      </c>
      <c r="Q1621">
        <f>-0.0009848228*3600</f>
        <v>-3.5453620800000003</v>
      </c>
      <c r="R1621">
        <f>-0.0031872273*3600</f>
        <v>-11.474018280000001</v>
      </c>
    </row>
    <row r="1622" spans="1:18" x14ac:dyDescent="0.3">
      <c r="A1622" t="s">
        <v>47</v>
      </c>
      <c r="B1622" s="9" t="s">
        <v>359</v>
      </c>
      <c r="C1622">
        <v>98.563061000000005</v>
      </c>
      <c r="D1622">
        <v>300.29492800000003</v>
      </c>
      <c r="E1622">
        <v>13.128</v>
      </c>
      <c r="F1622">
        <v>13.125500000000001</v>
      </c>
      <c r="G1622">
        <v>0.23899999999999999</v>
      </c>
      <c r="H1622">
        <v>0</v>
      </c>
      <c r="I1622">
        <v>2</v>
      </c>
      <c r="J1622" t="s">
        <v>0</v>
      </c>
      <c r="K1622" t="s">
        <v>61</v>
      </c>
      <c r="L1622">
        <v>0</v>
      </c>
      <c r="M1622" t="s">
        <v>52</v>
      </c>
      <c r="N1622">
        <v>1</v>
      </c>
      <c r="O1622" t="s">
        <v>63</v>
      </c>
      <c r="P1622" s="2">
        <v>0.54583333333333328</v>
      </c>
      <c r="Q1622">
        <f>-0.0009285026*3600</f>
        <v>-3.34260936</v>
      </c>
      <c r="R1622">
        <f>-0.0031452184*3600</f>
        <v>-11.322786240000001</v>
      </c>
    </row>
    <row r="1623" spans="1:18" x14ac:dyDescent="0.3">
      <c r="A1623" t="s">
        <v>47</v>
      </c>
      <c r="B1623" s="9" t="s">
        <v>359</v>
      </c>
      <c r="C1623">
        <v>98.564269999999993</v>
      </c>
      <c r="D1623">
        <v>300.29493100000002</v>
      </c>
      <c r="E1623">
        <v>13.128</v>
      </c>
      <c r="F1623">
        <v>13.125500000000001</v>
      </c>
      <c r="G1623">
        <v>0.23899999999999999</v>
      </c>
      <c r="H1623">
        <v>0</v>
      </c>
      <c r="I1623">
        <v>2</v>
      </c>
      <c r="J1623" t="s">
        <v>0</v>
      </c>
      <c r="K1623" t="s">
        <v>61</v>
      </c>
      <c r="L1623">
        <v>0</v>
      </c>
      <c r="M1623" t="s">
        <v>52</v>
      </c>
      <c r="N1623">
        <v>1</v>
      </c>
      <c r="O1623" t="s">
        <v>63</v>
      </c>
      <c r="P1623" s="2">
        <v>0.54722222222222217</v>
      </c>
      <c r="Q1623">
        <f>-0.0009603923*3600</f>
        <v>-3.4574122800000002</v>
      </c>
      <c r="R1623">
        <f>-0.0032611137*3600</f>
        <v>-11.74000932</v>
      </c>
    </row>
    <row r="1624" spans="1:18" x14ac:dyDescent="0.3">
      <c r="A1624" t="s">
        <v>47</v>
      </c>
      <c r="B1624" s="9" t="s">
        <v>359</v>
      </c>
      <c r="C1624">
        <v>98.564378000000005</v>
      </c>
      <c r="D1624">
        <v>300.29492499999998</v>
      </c>
      <c r="E1624">
        <v>13.128</v>
      </c>
      <c r="F1624">
        <v>13.125500000000001</v>
      </c>
      <c r="G1624">
        <v>0.23899999999999999</v>
      </c>
      <c r="H1624">
        <v>0</v>
      </c>
      <c r="I1624">
        <v>2</v>
      </c>
      <c r="J1624" t="s">
        <v>0</v>
      </c>
      <c r="K1624" t="s">
        <v>61</v>
      </c>
      <c r="L1624">
        <v>0</v>
      </c>
      <c r="M1624" t="s">
        <v>52</v>
      </c>
      <c r="N1624">
        <v>1</v>
      </c>
      <c r="O1624" t="s">
        <v>63</v>
      </c>
      <c r="P1624" s="2">
        <v>0.54722222222222217</v>
      </c>
      <c r="Q1624">
        <f>-0.0009836231*3600</f>
        <v>-3.5410431599999996</v>
      </c>
      <c r="R1624">
        <f>-0.0032735324*3600</f>
        <v>-11.784716640000001</v>
      </c>
    </row>
    <row r="1625" spans="1:18" x14ac:dyDescent="0.3">
      <c r="A1625" t="s">
        <v>47</v>
      </c>
      <c r="B1625" s="9" t="s">
        <v>359</v>
      </c>
      <c r="C1625">
        <v>98.564824999999999</v>
      </c>
      <c r="D1625">
        <v>300.29494499999998</v>
      </c>
      <c r="E1625">
        <v>13.128</v>
      </c>
      <c r="F1625">
        <v>13.125500000000001</v>
      </c>
      <c r="G1625">
        <v>0.23899999999999999</v>
      </c>
      <c r="H1625">
        <v>0</v>
      </c>
      <c r="I1625">
        <v>2</v>
      </c>
      <c r="J1625" t="s">
        <v>0</v>
      </c>
      <c r="K1625" t="s">
        <v>61</v>
      </c>
      <c r="L1625">
        <v>0</v>
      </c>
      <c r="M1625" t="s">
        <v>52</v>
      </c>
      <c r="N1625">
        <v>1</v>
      </c>
      <c r="O1625" t="s">
        <v>63</v>
      </c>
      <c r="P1625" s="2">
        <v>0.54722222222222217</v>
      </c>
      <c r="Q1625">
        <f>-0.0009747609*3600</f>
        <v>-3.5091392399999997</v>
      </c>
      <c r="R1625">
        <f>-0.0032326645*3600</f>
        <v>-11.6375922</v>
      </c>
    </row>
    <row r="1626" spans="1:18" x14ac:dyDescent="0.3">
      <c r="A1626" t="s">
        <v>47</v>
      </c>
      <c r="B1626" s="9" t="s">
        <v>359</v>
      </c>
      <c r="C1626">
        <v>98.564852999999999</v>
      </c>
      <c r="D1626">
        <v>300.29490700000002</v>
      </c>
      <c r="E1626">
        <v>13.128</v>
      </c>
      <c r="F1626">
        <v>13.125500000000001</v>
      </c>
      <c r="G1626">
        <v>0.23899999999999999</v>
      </c>
      <c r="H1626">
        <v>0</v>
      </c>
      <c r="I1626">
        <v>2</v>
      </c>
      <c r="J1626" t="s">
        <v>0</v>
      </c>
      <c r="K1626" t="s">
        <v>61</v>
      </c>
      <c r="L1626">
        <v>0</v>
      </c>
      <c r="M1626" t="s">
        <v>52</v>
      </c>
      <c r="N1626">
        <v>1</v>
      </c>
      <c r="O1626" t="s">
        <v>63</v>
      </c>
      <c r="P1626" s="2">
        <v>0.54722222222222217</v>
      </c>
      <c r="Q1626">
        <f>-0.00098615*3600</f>
        <v>-3.5501400000000003</v>
      </c>
      <c r="R1626">
        <f>-0.0033022993*3600</f>
        <v>-11.888277479999999</v>
      </c>
    </row>
    <row r="1627" spans="1:18" x14ac:dyDescent="0.3">
      <c r="A1627" t="s">
        <v>47</v>
      </c>
      <c r="B1627" s="9" t="s">
        <v>359</v>
      </c>
      <c r="C1627">
        <v>98.564747999999994</v>
      </c>
      <c r="D1627">
        <v>300.294982</v>
      </c>
      <c r="E1627">
        <v>13.128</v>
      </c>
      <c r="F1627">
        <v>13.125500000000001</v>
      </c>
      <c r="G1627">
        <v>0.23899999999999999</v>
      </c>
      <c r="H1627">
        <v>0</v>
      </c>
      <c r="I1627">
        <v>2</v>
      </c>
      <c r="J1627" t="s">
        <v>0</v>
      </c>
      <c r="K1627" t="s">
        <v>61</v>
      </c>
      <c r="L1627">
        <v>0</v>
      </c>
      <c r="M1627" t="s">
        <v>52</v>
      </c>
      <c r="N1627">
        <v>1</v>
      </c>
      <c r="O1627" t="s">
        <v>63</v>
      </c>
      <c r="P1627" s="2">
        <v>0.54791666666666672</v>
      </c>
      <c r="Q1627">
        <f>-0.000863488*3600</f>
        <v>-3.1085568000000001</v>
      </c>
      <c r="R1627">
        <f>-0.0032046611*3600</f>
        <v>-11.536779960000001</v>
      </c>
    </row>
    <row r="1628" spans="1:18" x14ac:dyDescent="0.3">
      <c r="A1628" t="s">
        <v>47</v>
      </c>
      <c r="B1628" s="9" t="s">
        <v>359</v>
      </c>
      <c r="C1628">
        <v>98.563247000000004</v>
      </c>
      <c r="D1628">
        <v>300.29492900000002</v>
      </c>
      <c r="E1628">
        <v>13.128</v>
      </c>
      <c r="F1628">
        <v>13.125500000000001</v>
      </c>
      <c r="G1628">
        <v>0.23899999999999999</v>
      </c>
      <c r="H1628">
        <v>0</v>
      </c>
      <c r="I1628">
        <v>2</v>
      </c>
      <c r="J1628" t="s">
        <v>0</v>
      </c>
      <c r="K1628" t="s">
        <v>61</v>
      </c>
      <c r="L1628">
        <v>0</v>
      </c>
      <c r="M1628" t="s">
        <v>52</v>
      </c>
      <c r="N1628">
        <v>1</v>
      </c>
      <c r="O1628" t="s">
        <v>63</v>
      </c>
      <c r="P1628" s="2">
        <v>0.54791666666666672</v>
      </c>
      <c r="Q1628">
        <f>-0.000993743*3600</f>
        <v>-3.5774748000000001</v>
      </c>
      <c r="R1628">
        <f>-0.0032729113*3600</f>
        <v>-11.782480679999999</v>
      </c>
    </row>
    <row r="1629" spans="1:18" x14ac:dyDescent="0.3">
      <c r="A1629" t="s">
        <v>47</v>
      </c>
      <c r="B1629" s="9" t="s">
        <v>359</v>
      </c>
      <c r="C1629">
        <v>98.563704999999999</v>
      </c>
      <c r="D1629">
        <v>300.29496999999998</v>
      </c>
      <c r="E1629">
        <v>13.128</v>
      </c>
      <c r="F1629">
        <v>13.125500000000001</v>
      </c>
      <c r="G1629">
        <v>0.23899999999999999</v>
      </c>
      <c r="H1629">
        <v>0</v>
      </c>
      <c r="I1629">
        <v>2</v>
      </c>
      <c r="J1629" t="s">
        <v>0</v>
      </c>
      <c r="K1629" t="s">
        <v>61</v>
      </c>
      <c r="L1629">
        <v>0</v>
      </c>
      <c r="M1629" t="s">
        <v>52</v>
      </c>
      <c r="N1629">
        <v>1</v>
      </c>
      <c r="O1629" t="s">
        <v>63</v>
      </c>
      <c r="P1629" s="2">
        <v>0.54791666666666672</v>
      </c>
      <c r="Q1629">
        <f>-0.0008886718*3600</f>
        <v>-3.1992184799999999</v>
      </c>
      <c r="R1629">
        <f>-0.0032304317*3600</f>
        <v>-11.62955412</v>
      </c>
    </row>
    <row r="1630" spans="1:18" x14ac:dyDescent="0.3">
      <c r="A1630" t="s">
        <v>47</v>
      </c>
      <c r="B1630" s="9" t="s">
        <v>359</v>
      </c>
      <c r="C1630">
        <v>98.565095999999997</v>
      </c>
      <c r="D1630">
        <v>300.29499299999998</v>
      </c>
      <c r="E1630">
        <v>13.128</v>
      </c>
      <c r="F1630">
        <v>13.125500000000001</v>
      </c>
      <c r="G1630">
        <v>0.23899999999999999</v>
      </c>
      <c r="H1630">
        <v>0</v>
      </c>
      <c r="I1630">
        <v>2</v>
      </c>
      <c r="J1630" t="s">
        <v>0</v>
      </c>
      <c r="K1630" t="s">
        <v>61</v>
      </c>
      <c r="L1630">
        <v>0</v>
      </c>
      <c r="M1630" t="s">
        <v>52</v>
      </c>
      <c r="N1630">
        <v>1</v>
      </c>
      <c r="O1630" t="s">
        <v>63</v>
      </c>
      <c r="P1630" s="2">
        <v>0.54791666666666672</v>
      </c>
      <c r="Q1630">
        <f>-0.0009294492*3600</f>
        <v>-3.34601712</v>
      </c>
      <c r="R1630">
        <f>-0.0032080117*3600</f>
        <v>-11.54884212</v>
      </c>
    </row>
    <row r="1631" spans="1:18" x14ac:dyDescent="0.3">
      <c r="A1631" t="s">
        <v>47</v>
      </c>
      <c r="B1631" s="9" t="s">
        <v>359</v>
      </c>
      <c r="C1631">
        <v>98.565100000000001</v>
      </c>
      <c r="D1631">
        <v>300.29500400000001</v>
      </c>
      <c r="E1631">
        <v>13.128</v>
      </c>
      <c r="F1631">
        <v>13.125500000000001</v>
      </c>
      <c r="G1631">
        <v>0.23899999999999999</v>
      </c>
      <c r="H1631">
        <v>0</v>
      </c>
      <c r="I1631">
        <v>2</v>
      </c>
      <c r="J1631" t="s">
        <v>0</v>
      </c>
      <c r="K1631" t="s">
        <v>61</v>
      </c>
      <c r="L1631">
        <v>0</v>
      </c>
      <c r="M1631" t="s">
        <v>52</v>
      </c>
      <c r="N1631">
        <v>1</v>
      </c>
      <c r="O1631" t="s">
        <v>63</v>
      </c>
      <c r="P1631" s="2">
        <v>0.54791666666666672</v>
      </c>
      <c r="Q1631">
        <f>-0.0010227441*3600</f>
        <v>-3.6818787599999996</v>
      </c>
      <c r="R1631">
        <f>-0.0032216839*3600</f>
        <v>-11.598062039999999</v>
      </c>
    </row>
    <row r="1632" spans="1:18" x14ac:dyDescent="0.3">
      <c r="A1632" t="s">
        <v>47</v>
      </c>
      <c r="B1632" s="9" t="s">
        <v>359</v>
      </c>
      <c r="C1632">
        <v>98.564475999999999</v>
      </c>
      <c r="D1632">
        <v>300.29495300000002</v>
      </c>
      <c r="E1632">
        <v>13.128</v>
      </c>
      <c r="F1632">
        <v>13.125500000000001</v>
      </c>
      <c r="G1632">
        <v>0.23899999999999999</v>
      </c>
      <c r="H1632">
        <v>0</v>
      </c>
      <c r="I1632">
        <v>2</v>
      </c>
      <c r="J1632" t="s">
        <v>0</v>
      </c>
      <c r="K1632" t="s">
        <v>61</v>
      </c>
      <c r="L1632">
        <v>0</v>
      </c>
      <c r="M1632" t="s">
        <v>52</v>
      </c>
      <c r="N1632">
        <v>1</v>
      </c>
      <c r="O1632" t="s">
        <v>63</v>
      </c>
      <c r="P1632" s="2">
        <v>0.54791666666666672</v>
      </c>
      <c r="Q1632">
        <f>-0.0010418673*3600</f>
        <v>-3.7507222800000002</v>
      </c>
      <c r="R1632">
        <f>-0.0032332812*3600</f>
        <v>-11.639812319999999</v>
      </c>
    </row>
    <row r="1633" spans="1:19" x14ac:dyDescent="0.3">
      <c r="A1633" t="s">
        <v>47</v>
      </c>
      <c r="B1633" s="9" t="s">
        <v>359</v>
      </c>
      <c r="C1633">
        <v>98.565107999999995</v>
      </c>
      <c r="D1633">
        <v>300.29493600000001</v>
      </c>
      <c r="E1633">
        <v>13.128</v>
      </c>
      <c r="F1633">
        <v>13.125500000000001</v>
      </c>
      <c r="G1633">
        <v>0.23899999999999999</v>
      </c>
      <c r="H1633">
        <v>0</v>
      </c>
      <c r="I1633">
        <v>2</v>
      </c>
      <c r="J1633" t="s">
        <v>0</v>
      </c>
      <c r="K1633" t="s">
        <v>61</v>
      </c>
      <c r="L1633">
        <v>0</v>
      </c>
      <c r="M1633" t="s">
        <v>52</v>
      </c>
      <c r="N1633">
        <v>1</v>
      </c>
      <c r="O1633" t="s">
        <v>63</v>
      </c>
      <c r="P1633" s="2">
        <v>0.54791666666666672</v>
      </c>
      <c r="Q1633">
        <f>-0.0009575915*3600</f>
        <v>-3.4473294000000001</v>
      </c>
      <c r="R1633">
        <f>-0.0032737185*3600</f>
        <v>-11.785386599999999</v>
      </c>
    </row>
    <row r="1634" spans="1:19" x14ac:dyDescent="0.3">
      <c r="A1634" t="s">
        <v>47</v>
      </c>
      <c r="B1634" s="9" t="s">
        <v>359</v>
      </c>
      <c r="C1634">
        <v>98.564457000000004</v>
      </c>
      <c r="D1634">
        <v>300.29486100000003</v>
      </c>
      <c r="E1634">
        <v>13.128</v>
      </c>
      <c r="F1634">
        <v>13.125500000000001</v>
      </c>
      <c r="G1634">
        <v>0.23899999999999999</v>
      </c>
      <c r="H1634">
        <v>0</v>
      </c>
      <c r="I1634">
        <v>2</v>
      </c>
      <c r="J1634" t="s">
        <v>0</v>
      </c>
      <c r="K1634" t="s">
        <v>61</v>
      </c>
      <c r="L1634">
        <v>0</v>
      </c>
      <c r="M1634" t="s">
        <v>52</v>
      </c>
      <c r="N1634">
        <v>1</v>
      </c>
      <c r="O1634" t="s">
        <v>63</v>
      </c>
      <c r="P1634" s="2">
        <v>0.54791666666666672</v>
      </c>
      <c r="Q1634">
        <f>-0.0010152909*3600</f>
        <v>-3.6550472399999996</v>
      </c>
      <c r="R1634">
        <f>-0.0033223912*3600</f>
        <v>-11.96060832</v>
      </c>
    </row>
    <row r="1635" spans="1:19" x14ac:dyDescent="0.3">
      <c r="A1635" t="s">
        <v>0</v>
      </c>
      <c r="B1635" t="s">
        <v>40</v>
      </c>
      <c r="C1635" t="s">
        <v>41</v>
      </c>
      <c r="D1635" t="s">
        <v>42</v>
      </c>
      <c r="E1635">
        <v>5</v>
      </c>
    </row>
    <row r="1636" spans="1:19" x14ac:dyDescent="0.3">
      <c r="A1636" t="s">
        <v>0</v>
      </c>
      <c r="B1636" t="s">
        <v>43</v>
      </c>
      <c r="C1636" t="s">
        <v>44</v>
      </c>
      <c r="D1636">
        <v>-176</v>
      </c>
    </row>
    <row r="1637" spans="1:19" x14ac:dyDescent="0.3">
      <c r="A1637" t="s">
        <v>0</v>
      </c>
      <c r="B1637" t="s">
        <v>43</v>
      </c>
      <c r="C1637" t="s">
        <v>45</v>
      </c>
      <c r="D1637" t="s">
        <v>44</v>
      </c>
      <c r="E1637">
        <v>0.99982414350000004</v>
      </c>
    </row>
    <row r="1641" spans="1:19" x14ac:dyDescent="0.3">
      <c r="A1641" t="s">
        <v>46</v>
      </c>
      <c r="B1641" t="s">
        <v>56</v>
      </c>
    </row>
    <row r="1642" spans="1:19" x14ac:dyDescent="0.3">
      <c r="A1642" t="s">
        <v>48</v>
      </c>
      <c r="B1642" t="s">
        <v>47</v>
      </c>
      <c r="C1642">
        <v>95.652429999999995</v>
      </c>
      <c r="D1642">
        <v>99.363007999999994</v>
      </c>
      <c r="E1642">
        <v>39.723599999999998</v>
      </c>
      <c r="F1642">
        <v>39.714599999999997</v>
      </c>
      <c r="G1642">
        <v>0</v>
      </c>
      <c r="H1642">
        <v>0.23899999999999999</v>
      </c>
      <c r="J1642" t="s">
        <v>0</v>
      </c>
      <c r="K1642" t="s">
        <v>50</v>
      </c>
      <c r="L1642" t="s">
        <v>51</v>
      </c>
      <c r="M1642">
        <v>0</v>
      </c>
      <c r="N1642" t="s">
        <v>52</v>
      </c>
      <c r="O1642">
        <v>1</v>
      </c>
      <c r="P1642" t="s">
        <v>53</v>
      </c>
      <c r="Q1642" s="2">
        <v>0.55486111111111114</v>
      </c>
      <c r="R1642">
        <f>0.0033941894*3600</f>
        <v>12.219081839999999</v>
      </c>
      <c r="S1642">
        <f>0.000998998*3600</f>
        <v>3.5963928000000003</v>
      </c>
    </row>
    <row r="1643" spans="1:19" x14ac:dyDescent="0.3">
      <c r="A1643" t="s">
        <v>29</v>
      </c>
      <c r="B1643">
        <v>18</v>
      </c>
      <c r="C1643" t="s">
        <v>30</v>
      </c>
      <c r="D1643" s="3">
        <v>0.86</v>
      </c>
      <c r="E1643" t="s">
        <v>31</v>
      </c>
      <c r="F1643" t="s">
        <v>32</v>
      </c>
      <c r="G1643" t="s">
        <v>33</v>
      </c>
      <c r="H1643" t="s">
        <v>34</v>
      </c>
    </row>
    <row r="1644" spans="1:19" x14ac:dyDescent="0.3">
      <c r="A1644" t="s">
        <v>35</v>
      </c>
      <c r="B1644" t="s">
        <v>346</v>
      </c>
      <c r="C1644" t="s">
        <v>35</v>
      </c>
      <c r="D1644" t="s">
        <v>347</v>
      </c>
    </row>
    <row r="1645" spans="1:19" x14ac:dyDescent="0.3">
      <c r="A1645" t="s">
        <v>38</v>
      </c>
      <c r="B1645" t="s">
        <v>39</v>
      </c>
      <c r="C1645">
        <v>0.13</v>
      </c>
    </row>
    <row r="1647" spans="1:19" x14ac:dyDescent="0.3">
      <c r="A1647" s="4" t="s">
        <v>56</v>
      </c>
      <c r="B1647" t="s">
        <v>349</v>
      </c>
      <c r="C1647">
        <v>297.46968800000002</v>
      </c>
      <c r="D1647">
        <v>100.092629</v>
      </c>
      <c r="E1647">
        <v>19.255099999999999</v>
      </c>
      <c r="F1647">
        <v>19.2517</v>
      </c>
      <c r="G1647">
        <v>0</v>
      </c>
      <c r="H1647">
        <v>0.24</v>
      </c>
      <c r="J1647" t="s">
        <v>0</v>
      </c>
      <c r="K1647" t="s">
        <v>50</v>
      </c>
      <c r="L1647" t="s">
        <v>51</v>
      </c>
      <c r="M1647">
        <v>0</v>
      </c>
      <c r="N1647" t="s">
        <v>57</v>
      </c>
      <c r="O1647">
        <v>1</v>
      </c>
      <c r="P1647" t="s">
        <v>53</v>
      </c>
      <c r="Q1647" s="2">
        <v>0.55555555555555558</v>
      </c>
      <c r="R1647">
        <f>0.0033252689*3600</f>
        <v>11.970968040000001</v>
      </c>
      <c r="S1647">
        <f>0.0007666454*3600</f>
        <v>2.7599234399999997</v>
      </c>
    </row>
    <row r="1648" spans="1:19" x14ac:dyDescent="0.3">
      <c r="A1648" s="4" t="s">
        <v>56</v>
      </c>
      <c r="B1648" t="s">
        <v>349</v>
      </c>
      <c r="C1648">
        <v>97.469363000000001</v>
      </c>
      <c r="D1648">
        <v>299.90583199999998</v>
      </c>
      <c r="E1648">
        <v>19.254999999999999</v>
      </c>
      <c r="F1648">
        <v>19.2516</v>
      </c>
      <c r="G1648">
        <v>0</v>
      </c>
      <c r="H1648">
        <v>0.24</v>
      </c>
      <c r="J1648" t="s">
        <v>0</v>
      </c>
      <c r="K1648" t="s">
        <v>50</v>
      </c>
      <c r="L1648" t="s">
        <v>51</v>
      </c>
      <c r="M1648">
        <v>0</v>
      </c>
      <c r="N1648" t="s">
        <v>57</v>
      </c>
      <c r="O1648">
        <v>1</v>
      </c>
      <c r="P1648" t="s">
        <v>53</v>
      </c>
      <c r="Q1648" s="2">
        <v>0.55555555555555558</v>
      </c>
      <c r="R1648">
        <f>0.0033661956*3600</f>
        <v>12.118304159999999</v>
      </c>
      <c r="S1648">
        <f>0.0006009908*3600</f>
        <v>2.1635668799999999</v>
      </c>
    </row>
    <row r="1649" spans="1:19" x14ac:dyDescent="0.3">
      <c r="A1649" s="4" t="s">
        <v>56</v>
      </c>
      <c r="B1649" t="s">
        <v>349</v>
      </c>
      <c r="C1649">
        <v>297.469425</v>
      </c>
      <c r="D1649">
        <v>100.09259299999999</v>
      </c>
      <c r="E1649">
        <v>19.254999999999999</v>
      </c>
      <c r="F1649">
        <v>19.2516</v>
      </c>
      <c r="G1649">
        <v>0</v>
      </c>
      <c r="H1649">
        <v>0.24</v>
      </c>
      <c r="J1649" t="s">
        <v>0</v>
      </c>
      <c r="K1649" t="s">
        <v>50</v>
      </c>
      <c r="L1649" t="s">
        <v>51</v>
      </c>
      <c r="M1649">
        <v>0</v>
      </c>
      <c r="N1649" t="s">
        <v>57</v>
      </c>
      <c r="O1649">
        <v>1</v>
      </c>
      <c r="P1649" t="s">
        <v>53</v>
      </c>
      <c r="Q1649" s="2">
        <v>0.56041666666666667</v>
      </c>
      <c r="R1649">
        <f>0.0106171328*3600</f>
        <v>38.221678079999997</v>
      </c>
      <c r="S1649">
        <f>0.0034509001*3600</f>
        <v>12.423240359999999</v>
      </c>
    </row>
    <row r="1650" spans="1:19" x14ac:dyDescent="0.3">
      <c r="A1650" s="4" t="s">
        <v>56</v>
      </c>
      <c r="B1650" t="s">
        <v>349</v>
      </c>
      <c r="C1650">
        <v>97.469403</v>
      </c>
      <c r="D1650">
        <v>299.90575999999999</v>
      </c>
      <c r="E1650">
        <v>19.254999999999999</v>
      </c>
      <c r="F1650">
        <v>19.2516</v>
      </c>
      <c r="G1650">
        <v>0</v>
      </c>
      <c r="H1650">
        <v>0.24</v>
      </c>
      <c r="J1650" t="s">
        <v>0</v>
      </c>
      <c r="K1650" t="s">
        <v>50</v>
      </c>
      <c r="L1650" t="s">
        <v>51</v>
      </c>
      <c r="M1650">
        <v>0</v>
      </c>
      <c r="N1650" t="s">
        <v>57</v>
      </c>
      <c r="O1650">
        <v>1</v>
      </c>
      <c r="P1650" t="s">
        <v>53</v>
      </c>
      <c r="Q1650" s="2">
        <v>0.56111111111111112</v>
      </c>
      <c r="R1650">
        <f>-0.0075129304*3600</f>
        <v>-27.04654944</v>
      </c>
      <c r="S1650">
        <f>-0.0018210829*3600</f>
        <v>-6.55589844</v>
      </c>
    </row>
    <row r="1651" spans="1:19" x14ac:dyDescent="0.3">
      <c r="A1651" s="4" t="s">
        <v>56</v>
      </c>
      <c r="B1651" t="s">
        <v>349</v>
      </c>
      <c r="C1651">
        <v>297.46946500000001</v>
      </c>
      <c r="D1651">
        <v>100.092541</v>
      </c>
      <c r="E1651">
        <v>19.255099999999999</v>
      </c>
      <c r="F1651">
        <v>19.2517</v>
      </c>
      <c r="G1651">
        <v>0</v>
      </c>
      <c r="H1651">
        <v>0.24</v>
      </c>
      <c r="J1651" t="s">
        <v>0</v>
      </c>
      <c r="K1651" t="s">
        <v>50</v>
      </c>
      <c r="L1651" t="s">
        <v>51</v>
      </c>
      <c r="M1651">
        <v>0</v>
      </c>
      <c r="N1651" t="s">
        <v>57</v>
      </c>
      <c r="O1651">
        <v>1</v>
      </c>
      <c r="P1651" t="s">
        <v>53</v>
      </c>
      <c r="Q1651" s="2">
        <v>0.56111111111111112</v>
      </c>
      <c r="R1651">
        <f>-0.0076607994*3600</f>
        <v>-27.578877840000001</v>
      </c>
      <c r="S1651">
        <f>-0.0020813912*3600</f>
        <v>-7.4930083200000004</v>
      </c>
    </row>
    <row r="1652" spans="1:19" x14ac:dyDescent="0.3">
      <c r="A1652" s="4" t="s">
        <v>56</v>
      </c>
      <c r="B1652" t="s">
        <v>349</v>
      </c>
      <c r="C1652">
        <v>97.469088999999997</v>
      </c>
      <c r="D1652">
        <v>299.905888</v>
      </c>
      <c r="E1652">
        <v>19.255099999999999</v>
      </c>
      <c r="F1652">
        <v>19.2517</v>
      </c>
      <c r="G1652">
        <v>0</v>
      </c>
      <c r="H1652">
        <v>0.24</v>
      </c>
      <c r="J1652" t="s">
        <v>0</v>
      </c>
      <c r="K1652" t="s">
        <v>50</v>
      </c>
      <c r="L1652" t="s">
        <v>51</v>
      </c>
      <c r="M1652">
        <v>0</v>
      </c>
      <c r="N1652" t="s">
        <v>57</v>
      </c>
      <c r="O1652">
        <v>1</v>
      </c>
      <c r="P1652" t="s">
        <v>53</v>
      </c>
      <c r="Q1652" s="2">
        <v>0.56111111111111112</v>
      </c>
      <c r="R1652">
        <f>-0.0075700403*3600</f>
        <v>-27.252145079999998</v>
      </c>
      <c r="S1652">
        <f>-0.0023123534*3600</f>
        <v>-8.3244722400000004</v>
      </c>
    </row>
    <row r="1653" spans="1:19" x14ac:dyDescent="0.3">
      <c r="A1653" s="4" t="s">
        <v>56</v>
      </c>
      <c r="B1653" t="s">
        <v>349</v>
      </c>
      <c r="C1653">
        <v>297.46943900000002</v>
      </c>
      <c r="D1653">
        <v>100.092612</v>
      </c>
      <c r="E1653">
        <v>19.2547</v>
      </c>
      <c r="F1653">
        <v>19.251300000000001</v>
      </c>
      <c r="G1653">
        <v>0</v>
      </c>
      <c r="H1653">
        <v>0.24</v>
      </c>
      <c r="J1653" t="s">
        <v>0</v>
      </c>
      <c r="K1653" t="s">
        <v>50</v>
      </c>
      <c r="L1653" t="s">
        <v>51</v>
      </c>
      <c r="M1653">
        <v>0</v>
      </c>
      <c r="N1653" t="s">
        <v>57</v>
      </c>
      <c r="O1653">
        <v>1</v>
      </c>
      <c r="P1653" t="s">
        <v>53</v>
      </c>
      <c r="Q1653" s="2">
        <v>0.56111111111111112</v>
      </c>
      <c r="R1653">
        <f>0.0080853503*3600</f>
        <v>29.107261080000001</v>
      </c>
      <c r="S1653">
        <f>0.0026994304*3600</f>
        <v>9.7179494399999999</v>
      </c>
    </row>
    <row r="1654" spans="1:19" x14ac:dyDescent="0.3">
      <c r="A1654" s="4" t="s">
        <v>56</v>
      </c>
      <c r="B1654" t="s">
        <v>349</v>
      </c>
      <c r="C1654">
        <v>97.469444999999993</v>
      </c>
      <c r="D1654">
        <v>299.90572200000003</v>
      </c>
      <c r="E1654">
        <v>19.254899999999999</v>
      </c>
      <c r="F1654">
        <v>19.2515</v>
      </c>
      <c r="G1654">
        <v>0</v>
      </c>
      <c r="H1654">
        <v>0.24</v>
      </c>
      <c r="J1654" t="s">
        <v>0</v>
      </c>
      <c r="K1654" t="s">
        <v>50</v>
      </c>
      <c r="L1654" t="s">
        <v>51</v>
      </c>
      <c r="M1654">
        <v>0</v>
      </c>
      <c r="N1654" t="s">
        <v>57</v>
      </c>
      <c r="O1654">
        <v>1</v>
      </c>
      <c r="P1654" t="s">
        <v>53</v>
      </c>
      <c r="Q1654" s="2">
        <v>0.56111111111111112</v>
      </c>
      <c r="R1654">
        <f>0.0081648565*3600</f>
        <v>29.393483399999997</v>
      </c>
      <c r="S1654">
        <f>0.0024391628*3600</f>
        <v>8.7809860799999999</v>
      </c>
    </row>
    <row r="1655" spans="1:19" x14ac:dyDescent="0.3">
      <c r="A1655" s="4" t="s">
        <v>56</v>
      </c>
      <c r="B1655" t="s">
        <v>58</v>
      </c>
      <c r="C1655">
        <v>298.90085199999999</v>
      </c>
      <c r="D1655">
        <v>100.24251</v>
      </c>
      <c r="E1655">
        <v>31.379300000000001</v>
      </c>
      <c r="F1655">
        <v>31.3735</v>
      </c>
      <c r="G1655">
        <v>0</v>
      </c>
      <c r="H1655">
        <v>0.24299999999999999</v>
      </c>
      <c r="J1655" t="s">
        <v>0</v>
      </c>
      <c r="K1655" t="s">
        <v>50</v>
      </c>
      <c r="L1655" t="s">
        <v>51</v>
      </c>
      <c r="M1655">
        <v>0</v>
      </c>
      <c r="N1655" t="s">
        <v>57</v>
      </c>
      <c r="O1655">
        <v>1</v>
      </c>
      <c r="P1655" t="s">
        <v>53</v>
      </c>
      <c r="Q1655" s="2">
        <v>0.56111111111111112</v>
      </c>
      <c r="R1655">
        <f>0.0081350075*3600</f>
        <v>29.286026999999997</v>
      </c>
      <c r="S1655">
        <f>0.0022696539*3600</f>
        <v>8.1707540399999985</v>
      </c>
    </row>
    <row r="1656" spans="1:19" x14ac:dyDescent="0.3">
      <c r="A1656" s="4" t="s">
        <v>56</v>
      </c>
      <c r="B1656" t="s">
        <v>58</v>
      </c>
      <c r="C1656">
        <v>98.900118000000006</v>
      </c>
      <c r="D1656">
        <v>299.75671999999997</v>
      </c>
      <c r="E1656">
        <v>31.379100000000001</v>
      </c>
      <c r="F1656">
        <v>31.3733</v>
      </c>
      <c r="G1656">
        <v>0</v>
      </c>
      <c r="H1656">
        <v>0.24299999999999999</v>
      </c>
      <c r="J1656" t="s">
        <v>0</v>
      </c>
      <c r="K1656" t="s">
        <v>50</v>
      </c>
      <c r="L1656" t="s">
        <v>51</v>
      </c>
      <c r="M1656">
        <v>0</v>
      </c>
      <c r="N1656" t="s">
        <v>57</v>
      </c>
      <c r="O1656">
        <v>1</v>
      </c>
      <c r="P1656" t="s">
        <v>53</v>
      </c>
      <c r="Q1656" s="2">
        <v>0.56180555555555556</v>
      </c>
      <c r="R1656">
        <f>-0.0080109601*3600</f>
        <v>-28.839456360000003</v>
      </c>
      <c r="S1656">
        <f>-0.0010334655*3600</f>
        <v>-3.7204758000000004</v>
      </c>
    </row>
    <row r="1657" spans="1:19" x14ac:dyDescent="0.3">
      <c r="A1657" s="4" t="s">
        <v>56</v>
      </c>
      <c r="B1657" t="s">
        <v>58</v>
      </c>
      <c r="C1657">
        <v>298.90070400000002</v>
      </c>
      <c r="D1657">
        <v>100.242763</v>
      </c>
      <c r="E1657">
        <v>31.379300000000001</v>
      </c>
      <c r="F1657">
        <v>31.3735</v>
      </c>
      <c r="G1657">
        <v>0</v>
      </c>
      <c r="H1657">
        <v>0.24299999999999999</v>
      </c>
      <c r="J1657" t="s">
        <v>0</v>
      </c>
      <c r="K1657" t="s">
        <v>50</v>
      </c>
      <c r="L1657" t="s">
        <v>51</v>
      </c>
      <c r="M1657">
        <v>0</v>
      </c>
      <c r="N1657" t="s">
        <v>57</v>
      </c>
      <c r="O1657">
        <v>1</v>
      </c>
      <c r="P1657" t="s">
        <v>53</v>
      </c>
      <c r="Q1657" s="2">
        <v>0.56180555555555556</v>
      </c>
      <c r="R1657">
        <f>-0.0080243002*3600</f>
        <v>-28.887480720000003</v>
      </c>
      <c r="S1657">
        <f>-0.0010880416*3600</f>
        <v>-3.9169497600000005</v>
      </c>
    </row>
    <row r="1658" spans="1:19" x14ac:dyDescent="0.3">
      <c r="A1658" s="4" t="s">
        <v>56</v>
      </c>
      <c r="B1658" t="s">
        <v>58</v>
      </c>
      <c r="C1658">
        <v>98.900222999999997</v>
      </c>
      <c r="D1658">
        <v>299.75659300000001</v>
      </c>
      <c r="E1658">
        <v>31.379100000000001</v>
      </c>
      <c r="F1658">
        <v>31.3733</v>
      </c>
      <c r="G1658">
        <v>0</v>
      </c>
      <c r="H1658">
        <v>0.24299999999999999</v>
      </c>
      <c r="J1658" t="s">
        <v>0</v>
      </c>
      <c r="K1658" t="s">
        <v>50</v>
      </c>
      <c r="L1658" t="s">
        <v>51</v>
      </c>
      <c r="M1658">
        <v>0</v>
      </c>
      <c r="N1658" t="s">
        <v>57</v>
      </c>
      <c r="O1658">
        <v>1</v>
      </c>
      <c r="P1658" t="s">
        <v>53</v>
      </c>
      <c r="Q1658" s="2">
        <v>0.56180555555555556</v>
      </c>
      <c r="R1658">
        <f>-0.0078943116*3600</f>
        <v>-28.419521760000002</v>
      </c>
      <c r="S1658">
        <f>-0.0016923816*3600</f>
        <v>-6.0925737599999996</v>
      </c>
    </row>
    <row r="1659" spans="1:19" x14ac:dyDescent="0.3">
      <c r="A1659" s="4" t="s">
        <v>56</v>
      </c>
      <c r="B1659" t="s">
        <v>58</v>
      </c>
      <c r="C1659">
        <v>298.90104300000002</v>
      </c>
      <c r="D1659">
        <v>100.242621</v>
      </c>
      <c r="E1659">
        <v>31.379100000000001</v>
      </c>
      <c r="F1659">
        <v>31.3733</v>
      </c>
      <c r="G1659">
        <v>0</v>
      </c>
      <c r="H1659">
        <v>0.24299999999999999</v>
      </c>
      <c r="J1659" t="s">
        <v>0</v>
      </c>
      <c r="K1659" t="s">
        <v>50</v>
      </c>
      <c r="L1659" t="s">
        <v>51</v>
      </c>
      <c r="M1659">
        <v>0</v>
      </c>
      <c r="N1659" t="s">
        <v>57</v>
      </c>
      <c r="O1659">
        <v>1</v>
      </c>
      <c r="P1659" t="s">
        <v>53</v>
      </c>
      <c r="Q1659" s="2">
        <v>0.56180555555555556</v>
      </c>
      <c r="R1659">
        <f>0.0083681711*3600</f>
        <v>30.125415960000002</v>
      </c>
      <c r="S1659">
        <f>0.002126228*3600</f>
        <v>7.6544207999999996</v>
      </c>
    </row>
    <row r="1660" spans="1:19" x14ac:dyDescent="0.3">
      <c r="A1660" s="4" t="s">
        <v>56</v>
      </c>
      <c r="B1660" t="s">
        <v>58</v>
      </c>
      <c r="C1660">
        <v>98.900283000000002</v>
      </c>
      <c r="D1660">
        <v>299.75671799999998</v>
      </c>
      <c r="E1660">
        <v>31.378900000000002</v>
      </c>
      <c r="F1660">
        <v>31.373100000000001</v>
      </c>
      <c r="G1660">
        <v>0</v>
      </c>
      <c r="H1660">
        <v>0.24299999999999999</v>
      </c>
      <c r="J1660" t="s">
        <v>0</v>
      </c>
      <c r="K1660" t="s">
        <v>50</v>
      </c>
      <c r="L1660" t="s">
        <v>51</v>
      </c>
      <c r="M1660">
        <v>0</v>
      </c>
      <c r="N1660" t="s">
        <v>57</v>
      </c>
      <c r="O1660">
        <v>1</v>
      </c>
      <c r="P1660" t="s">
        <v>53</v>
      </c>
      <c r="Q1660" s="2">
        <v>0.56180555555555556</v>
      </c>
      <c r="R1660">
        <f>0.0084704507*3600</f>
        <v>30.493622519999999</v>
      </c>
      <c r="S1660">
        <f>0.0017641765*3600</f>
        <v>6.3510354000000007</v>
      </c>
    </row>
    <row r="1661" spans="1:19" x14ac:dyDescent="0.3">
      <c r="A1661" s="4" t="s">
        <v>56</v>
      </c>
      <c r="B1661" t="s">
        <v>58</v>
      </c>
      <c r="C1661">
        <v>298.90080999999998</v>
      </c>
      <c r="D1661">
        <v>100.242705</v>
      </c>
      <c r="E1661">
        <v>31.379200000000001</v>
      </c>
      <c r="F1661">
        <v>31.3734</v>
      </c>
      <c r="G1661">
        <v>0</v>
      </c>
      <c r="H1661">
        <v>0.24299999999999999</v>
      </c>
      <c r="J1661" t="s">
        <v>0</v>
      </c>
      <c r="K1661" t="s">
        <v>50</v>
      </c>
      <c r="L1661" t="s">
        <v>51</v>
      </c>
      <c r="M1661">
        <v>0</v>
      </c>
      <c r="N1661" t="s">
        <v>57</v>
      </c>
      <c r="O1661">
        <v>1</v>
      </c>
      <c r="P1661" t="s">
        <v>53</v>
      </c>
      <c r="Q1661" s="2">
        <v>0.56180555555555556</v>
      </c>
      <c r="R1661">
        <f>0.0084882221*3600</f>
        <v>30.55759956</v>
      </c>
      <c r="S1661">
        <f>0.0016637477*3600</f>
        <v>5.9894917200000002</v>
      </c>
    </row>
    <row r="1662" spans="1:19" x14ac:dyDescent="0.3">
      <c r="A1662" s="4" t="s">
        <v>56</v>
      </c>
      <c r="B1662" t="s">
        <v>58</v>
      </c>
      <c r="C1662">
        <v>98.899986999999996</v>
      </c>
      <c r="D1662">
        <v>299.75687299999998</v>
      </c>
      <c r="E1662">
        <v>31.379000000000001</v>
      </c>
      <c r="F1662">
        <v>31.373200000000001</v>
      </c>
      <c r="G1662">
        <v>0</v>
      </c>
      <c r="H1662">
        <v>0.24299999999999999</v>
      </c>
      <c r="J1662" t="s">
        <v>0</v>
      </c>
      <c r="K1662" t="s">
        <v>50</v>
      </c>
      <c r="L1662" t="s">
        <v>51</v>
      </c>
      <c r="M1662">
        <v>0</v>
      </c>
      <c r="N1662" t="s">
        <v>57</v>
      </c>
      <c r="O1662">
        <v>1</v>
      </c>
      <c r="P1662" t="s">
        <v>53</v>
      </c>
      <c r="Q1662" s="2">
        <v>0.56180555555555556</v>
      </c>
      <c r="R1662">
        <f>-0.0078930437*3600</f>
        <v>-28.414957319999999</v>
      </c>
      <c r="S1662">
        <f>-0.0017985832*3600</f>
        <v>-6.4748995200000001</v>
      </c>
    </row>
    <row r="1663" spans="1:19" x14ac:dyDescent="0.3">
      <c r="A1663" s="4" t="s">
        <v>56</v>
      </c>
      <c r="B1663" t="s">
        <v>59</v>
      </c>
      <c r="C1663">
        <v>301.181847</v>
      </c>
      <c r="D1663">
        <v>100.023197</v>
      </c>
      <c r="E1663">
        <v>50.688099999999999</v>
      </c>
      <c r="F1663">
        <v>50.679200000000002</v>
      </c>
      <c r="G1663">
        <v>0</v>
      </c>
      <c r="H1663">
        <v>0.24299999999999999</v>
      </c>
      <c r="J1663" t="s">
        <v>0</v>
      </c>
      <c r="K1663" t="s">
        <v>50</v>
      </c>
      <c r="L1663" t="s">
        <v>51</v>
      </c>
      <c r="M1663">
        <v>0</v>
      </c>
      <c r="N1663" t="s">
        <v>57</v>
      </c>
      <c r="O1663">
        <v>1</v>
      </c>
      <c r="P1663" t="s">
        <v>53</v>
      </c>
      <c r="Q1663" s="2">
        <v>0.56180555555555556</v>
      </c>
      <c r="R1663">
        <f>-0.0078456223*3600</f>
        <v>-28.244240280000003</v>
      </c>
      <c r="S1663">
        <f>-0.0020368247*3600</f>
        <v>-7.332568919999999</v>
      </c>
    </row>
    <row r="1664" spans="1:19" x14ac:dyDescent="0.3">
      <c r="A1664" s="4" t="s">
        <v>56</v>
      </c>
      <c r="B1664" t="s">
        <v>59</v>
      </c>
      <c r="C1664">
        <v>101.181861</v>
      </c>
      <c r="D1664">
        <v>299.97629799999999</v>
      </c>
      <c r="E1664">
        <v>50.688200000000002</v>
      </c>
      <c r="F1664">
        <v>50.679299999999998</v>
      </c>
      <c r="G1664">
        <v>0</v>
      </c>
      <c r="H1664">
        <v>0.24299999999999999</v>
      </c>
      <c r="J1664" t="s">
        <v>0</v>
      </c>
      <c r="K1664" t="s">
        <v>50</v>
      </c>
      <c r="L1664" t="s">
        <v>51</v>
      </c>
      <c r="M1664">
        <v>0</v>
      </c>
      <c r="N1664" t="s">
        <v>57</v>
      </c>
      <c r="O1664">
        <v>1</v>
      </c>
      <c r="P1664" t="s">
        <v>53</v>
      </c>
      <c r="Q1664" s="2">
        <v>0.5625</v>
      </c>
      <c r="R1664">
        <f>-0.0077082653*3600</f>
        <v>-27.74975508</v>
      </c>
      <c r="S1664">
        <f>-0.0022288948*3600</f>
        <v>-8.0240212800000013</v>
      </c>
    </row>
    <row r="1665" spans="1:19" x14ac:dyDescent="0.3">
      <c r="A1665" s="4" t="s">
        <v>56</v>
      </c>
      <c r="B1665" t="s">
        <v>59</v>
      </c>
      <c r="C1665">
        <v>301.18216000000001</v>
      </c>
      <c r="D1665">
        <v>100.02316500000001</v>
      </c>
      <c r="E1665">
        <v>50.688299999999998</v>
      </c>
      <c r="F1665">
        <v>50.679400000000001</v>
      </c>
      <c r="G1665">
        <v>0</v>
      </c>
      <c r="H1665">
        <v>0.24299999999999999</v>
      </c>
      <c r="J1665" t="s">
        <v>0</v>
      </c>
      <c r="K1665" t="s">
        <v>50</v>
      </c>
      <c r="L1665" t="s">
        <v>51</v>
      </c>
      <c r="M1665">
        <v>0</v>
      </c>
      <c r="N1665" t="s">
        <v>57</v>
      </c>
      <c r="O1665">
        <v>1</v>
      </c>
      <c r="P1665" t="s">
        <v>53</v>
      </c>
      <c r="Q1665" s="2">
        <v>0.5625</v>
      </c>
      <c r="R1665">
        <f>0.008250269*3600</f>
        <v>29.700968399999997</v>
      </c>
      <c r="S1665">
        <f>0.0026074904*3600</f>
        <v>9.3869654400000009</v>
      </c>
    </row>
    <row r="1666" spans="1:19" x14ac:dyDescent="0.3">
      <c r="A1666" s="4" t="s">
        <v>56</v>
      </c>
      <c r="B1666" t="s">
        <v>59</v>
      </c>
      <c r="C1666">
        <v>101.181844</v>
      </c>
      <c r="D1666">
        <v>299.97670699999998</v>
      </c>
      <c r="E1666">
        <v>50.687800000000003</v>
      </c>
      <c r="F1666">
        <v>50.678899999999999</v>
      </c>
      <c r="G1666">
        <v>0</v>
      </c>
      <c r="H1666">
        <v>0.24299999999999999</v>
      </c>
      <c r="J1666" t="s">
        <v>0</v>
      </c>
      <c r="K1666" t="s">
        <v>50</v>
      </c>
      <c r="L1666" t="s">
        <v>51</v>
      </c>
      <c r="M1666">
        <v>0</v>
      </c>
      <c r="N1666" t="s">
        <v>57</v>
      </c>
      <c r="O1666">
        <v>1</v>
      </c>
      <c r="P1666" t="s">
        <v>53</v>
      </c>
      <c r="Q1666" s="2">
        <v>0.5625</v>
      </c>
      <c r="R1666">
        <f>0.0082704161*3600</f>
        <v>29.77349796</v>
      </c>
      <c r="S1666">
        <f>0.0021209935*3600</f>
        <v>7.6355766000000003</v>
      </c>
    </row>
    <row r="1667" spans="1:19" x14ac:dyDescent="0.3">
      <c r="A1667" s="4" t="s">
        <v>56</v>
      </c>
      <c r="B1667" t="s">
        <v>59</v>
      </c>
      <c r="C1667">
        <v>301.18212599999998</v>
      </c>
      <c r="D1667">
        <v>100.022824</v>
      </c>
      <c r="E1667">
        <v>50.688000000000002</v>
      </c>
      <c r="F1667">
        <v>50.679099999999998</v>
      </c>
      <c r="G1667">
        <v>0</v>
      </c>
      <c r="H1667">
        <v>0.24299999999999999</v>
      </c>
      <c r="J1667" t="s">
        <v>0</v>
      </c>
      <c r="K1667" t="s">
        <v>50</v>
      </c>
      <c r="L1667" t="s">
        <v>51</v>
      </c>
      <c r="M1667">
        <v>0</v>
      </c>
      <c r="N1667" t="s">
        <v>57</v>
      </c>
      <c r="O1667">
        <v>1</v>
      </c>
      <c r="P1667" t="s">
        <v>53</v>
      </c>
      <c r="Q1667" s="2">
        <v>0.5625</v>
      </c>
      <c r="R1667">
        <f>0.0083793906*3600</f>
        <v>30.165806159999999</v>
      </c>
      <c r="S1667">
        <f>0.002365476*3600</f>
        <v>8.5157135999999998</v>
      </c>
    </row>
    <row r="1668" spans="1:19" x14ac:dyDescent="0.3">
      <c r="A1668" s="4" t="s">
        <v>56</v>
      </c>
      <c r="B1668" t="s">
        <v>59</v>
      </c>
      <c r="C1668">
        <v>101.181782</v>
      </c>
      <c r="D1668">
        <v>299.97642200000001</v>
      </c>
      <c r="E1668">
        <v>50.6877</v>
      </c>
      <c r="F1668">
        <v>50.678800000000003</v>
      </c>
      <c r="G1668">
        <v>0</v>
      </c>
      <c r="H1668">
        <v>0.24299999999999999</v>
      </c>
      <c r="J1668" t="s">
        <v>0</v>
      </c>
      <c r="K1668" t="s">
        <v>50</v>
      </c>
      <c r="L1668" t="s">
        <v>51</v>
      </c>
      <c r="M1668">
        <v>0</v>
      </c>
      <c r="N1668" t="s">
        <v>57</v>
      </c>
      <c r="O1668">
        <v>1</v>
      </c>
      <c r="P1668" t="s">
        <v>53</v>
      </c>
      <c r="Q1668" s="2">
        <v>0.5625</v>
      </c>
      <c r="R1668">
        <f>-0.0078928054*3600</f>
        <v>-28.414099439999998</v>
      </c>
      <c r="S1668">
        <f>-0.0009909909*3600</f>
        <v>-3.5675672400000003</v>
      </c>
    </row>
    <row r="1669" spans="1:19" x14ac:dyDescent="0.3">
      <c r="A1669" s="4" t="s">
        <v>56</v>
      </c>
      <c r="B1669" t="s">
        <v>59</v>
      </c>
      <c r="C1669">
        <v>301.181915</v>
      </c>
      <c r="D1669">
        <v>100.023341</v>
      </c>
      <c r="E1669">
        <v>50.688200000000002</v>
      </c>
      <c r="F1669">
        <v>50.679299999999998</v>
      </c>
      <c r="G1669">
        <v>0</v>
      </c>
      <c r="H1669">
        <v>0.24299999999999999</v>
      </c>
      <c r="J1669" t="s">
        <v>0</v>
      </c>
      <c r="K1669" t="s">
        <v>50</v>
      </c>
      <c r="L1669" t="s">
        <v>51</v>
      </c>
      <c r="M1669">
        <v>0</v>
      </c>
      <c r="N1669" t="s">
        <v>57</v>
      </c>
      <c r="O1669">
        <v>1</v>
      </c>
      <c r="P1669" t="s">
        <v>53</v>
      </c>
      <c r="Q1669" s="2">
        <v>0.5625</v>
      </c>
      <c r="R1669">
        <f>-0.007839499*3600</f>
        <v>-28.222196399999998</v>
      </c>
      <c r="S1669">
        <f>-0.0011089469*3600</f>
        <v>-3.9922088400000004</v>
      </c>
    </row>
    <row r="1670" spans="1:19" x14ac:dyDescent="0.3">
      <c r="A1670" s="4" t="s">
        <v>56</v>
      </c>
      <c r="B1670" t="s">
        <v>59</v>
      </c>
      <c r="C1670">
        <v>101.181713</v>
      </c>
      <c r="D1670">
        <v>299.976674</v>
      </c>
      <c r="E1670">
        <v>50.688000000000002</v>
      </c>
      <c r="F1670">
        <v>50.679099999999998</v>
      </c>
      <c r="G1670">
        <v>0</v>
      </c>
      <c r="H1670">
        <v>0.24299999999999999</v>
      </c>
      <c r="J1670" t="s">
        <v>0</v>
      </c>
      <c r="K1670" t="s">
        <v>50</v>
      </c>
      <c r="L1670" t="s">
        <v>51</v>
      </c>
      <c r="M1670">
        <v>0</v>
      </c>
      <c r="N1670" t="s">
        <v>57</v>
      </c>
      <c r="O1670">
        <v>1</v>
      </c>
      <c r="P1670" t="s">
        <v>53</v>
      </c>
      <c r="Q1670" s="2">
        <v>0.5625</v>
      </c>
      <c r="R1670">
        <f>-0.007777689*3600</f>
        <v>-27.999680399999999</v>
      </c>
      <c r="S1670">
        <f>-0.0016939166*3600</f>
        <v>-6.0980997600000002</v>
      </c>
    </row>
    <row r="1671" spans="1:19" x14ac:dyDescent="0.3">
      <c r="A1671" s="4" t="s">
        <v>56</v>
      </c>
      <c r="B1671" t="s">
        <v>49</v>
      </c>
      <c r="C1671">
        <v>91.976594000000006</v>
      </c>
      <c r="D1671">
        <v>98.777077000000006</v>
      </c>
      <c r="E1671">
        <v>80.558199999999999</v>
      </c>
      <c r="F1671">
        <v>80.529200000000003</v>
      </c>
      <c r="G1671">
        <v>0</v>
      </c>
      <c r="H1671">
        <v>0.245</v>
      </c>
      <c r="J1671" t="s">
        <v>0</v>
      </c>
      <c r="K1671" t="s">
        <v>50</v>
      </c>
      <c r="L1671" t="s">
        <v>51</v>
      </c>
      <c r="M1671">
        <v>0</v>
      </c>
      <c r="N1671" t="s">
        <v>57</v>
      </c>
      <c r="O1671">
        <v>1</v>
      </c>
      <c r="P1671" t="s">
        <v>53</v>
      </c>
      <c r="Q1671" s="2">
        <v>0.5625</v>
      </c>
      <c r="R1671">
        <f>0.0084609219*3600</f>
        <v>30.459318839999998</v>
      </c>
      <c r="S1671">
        <f>0.001745841*3600</f>
        <v>6.2850275999999994</v>
      </c>
    </row>
    <row r="1672" spans="1:19" x14ac:dyDescent="0.3">
      <c r="A1672" s="4" t="s">
        <v>56</v>
      </c>
      <c r="B1672" t="s">
        <v>49</v>
      </c>
      <c r="C1672">
        <v>291.98249099999998</v>
      </c>
      <c r="D1672">
        <v>301.22310099999999</v>
      </c>
      <c r="E1672">
        <v>80.558000000000007</v>
      </c>
      <c r="F1672">
        <v>80.528999999999996</v>
      </c>
      <c r="G1672">
        <v>0</v>
      </c>
      <c r="H1672">
        <v>0.245</v>
      </c>
      <c r="J1672" t="s">
        <v>0</v>
      </c>
      <c r="K1672" t="s">
        <v>50</v>
      </c>
      <c r="L1672" t="s">
        <v>51</v>
      </c>
      <c r="M1672">
        <v>0</v>
      </c>
      <c r="N1672" t="s">
        <v>57</v>
      </c>
      <c r="O1672">
        <v>1</v>
      </c>
      <c r="P1672" t="s">
        <v>53</v>
      </c>
      <c r="Q1672" s="2">
        <v>0.56319444444444444</v>
      </c>
      <c r="R1672">
        <f>0.0085011222*3600</f>
        <v>30.604039920000002</v>
      </c>
      <c r="S1672">
        <f>0.0016803593*3600</f>
        <v>6.0492934800000002</v>
      </c>
    </row>
    <row r="1673" spans="1:19" x14ac:dyDescent="0.3">
      <c r="A1673" s="4" t="s">
        <v>56</v>
      </c>
      <c r="B1673" t="s">
        <v>49</v>
      </c>
      <c r="C1673">
        <v>91.982588000000007</v>
      </c>
      <c r="D1673">
        <v>98.777139000000005</v>
      </c>
      <c r="E1673">
        <v>80.558000000000007</v>
      </c>
      <c r="F1673">
        <v>80.528999999999996</v>
      </c>
      <c r="G1673">
        <v>0</v>
      </c>
      <c r="H1673">
        <v>0.245</v>
      </c>
      <c r="J1673" t="s">
        <v>0</v>
      </c>
      <c r="K1673" t="s">
        <v>50</v>
      </c>
      <c r="L1673" t="s">
        <v>51</v>
      </c>
      <c r="M1673">
        <v>0</v>
      </c>
      <c r="N1673" t="s">
        <v>57</v>
      </c>
      <c r="O1673">
        <v>1</v>
      </c>
      <c r="P1673" t="s">
        <v>53</v>
      </c>
      <c r="Q1673" s="2">
        <v>0.56319444444444444</v>
      </c>
      <c r="R1673">
        <f>-0.0078824465*3600</f>
        <v>-28.376807399999997</v>
      </c>
      <c r="S1673">
        <f>-0.0018254093*3600</f>
        <v>-6.5714734799999999</v>
      </c>
    </row>
    <row r="1674" spans="1:19" x14ac:dyDescent="0.3">
      <c r="A1674" s="4" t="s">
        <v>56</v>
      </c>
      <c r="B1674" t="s">
        <v>49</v>
      </c>
      <c r="C1674">
        <v>291.98246699999999</v>
      </c>
      <c r="D1674">
        <v>301.22335399999997</v>
      </c>
      <c r="E1674">
        <v>80.558099999999996</v>
      </c>
      <c r="F1674">
        <v>80.5291</v>
      </c>
      <c r="G1674">
        <v>0</v>
      </c>
      <c r="H1674">
        <v>0.245</v>
      </c>
      <c r="J1674" t="s">
        <v>0</v>
      </c>
      <c r="K1674" t="s">
        <v>50</v>
      </c>
      <c r="L1674" t="s">
        <v>51</v>
      </c>
      <c r="M1674">
        <v>0</v>
      </c>
      <c r="N1674" t="s">
        <v>57</v>
      </c>
      <c r="O1674">
        <v>1</v>
      </c>
      <c r="P1674" t="s">
        <v>53</v>
      </c>
      <c r="Q1674" s="2">
        <v>0.56319444444444444</v>
      </c>
      <c r="R1674">
        <f>-0.0078756308*3600</f>
        <v>-28.352270879999999</v>
      </c>
      <c r="S1674">
        <f>-0.0020069997*3600</f>
        <v>-7.2251989200000004</v>
      </c>
    </row>
    <row r="1675" spans="1:19" x14ac:dyDescent="0.3">
      <c r="A1675" s="4" t="s">
        <v>56</v>
      </c>
      <c r="B1675" t="s">
        <v>49</v>
      </c>
      <c r="C1675">
        <v>91.982825000000005</v>
      </c>
      <c r="D1675">
        <v>98.776792999999998</v>
      </c>
      <c r="E1675">
        <v>80.558099999999996</v>
      </c>
      <c r="F1675">
        <v>80.5291</v>
      </c>
      <c r="G1675">
        <v>0</v>
      </c>
      <c r="H1675">
        <v>0.245</v>
      </c>
      <c r="J1675" t="s">
        <v>0</v>
      </c>
      <c r="K1675" t="s">
        <v>50</v>
      </c>
      <c r="L1675" t="s">
        <v>51</v>
      </c>
      <c r="M1675">
        <v>0</v>
      </c>
      <c r="N1675" t="s">
        <v>57</v>
      </c>
      <c r="O1675">
        <v>1</v>
      </c>
      <c r="P1675" t="s">
        <v>53</v>
      </c>
      <c r="Q1675" s="2">
        <v>0.56319444444444444</v>
      </c>
      <c r="R1675">
        <f>-0.007728589*3600</f>
        <v>-27.822920400000001</v>
      </c>
      <c r="S1675">
        <f>-0.002248918*3600</f>
        <v>-8.0961047999999991</v>
      </c>
    </row>
    <row r="1676" spans="1:19" x14ac:dyDescent="0.3">
      <c r="A1676" s="4" t="s">
        <v>56</v>
      </c>
      <c r="B1676" t="s">
        <v>49</v>
      </c>
      <c r="C1676">
        <v>291.98253399999999</v>
      </c>
      <c r="D1676">
        <v>301.22325799999999</v>
      </c>
      <c r="E1676">
        <v>80.5578</v>
      </c>
      <c r="F1676">
        <v>80.528800000000004</v>
      </c>
      <c r="G1676">
        <v>0</v>
      </c>
      <c r="H1676">
        <v>0.245</v>
      </c>
      <c r="J1676" t="s">
        <v>0</v>
      </c>
      <c r="K1676" t="s">
        <v>50</v>
      </c>
      <c r="L1676" t="s">
        <v>51</v>
      </c>
      <c r="M1676">
        <v>0</v>
      </c>
      <c r="N1676" t="s">
        <v>57</v>
      </c>
      <c r="O1676">
        <v>1</v>
      </c>
      <c r="P1676" t="s">
        <v>53</v>
      </c>
      <c r="Q1676" s="2">
        <v>0.56319444444444444</v>
      </c>
      <c r="R1676">
        <f>0.0082093744*3600</f>
        <v>29.55374784</v>
      </c>
      <c r="S1676">
        <f>0.0028071323*3600</f>
        <v>10.105676280000001</v>
      </c>
    </row>
    <row r="1677" spans="1:19" x14ac:dyDescent="0.3">
      <c r="A1677" s="4" t="s">
        <v>56</v>
      </c>
      <c r="B1677" t="s">
        <v>49</v>
      </c>
      <c r="C1677">
        <v>91.982688999999993</v>
      </c>
      <c r="D1677">
        <v>98.777080999999995</v>
      </c>
      <c r="E1677">
        <v>80.558000000000007</v>
      </c>
      <c r="F1677">
        <v>80.528999999999996</v>
      </c>
      <c r="G1677">
        <v>0</v>
      </c>
      <c r="H1677">
        <v>0.245</v>
      </c>
      <c r="J1677" t="s">
        <v>0</v>
      </c>
      <c r="K1677" t="s">
        <v>50</v>
      </c>
      <c r="L1677" t="s">
        <v>51</v>
      </c>
      <c r="M1677">
        <v>0</v>
      </c>
      <c r="N1677" t="s">
        <v>57</v>
      </c>
      <c r="O1677">
        <v>1</v>
      </c>
      <c r="P1677" t="s">
        <v>53</v>
      </c>
      <c r="Q1677" s="2">
        <v>0.56319444444444444</v>
      </c>
      <c r="R1677">
        <f>0.0082748328*3600</f>
        <v>29.789398079999998</v>
      </c>
      <c r="S1677">
        <f>0.0026524302*3600</f>
        <v>9.548748719999999</v>
      </c>
    </row>
    <row r="1678" spans="1:19" x14ac:dyDescent="0.3">
      <c r="A1678" s="4" t="s">
        <v>56</v>
      </c>
      <c r="B1678" t="s">
        <v>49</v>
      </c>
      <c r="C1678">
        <v>291.98199799999998</v>
      </c>
      <c r="D1678">
        <v>301.22374600000001</v>
      </c>
      <c r="E1678">
        <v>80.558099999999996</v>
      </c>
      <c r="F1678">
        <v>80.5291</v>
      </c>
      <c r="G1678">
        <v>0</v>
      </c>
      <c r="H1678">
        <v>0.245</v>
      </c>
      <c r="J1678" t="s">
        <v>0</v>
      </c>
      <c r="K1678" t="s">
        <v>50</v>
      </c>
      <c r="L1678" t="s">
        <v>51</v>
      </c>
      <c r="M1678">
        <v>0</v>
      </c>
      <c r="N1678" t="s">
        <v>57</v>
      </c>
      <c r="O1678">
        <v>1</v>
      </c>
      <c r="P1678" t="s">
        <v>53</v>
      </c>
      <c r="Q1678" s="2">
        <v>0.56319444444444444</v>
      </c>
      <c r="R1678">
        <f>0.0083400573*3600</f>
        <v>30.024206280000001</v>
      </c>
      <c r="S1678">
        <f>0.0023914975*3600</f>
        <v>8.6093910000000005</v>
      </c>
    </row>
    <row r="1679" spans="1:19" x14ac:dyDescent="0.3">
      <c r="A1679" s="4" t="s">
        <v>56</v>
      </c>
      <c r="B1679" t="s">
        <v>348</v>
      </c>
      <c r="C1679">
        <v>91.005859000000001</v>
      </c>
      <c r="D1679">
        <v>99.395692999999994</v>
      </c>
      <c r="E1679">
        <v>40.0839</v>
      </c>
      <c r="F1679">
        <v>40.075099999999999</v>
      </c>
      <c r="G1679">
        <v>0</v>
      </c>
      <c r="H1679">
        <v>0.24299999999999999</v>
      </c>
      <c r="J1679" t="s">
        <v>0</v>
      </c>
      <c r="K1679" t="s">
        <v>50</v>
      </c>
      <c r="L1679" t="s">
        <v>51</v>
      </c>
      <c r="M1679">
        <v>0</v>
      </c>
      <c r="N1679" t="s">
        <v>57</v>
      </c>
      <c r="O1679">
        <v>1</v>
      </c>
      <c r="P1679" t="s">
        <v>53</v>
      </c>
      <c r="Q1679" s="2">
        <v>0.56319444444444444</v>
      </c>
      <c r="R1679">
        <f>-0.0079863156*3600</f>
        <v>-28.750736159999999</v>
      </c>
      <c r="S1679">
        <f>-0.0009851274*3600</f>
        <v>-3.54645864</v>
      </c>
    </row>
    <row r="1680" spans="1:19" x14ac:dyDescent="0.3">
      <c r="A1680" s="4" t="s">
        <v>56</v>
      </c>
      <c r="B1680" t="s">
        <v>348</v>
      </c>
      <c r="C1680">
        <v>291.00219700000002</v>
      </c>
      <c r="D1680">
        <v>300.604106</v>
      </c>
      <c r="E1680">
        <v>40.083799999999997</v>
      </c>
      <c r="F1680">
        <v>40.075000000000003</v>
      </c>
      <c r="G1680">
        <v>0</v>
      </c>
      <c r="H1680">
        <v>0.24299999999999999</v>
      </c>
      <c r="J1680" t="s">
        <v>0</v>
      </c>
      <c r="K1680" t="s">
        <v>50</v>
      </c>
      <c r="L1680" t="s">
        <v>51</v>
      </c>
      <c r="M1680">
        <v>0</v>
      </c>
      <c r="N1680" t="s">
        <v>57</v>
      </c>
      <c r="O1680">
        <v>1</v>
      </c>
      <c r="P1680" t="s">
        <v>53</v>
      </c>
      <c r="Q1680" s="2">
        <v>0.56319444444444444</v>
      </c>
      <c r="R1680">
        <f>-0.0079417582*3600</f>
        <v>-28.590329519999997</v>
      </c>
      <c r="S1680">
        <f>-0.0010362494*3600</f>
        <v>-3.7304978400000004</v>
      </c>
    </row>
    <row r="1681" spans="1:19" x14ac:dyDescent="0.3">
      <c r="A1681" s="4" t="s">
        <v>56</v>
      </c>
      <c r="B1681" t="s">
        <v>348</v>
      </c>
      <c r="C1681">
        <v>91.002707999999998</v>
      </c>
      <c r="D1681">
        <v>99.395458000000005</v>
      </c>
      <c r="E1681">
        <v>40.0839</v>
      </c>
      <c r="F1681">
        <v>40.075099999999999</v>
      </c>
      <c r="G1681">
        <v>0</v>
      </c>
      <c r="H1681">
        <v>0.24299999999999999</v>
      </c>
      <c r="J1681" t="s">
        <v>0</v>
      </c>
      <c r="K1681" t="s">
        <v>50</v>
      </c>
      <c r="L1681" t="s">
        <v>51</v>
      </c>
      <c r="M1681">
        <v>0</v>
      </c>
      <c r="N1681" t="s">
        <v>57</v>
      </c>
      <c r="O1681">
        <v>1</v>
      </c>
      <c r="P1681" t="s">
        <v>53</v>
      </c>
      <c r="Q1681" s="2">
        <v>0.56319444444444444</v>
      </c>
      <c r="R1681">
        <f>-0.0077555516*3600</f>
        <v>-27.919985759999999</v>
      </c>
      <c r="S1681">
        <f>-0.0016254513*3600</f>
        <v>-5.8516246800000005</v>
      </c>
    </row>
    <row r="1682" spans="1:19" x14ac:dyDescent="0.3">
      <c r="A1682" s="4" t="s">
        <v>56</v>
      </c>
      <c r="B1682" t="s">
        <v>348</v>
      </c>
      <c r="C1682">
        <v>291.002092</v>
      </c>
      <c r="D1682">
        <v>300.604266</v>
      </c>
      <c r="E1682">
        <v>40.0839</v>
      </c>
      <c r="F1682">
        <v>40.075099999999999</v>
      </c>
      <c r="G1682">
        <v>0</v>
      </c>
      <c r="H1682">
        <v>0.24299999999999999</v>
      </c>
      <c r="J1682" t="s">
        <v>0</v>
      </c>
      <c r="K1682" t="s">
        <v>50</v>
      </c>
      <c r="L1682" t="s">
        <v>51</v>
      </c>
      <c r="M1682">
        <v>0</v>
      </c>
      <c r="N1682" t="s">
        <v>57</v>
      </c>
      <c r="O1682">
        <v>1</v>
      </c>
      <c r="P1682" t="s">
        <v>53</v>
      </c>
      <c r="Q1682" s="2">
        <v>0.56388888888888888</v>
      </c>
      <c r="R1682">
        <f>0.0083420399*3600</f>
        <v>30.031343640000003</v>
      </c>
      <c r="S1682">
        <f>0.0021653617*3600</f>
        <v>7.7953021199999997</v>
      </c>
    </row>
    <row r="1683" spans="1:19" x14ac:dyDescent="0.3">
      <c r="A1683" s="4" t="s">
        <v>56</v>
      </c>
      <c r="B1683" t="s">
        <v>348</v>
      </c>
      <c r="C1683">
        <v>91.002705000000006</v>
      </c>
      <c r="D1683">
        <v>99.395543000000004</v>
      </c>
      <c r="E1683">
        <v>40.083799999999997</v>
      </c>
      <c r="F1683">
        <v>40.075000000000003</v>
      </c>
      <c r="G1683">
        <v>0</v>
      </c>
      <c r="H1683">
        <v>0.24299999999999999</v>
      </c>
      <c r="J1683" t="s">
        <v>0</v>
      </c>
      <c r="K1683" t="s">
        <v>50</v>
      </c>
      <c r="L1683" t="s">
        <v>51</v>
      </c>
      <c r="M1683">
        <v>0</v>
      </c>
      <c r="N1683" t="s">
        <v>57</v>
      </c>
      <c r="O1683">
        <v>1</v>
      </c>
      <c r="P1683" t="s">
        <v>53</v>
      </c>
      <c r="Q1683" s="2">
        <v>0.56388888888888888</v>
      </c>
      <c r="R1683">
        <f>0.0083869183*3600</f>
        <v>30.192905880000001</v>
      </c>
      <c r="S1683">
        <f>0.001773397*3600</f>
        <v>6.3842292</v>
      </c>
    </row>
    <row r="1684" spans="1:19" x14ac:dyDescent="0.3">
      <c r="A1684" s="4" t="s">
        <v>56</v>
      </c>
      <c r="B1684" t="s">
        <v>348</v>
      </c>
      <c r="C1684">
        <v>291.00196099999999</v>
      </c>
      <c r="D1684">
        <v>300.60417000000001</v>
      </c>
      <c r="E1684">
        <v>40.0837</v>
      </c>
      <c r="F1684">
        <v>40.0749</v>
      </c>
      <c r="G1684">
        <v>0</v>
      </c>
      <c r="H1684">
        <v>0.24299999999999999</v>
      </c>
      <c r="J1684" t="s">
        <v>0</v>
      </c>
      <c r="K1684" t="s">
        <v>50</v>
      </c>
      <c r="L1684" t="s">
        <v>51</v>
      </c>
      <c r="M1684">
        <v>0</v>
      </c>
      <c r="N1684" t="s">
        <v>57</v>
      </c>
      <c r="O1684">
        <v>1</v>
      </c>
      <c r="P1684" t="s">
        <v>53</v>
      </c>
      <c r="Q1684" s="2">
        <v>0.56388888888888888</v>
      </c>
      <c r="R1684">
        <f>0.0085080152*3600</f>
        <v>30.62885472</v>
      </c>
      <c r="S1684">
        <f>0.0017306554*3600</f>
        <v>6.23035944</v>
      </c>
    </row>
    <row r="1685" spans="1:19" x14ac:dyDescent="0.3">
      <c r="A1685" s="4" t="s">
        <v>56</v>
      </c>
      <c r="B1685" t="s">
        <v>348</v>
      </c>
      <c r="C1685">
        <v>91.003034999999997</v>
      </c>
      <c r="D1685">
        <v>99.395600000000002</v>
      </c>
      <c r="E1685">
        <v>40.0837</v>
      </c>
      <c r="F1685">
        <v>40.0749</v>
      </c>
      <c r="G1685">
        <v>0</v>
      </c>
      <c r="H1685">
        <v>0.24299999999999999</v>
      </c>
      <c r="J1685" t="s">
        <v>0</v>
      </c>
      <c r="K1685" t="s">
        <v>50</v>
      </c>
      <c r="L1685" t="s">
        <v>51</v>
      </c>
      <c r="M1685">
        <v>0</v>
      </c>
      <c r="N1685" t="s">
        <v>57</v>
      </c>
      <c r="O1685">
        <v>1</v>
      </c>
      <c r="P1685" t="s">
        <v>53</v>
      </c>
      <c r="Q1685" s="2">
        <v>0.56388888888888888</v>
      </c>
      <c r="R1685">
        <f>-0.0079040701*3600</f>
        <v>-28.454652360000001</v>
      </c>
      <c r="S1685">
        <f>-0.0018537844*3600</f>
        <v>-6.6736238399999994</v>
      </c>
    </row>
    <row r="1686" spans="1:19" x14ac:dyDescent="0.3">
      <c r="A1686" s="4" t="s">
        <v>56</v>
      </c>
      <c r="B1686" t="s">
        <v>348</v>
      </c>
      <c r="C1686">
        <v>291.002342</v>
      </c>
      <c r="D1686">
        <v>300.604197</v>
      </c>
      <c r="E1686">
        <v>40.083599999999997</v>
      </c>
      <c r="F1686">
        <v>40.074800000000003</v>
      </c>
      <c r="G1686">
        <v>0</v>
      </c>
      <c r="H1686">
        <v>0.24299999999999999</v>
      </c>
      <c r="J1686" t="s">
        <v>0</v>
      </c>
      <c r="K1686" t="s">
        <v>50</v>
      </c>
      <c r="L1686" t="s">
        <v>51</v>
      </c>
      <c r="M1686">
        <v>0</v>
      </c>
      <c r="N1686" t="s">
        <v>57</v>
      </c>
      <c r="O1686">
        <v>1</v>
      </c>
      <c r="P1686" t="s">
        <v>53</v>
      </c>
      <c r="Q1686" s="2">
        <v>0.56388888888888888</v>
      </c>
      <c r="R1686">
        <f>-0.0078413107*3600</f>
        <v>-28.228718519999997</v>
      </c>
      <c r="S1686">
        <f>-0.0020509395*3600</f>
        <v>-7.3833821999999998</v>
      </c>
    </row>
    <row r="1687" spans="1:19" x14ac:dyDescent="0.3">
      <c r="A1687" s="4" t="s">
        <v>56</v>
      </c>
      <c r="B1687" t="s">
        <v>47</v>
      </c>
      <c r="C1687">
        <v>95.653660000000002</v>
      </c>
      <c r="D1687">
        <v>99.362841000000003</v>
      </c>
      <c r="E1687">
        <v>39.723500000000001</v>
      </c>
      <c r="F1687">
        <v>39.714500000000001</v>
      </c>
      <c r="G1687">
        <v>0</v>
      </c>
      <c r="H1687">
        <v>0.23899999999999999</v>
      </c>
      <c r="J1687" t="s">
        <v>0</v>
      </c>
      <c r="K1687" t="s">
        <v>50</v>
      </c>
      <c r="L1687" t="s">
        <v>51</v>
      </c>
      <c r="M1687">
        <v>0</v>
      </c>
      <c r="N1687" t="s">
        <v>57</v>
      </c>
      <c r="O1687">
        <v>1</v>
      </c>
      <c r="P1687" t="s">
        <v>53</v>
      </c>
      <c r="Q1687" s="2">
        <v>0.56388888888888888</v>
      </c>
      <c r="R1687">
        <f>-0.0076927248*3600</f>
        <v>-27.69380928</v>
      </c>
      <c r="S1687">
        <f>-0.0022950698*3600</f>
        <v>-8.262251280000001</v>
      </c>
    </row>
    <row r="1688" spans="1:19" x14ac:dyDescent="0.3">
      <c r="A1688" s="4" t="s">
        <v>56</v>
      </c>
      <c r="B1688" t="s">
        <v>47</v>
      </c>
      <c r="C1688">
        <v>295.65956699999998</v>
      </c>
      <c r="D1688">
        <v>300.63681600000001</v>
      </c>
      <c r="E1688">
        <v>39.723500000000001</v>
      </c>
      <c r="F1688">
        <v>39.714500000000001</v>
      </c>
      <c r="G1688">
        <v>0</v>
      </c>
      <c r="H1688">
        <v>0.23899999999999999</v>
      </c>
      <c r="J1688" t="s">
        <v>0</v>
      </c>
      <c r="K1688" t="s">
        <v>50</v>
      </c>
      <c r="L1688" t="s">
        <v>51</v>
      </c>
      <c r="M1688">
        <v>0</v>
      </c>
      <c r="N1688" t="s">
        <v>57</v>
      </c>
      <c r="O1688">
        <v>1</v>
      </c>
      <c r="P1688" t="s">
        <v>53</v>
      </c>
      <c r="Q1688" s="2">
        <v>0.56388888888888888</v>
      </c>
      <c r="R1688">
        <f>0.0080169152*3600</f>
        <v>28.860894720000001</v>
      </c>
      <c r="S1688">
        <f>0.0026660598*3600</f>
        <v>9.5978152800000007</v>
      </c>
    </row>
    <row r="1689" spans="1:19" x14ac:dyDescent="0.3">
      <c r="A1689" s="4" t="s">
        <v>56</v>
      </c>
      <c r="B1689" t="s">
        <v>47</v>
      </c>
      <c r="C1689">
        <v>95.659907000000004</v>
      </c>
      <c r="D1689">
        <v>99.362643000000006</v>
      </c>
      <c r="E1689">
        <v>39.723500000000001</v>
      </c>
      <c r="F1689">
        <v>39.714500000000001</v>
      </c>
      <c r="G1689">
        <v>0</v>
      </c>
      <c r="H1689">
        <v>0.23899999999999999</v>
      </c>
      <c r="J1689" t="s">
        <v>0</v>
      </c>
      <c r="K1689" t="s">
        <v>50</v>
      </c>
      <c r="L1689" t="s">
        <v>51</v>
      </c>
      <c r="M1689">
        <v>0</v>
      </c>
      <c r="N1689" t="s">
        <v>57</v>
      </c>
      <c r="O1689">
        <v>1</v>
      </c>
      <c r="P1689" t="s">
        <v>53</v>
      </c>
      <c r="Q1689" s="2">
        <v>0.56388888888888888</v>
      </c>
      <c r="R1689">
        <f>0.0081152546*3600</f>
        <v>29.214916559999999</v>
      </c>
      <c r="S1689">
        <f>0.0023686921*3600</f>
        <v>8.5272915600000001</v>
      </c>
    </row>
    <row r="1690" spans="1:19" x14ac:dyDescent="0.3">
      <c r="A1690" s="4" t="s">
        <v>56</v>
      </c>
      <c r="B1690" t="s">
        <v>47</v>
      </c>
      <c r="C1690">
        <v>295.65977400000003</v>
      </c>
      <c r="D1690">
        <v>300.636641</v>
      </c>
      <c r="E1690">
        <v>39.723599999999998</v>
      </c>
      <c r="F1690">
        <v>39.714599999999997</v>
      </c>
      <c r="G1690">
        <v>0</v>
      </c>
      <c r="H1690">
        <v>0.23899999999999999</v>
      </c>
      <c r="J1690" t="s">
        <v>0</v>
      </c>
      <c r="K1690" t="s">
        <v>50</v>
      </c>
      <c r="L1690" t="s">
        <v>51</v>
      </c>
      <c r="M1690">
        <v>0</v>
      </c>
      <c r="N1690" t="s">
        <v>57</v>
      </c>
      <c r="O1690">
        <v>1</v>
      </c>
      <c r="P1690" t="s">
        <v>53</v>
      </c>
      <c r="Q1690" s="2">
        <v>0.56388888888888888</v>
      </c>
      <c r="R1690">
        <f>0.008095327*3600</f>
        <v>29.143177199999997</v>
      </c>
      <c r="S1690">
        <f>0.0022141215*3600</f>
        <v>7.9708374000000006</v>
      </c>
    </row>
    <row r="1691" spans="1:19" x14ac:dyDescent="0.3">
      <c r="A1691" s="4" t="s">
        <v>56</v>
      </c>
      <c r="B1691" t="s">
        <v>47</v>
      </c>
      <c r="C1691">
        <v>95.659496000000004</v>
      </c>
      <c r="D1691">
        <v>99.362797</v>
      </c>
      <c r="E1691">
        <v>39.723700000000001</v>
      </c>
      <c r="F1691">
        <v>39.714700000000001</v>
      </c>
      <c r="G1691">
        <v>0</v>
      </c>
      <c r="H1691">
        <v>0.23899999999999999</v>
      </c>
      <c r="J1691" t="s">
        <v>0</v>
      </c>
      <c r="K1691" t="s">
        <v>50</v>
      </c>
      <c r="L1691" t="s">
        <v>51</v>
      </c>
      <c r="M1691">
        <v>0</v>
      </c>
      <c r="N1691" t="s">
        <v>57</v>
      </c>
      <c r="O1691">
        <v>1</v>
      </c>
      <c r="P1691" t="s">
        <v>53</v>
      </c>
      <c r="Q1691" s="2">
        <v>0.56458333333333333</v>
      </c>
      <c r="R1691">
        <f>-0.007932155*3600</f>
        <v>-28.555758000000001</v>
      </c>
      <c r="S1691">
        <f>-0.0011982335*3600</f>
        <v>-4.3136406000000003</v>
      </c>
    </row>
    <row r="1692" spans="1:19" x14ac:dyDescent="0.3">
      <c r="A1692" s="4" t="s">
        <v>56</v>
      </c>
      <c r="B1692" t="s">
        <v>47</v>
      </c>
      <c r="C1692">
        <v>295.659761</v>
      </c>
      <c r="D1692">
        <v>300.63709799999998</v>
      </c>
      <c r="E1692">
        <v>39.723500000000001</v>
      </c>
      <c r="F1692">
        <v>39.714500000000001</v>
      </c>
      <c r="G1692">
        <v>0</v>
      </c>
      <c r="H1692">
        <v>0.23899999999999999</v>
      </c>
      <c r="J1692" t="s">
        <v>0</v>
      </c>
      <c r="K1692" t="s">
        <v>50</v>
      </c>
      <c r="L1692" t="s">
        <v>51</v>
      </c>
      <c r="M1692">
        <v>0</v>
      </c>
      <c r="N1692" t="s">
        <v>57</v>
      </c>
      <c r="O1692">
        <v>1</v>
      </c>
      <c r="P1692" t="s">
        <v>53</v>
      </c>
      <c r="Q1692" s="2">
        <v>0.56458333333333333</v>
      </c>
      <c r="R1692">
        <f>-0.0080001514*3600</f>
        <v>-28.800545040000003</v>
      </c>
      <c r="S1692">
        <f>-0.0012529469*3600</f>
        <v>-4.5106088400000006</v>
      </c>
    </row>
    <row r="1693" spans="1:19" x14ac:dyDescent="0.3">
      <c r="A1693" s="4" t="s">
        <v>56</v>
      </c>
      <c r="B1693" t="s">
        <v>47</v>
      </c>
      <c r="C1693">
        <v>95.659507000000005</v>
      </c>
      <c r="D1693">
        <v>99.362734000000003</v>
      </c>
      <c r="E1693">
        <v>39.723599999999998</v>
      </c>
      <c r="F1693">
        <v>39.714599999999997</v>
      </c>
      <c r="G1693">
        <v>0</v>
      </c>
      <c r="H1693">
        <v>0.23899999999999999</v>
      </c>
      <c r="J1693" t="s">
        <v>0</v>
      </c>
      <c r="K1693" t="s">
        <v>50</v>
      </c>
      <c r="L1693" t="s">
        <v>51</v>
      </c>
      <c r="M1693">
        <v>0</v>
      </c>
      <c r="N1693" t="s">
        <v>57</v>
      </c>
      <c r="O1693">
        <v>1</v>
      </c>
      <c r="P1693" t="s">
        <v>53</v>
      </c>
      <c r="Q1693" s="2">
        <v>0.56458333333333333</v>
      </c>
      <c r="R1693">
        <f>-0.0078103628*3600</f>
        <v>-28.117306079999999</v>
      </c>
      <c r="S1693">
        <f>-0.0018227733*3600</f>
        <v>-6.5619838800000005</v>
      </c>
    </row>
    <row r="1694" spans="1:19" x14ac:dyDescent="0.3">
      <c r="A1694" s="4" t="s">
        <v>56</v>
      </c>
      <c r="B1694" t="s">
        <v>47</v>
      </c>
      <c r="C1694">
        <v>295.65995500000002</v>
      </c>
      <c r="D1694">
        <v>300.63726000000003</v>
      </c>
      <c r="E1694">
        <v>39.723500000000001</v>
      </c>
      <c r="F1694">
        <v>39.714500000000001</v>
      </c>
      <c r="G1694">
        <v>0</v>
      </c>
      <c r="H1694">
        <v>0.23899999999999999</v>
      </c>
      <c r="J1694" t="s">
        <v>0</v>
      </c>
      <c r="K1694" t="s">
        <v>50</v>
      </c>
      <c r="L1694" t="s">
        <v>51</v>
      </c>
      <c r="M1694">
        <v>0</v>
      </c>
      <c r="N1694" t="s">
        <v>57</v>
      </c>
      <c r="O1694">
        <v>1</v>
      </c>
      <c r="P1694" t="s">
        <v>53</v>
      </c>
      <c r="Q1694" s="2">
        <v>0.56458333333333333</v>
      </c>
      <c r="R1694">
        <f>0.0079859238*3600</f>
        <v>28.749325679999998</v>
      </c>
      <c r="S1694">
        <f>0.0026463638*3600</f>
        <v>9.5269096799999993</v>
      </c>
    </row>
    <row r="1695" spans="1:19" x14ac:dyDescent="0.3">
      <c r="A1695" t="s">
        <v>0</v>
      </c>
      <c r="B1695" t="s">
        <v>40</v>
      </c>
      <c r="C1695" t="s">
        <v>41</v>
      </c>
      <c r="D1695" t="s">
        <v>42</v>
      </c>
      <c r="E1695">
        <v>5</v>
      </c>
    </row>
    <row r="1696" spans="1:19" x14ac:dyDescent="0.3">
      <c r="A1696" t="s">
        <v>0</v>
      </c>
      <c r="B1696" t="s">
        <v>43</v>
      </c>
      <c r="C1696" t="s">
        <v>44</v>
      </c>
      <c r="D1696">
        <v>1522</v>
      </c>
    </row>
    <row r="1697" spans="1:19" x14ac:dyDescent="0.3">
      <c r="A1697" t="s">
        <v>0</v>
      </c>
      <c r="B1697" t="s">
        <v>43</v>
      </c>
      <c r="C1697" t="s">
        <v>45</v>
      </c>
      <c r="D1697" t="s">
        <v>44</v>
      </c>
      <c r="E1697">
        <v>1.0015224713999999</v>
      </c>
    </row>
    <row r="1701" spans="1:19" x14ac:dyDescent="0.3">
      <c r="A1701" t="s">
        <v>46</v>
      </c>
      <c r="B1701" t="s">
        <v>58</v>
      </c>
    </row>
    <row r="1702" spans="1:19" x14ac:dyDescent="0.3">
      <c r="A1702" t="s">
        <v>48</v>
      </c>
      <c r="B1702" t="s">
        <v>47</v>
      </c>
      <c r="C1702">
        <v>80.059911999999997</v>
      </c>
      <c r="D1702">
        <v>99.536974000000001</v>
      </c>
      <c r="E1702">
        <v>71.080500000000001</v>
      </c>
      <c r="F1702">
        <v>71.186800000000005</v>
      </c>
      <c r="G1702">
        <v>0.24299999999999999</v>
      </c>
      <c r="H1702">
        <v>0.23899999999999999</v>
      </c>
      <c r="J1702" t="s">
        <v>0</v>
      </c>
      <c r="K1702" t="s">
        <v>50</v>
      </c>
      <c r="L1702" t="s">
        <v>51</v>
      </c>
      <c r="M1702">
        <v>0</v>
      </c>
      <c r="N1702" t="s">
        <v>52</v>
      </c>
      <c r="O1702">
        <v>1</v>
      </c>
      <c r="P1702" t="s">
        <v>53</v>
      </c>
      <c r="Q1702" s="2">
        <v>0.57291666666666663</v>
      </c>
      <c r="R1702">
        <f>0.0003872174*3600</f>
        <v>1.3939826399999999</v>
      </c>
      <c r="S1702">
        <f>0.0006491242*3600</f>
        <v>2.3368471199999998</v>
      </c>
    </row>
    <row r="1703" spans="1:19" x14ac:dyDescent="0.3">
      <c r="A1703" t="s">
        <v>29</v>
      </c>
      <c r="B1703">
        <v>18</v>
      </c>
      <c r="C1703" t="s">
        <v>30</v>
      </c>
      <c r="D1703" s="3">
        <v>0.86</v>
      </c>
      <c r="E1703" t="s">
        <v>31</v>
      </c>
      <c r="F1703" t="s">
        <v>32</v>
      </c>
      <c r="G1703" t="s">
        <v>33</v>
      </c>
      <c r="H1703" t="s">
        <v>34</v>
      </c>
    </row>
    <row r="1704" spans="1:19" x14ac:dyDescent="0.3">
      <c r="A1704" t="s">
        <v>35</v>
      </c>
      <c r="B1704" t="s">
        <v>342</v>
      </c>
      <c r="C1704" t="s">
        <v>35</v>
      </c>
      <c r="D1704" t="s">
        <v>350</v>
      </c>
    </row>
    <row r="1705" spans="1:19" x14ac:dyDescent="0.3">
      <c r="A1705" t="s">
        <v>38</v>
      </c>
      <c r="B1705" t="s">
        <v>39</v>
      </c>
      <c r="C1705">
        <v>0.13</v>
      </c>
    </row>
    <row r="1707" spans="1:19" x14ac:dyDescent="0.3">
      <c r="A1707" s="4" t="s">
        <v>58</v>
      </c>
      <c r="B1707" t="s">
        <v>59</v>
      </c>
      <c r="C1707">
        <v>287.85118899999998</v>
      </c>
      <c r="D1707">
        <v>99.668301999999997</v>
      </c>
      <c r="E1707">
        <v>19.361999999999998</v>
      </c>
      <c r="F1707">
        <v>19.391200000000001</v>
      </c>
      <c r="G1707">
        <v>0.24299999999999999</v>
      </c>
      <c r="H1707">
        <v>0.24299999999999999</v>
      </c>
      <c r="J1707" t="s">
        <v>0</v>
      </c>
      <c r="K1707" t="s">
        <v>50</v>
      </c>
      <c r="L1707" t="s">
        <v>51</v>
      </c>
      <c r="M1707">
        <v>0</v>
      </c>
      <c r="N1707" t="s">
        <v>57</v>
      </c>
      <c r="O1707">
        <v>1</v>
      </c>
      <c r="P1707" t="s">
        <v>53</v>
      </c>
      <c r="Q1707" s="2">
        <v>0.57291666666666663</v>
      </c>
      <c r="R1707">
        <f>0.0004181202*3600</f>
        <v>1.50523272</v>
      </c>
      <c r="S1707">
        <f>0.0006641227*3600</f>
        <v>2.3908417200000001</v>
      </c>
    </row>
    <row r="1708" spans="1:19" x14ac:dyDescent="0.3">
      <c r="A1708" s="4" t="s">
        <v>58</v>
      </c>
      <c r="B1708" t="s">
        <v>59</v>
      </c>
      <c r="C1708">
        <v>87.851121000000006</v>
      </c>
      <c r="D1708">
        <v>300.33020299999998</v>
      </c>
      <c r="E1708">
        <v>19.361699999999999</v>
      </c>
      <c r="F1708">
        <v>19.390899999999998</v>
      </c>
      <c r="G1708">
        <v>0.24299999999999999</v>
      </c>
      <c r="H1708">
        <v>0.24299999999999999</v>
      </c>
      <c r="J1708" t="s">
        <v>0</v>
      </c>
      <c r="K1708" t="s">
        <v>50</v>
      </c>
      <c r="L1708" t="s">
        <v>51</v>
      </c>
      <c r="M1708">
        <v>0</v>
      </c>
      <c r="N1708" t="s">
        <v>57</v>
      </c>
      <c r="O1708">
        <v>1</v>
      </c>
      <c r="P1708" t="s">
        <v>53</v>
      </c>
      <c r="Q1708" s="2">
        <v>0.57291666666666663</v>
      </c>
      <c r="R1708">
        <f>0.0003607817*3600</f>
        <v>1.2988141199999998</v>
      </c>
      <c r="S1708">
        <f>0.0005926386*3600</f>
        <v>2.1334989600000003</v>
      </c>
    </row>
    <row r="1709" spans="1:19" x14ac:dyDescent="0.3">
      <c r="A1709" s="4" t="s">
        <v>58</v>
      </c>
      <c r="B1709" t="s">
        <v>59</v>
      </c>
      <c r="C1709">
        <v>287.85157099999998</v>
      </c>
      <c r="D1709">
        <v>99.668391</v>
      </c>
      <c r="E1709">
        <v>19.361899999999999</v>
      </c>
      <c r="F1709">
        <v>19.391100000000002</v>
      </c>
      <c r="G1709">
        <v>0.24299999999999999</v>
      </c>
      <c r="H1709">
        <v>0.24299999999999999</v>
      </c>
      <c r="J1709" t="s">
        <v>0</v>
      </c>
      <c r="K1709" t="s">
        <v>50</v>
      </c>
      <c r="L1709" t="s">
        <v>51</v>
      </c>
      <c r="M1709">
        <v>0</v>
      </c>
      <c r="N1709" t="s">
        <v>57</v>
      </c>
      <c r="O1709">
        <v>1</v>
      </c>
      <c r="P1709" t="s">
        <v>53</v>
      </c>
      <c r="Q1709" s="2">
        <v>0.57430555555555551</v>
      </c>
      <c r="R1709">
        <f>-0.0003713091*3600</f>
        <v>-1.3367127599999999</v>
      </c>
      <c r="S1709">
        <f>-0.0007305503*3600</f>
        <v>-2.6299810800000003</v>
      </c>
    </row>
    <row r="1710" spans="1:19" x14ac:dyDescent="0.3">
      <c r="A1710" s="4" t="s">
        <v>58</v>
      </c>
      <c r="B1710" t="s">
        <v>59</v>
      </c>
      <c r="C1710">
        <v>87.851083000000003</v>
      </c>
      <c r="D1710">
        <v>300.33007199999997</v>
      </c>
      <c r="E1710">
        <v>19.361699999999999</v>
      </c>
      <c r="F1710">
        <v>19.390899999999998</v>
      </c>
      <c r="G1710">
        <v>0.24299999999999999</v>
      </c>
      <c r="H1710">
        <v>0.24299999999999999</v>
      </c>
      <c r="J1710" t="s">
        <v>0</v>
      </c>
      <c r="K1710" t="s">
        <v>50</v>
      </c>
      <c r="L1710" t="s">
        <v>51</v>
      </c>
      <c r="M1710">
        <v>0</v>
      </c>
      <c r="N1710" t="s">
        <v>57</v>
      </c>
      <c r="O1710">
        <v>1</v>
      </c>
      <c r="P1710" t="s">
        <v>53</v>
      </c>
      <c r="Q1710" s="2">
        <v>0.5756944444444444</v>
      </c>
      <c r="R1710">
        <f>-0.0002238559*3600</f>
        <v>-0.80588123999999994</v>
      </c>
      <c r="S1710">
        <f>-0.0006705558*3600</f>
        <v>-2.4140008800000001</v>
      </c>
    </row>
    <row r="1711" spans="1:19" x14ac:dyDescent="0.3">
      <c r="A1711" s="4" t="s">
        <v>58</v>
      </c>
      <c r="B1711" t="s">
        <v>59</v>
      </c>
      <c r="C1711">
        <v>287.85169400000001</v>
      </c>
      <c r="D1711">
        <v>99.668322000000003</v>
      </c>
      <c r="E1711">
        <v>19.361899999999999</v>
      </c>
      <c r="F1711">
        <v>19.391100000000002</v>
      </c>
      <c r="G1711">
        <v>0.24299999999999999</v>
      </c>
      <c r="H1711">
        <v>0.24299999999999999</v>
      </c>
      <c r="J1711" t="s">
        <v>0</v>
      </c>
      <c r="K1711" t="s">
        <v>50</v>
      </c>
      <c r="L1711" t="s">
        <v>51</v>
      </c>
      <c r="M1711">
        <v>0</v>
      </c>
      <c r="N1711" t="s">
        <v>57</v>
      </c>
      <c r="O1711">
        <v>1</v>
      </c>
      <c r="P1711" t="s">
        <v>53</v>
      </c>
      <c r="Q1711" s="2">
        <v>0.5756944444444444</v>
      </c>
      <c r="R1711">
        <f>-0.000324307*3600</f>
        <v>-1.1675052000000001</v>
      </c>
      <c r="S1711">
        <f>-0.0007414394*3600</f>
        <v>-2.6691818400000002</v>
      </c>
    </row>
    <row r="1712" spans="1:19" x14ac:dyDescent="0.3">
      <c r="A1712" s="4" t="s">
        <v>58</v>
      </c>
      <c r="B1712" t="s">
        <v>59</v>
      </c>
      <c r="C1712">
        <v>87.850948000000002</v>
      </c>
      <c r="D1712">
        <v>300.33019899999999</v>
      </c>
      <c r="E1712">
        <v>19.361599999999999</v>
      </c>
      <c r="F1712">
        <v>19.390799999999999</v>
      </c>
      <c r="G1712">
        <v>0.24299999999999999</v>
      </c>
      <c r="H1712">
        <v>0.24299999999999999</v>
      </c>
      <c r="J1712" t="s">
        <v>0</v>
      </c>
      <c r="K1712" t="s">
        <v>50</v>
      </c>
      <c r="L1712" t="s">
        <v>51</v>
      </c>
      <c r="M1712">
        <v>0</v>
      </c>
      <c r="N1712" t="s">
        <v>57</v>
      </c>
      <c r="O1712">
        <v>1</v>
      </c>
      <c r="P1712" t="s">
        <v>53</v>
      </c>
      <c r="Q1712" s="2">
        <v>0.57638888888888895</v>
      </c>
      <c r="R1712">
        <f>0.0000427622*3600</f>
        <v>0.15394392000000001</v>
      </c>
      <c r="S1712">
        <f>0.0005549909*3600</f>
        <v>1.9979672399999999</v>
      </c>
    </row>
    <row r="1713" spans="1:19" x14ac:dyDescent="0.3">
      <c r="A1713" s="4" t="s">
        <v>58</v>
      </c>
      <c r="B1713" t="s">
        <v>59</v>
      </c>
      <c r="C1713">
        <v>287.85168099999999</v>
      </c>
      <c r="D1713">
        <v>99.668244999999999</v>
      </c>
      <c r="E1713">
        <v>19.361899999999999</v>
      </c>
      <c r="F1713">
        <v>19.391100000000002</v>
      </c>
      <c r="G1713">
        <v>0.24299999999999999</v>
      </c>
      <c r="H1713">
        <v>0.24299999999999999</v>
      </c>
      <c r="J1713" t="s">
        <v>0</v>
      </c>
      <c r="K1713" t="s">
        <v>50</v>
      </c>
      <c r="L1713" t="s">
        <v>51</v>
      </c>
      <c r="M1713">
        <v>0</v>
      </c>
      <c r="N1713" t="s">
        <v>57</v>
      </c>
      <c r="O1713">
        <v>1</v>
      </c>
      <c r="P1713" t="s">
        <v>53</v>
      </c>
      <c r="Q1713" s="2">
        <v>0.57638888888888895</v>
      </c>
      <c r="R1713">
        <f>-0.0000387834*3600</f>
        <v>-0.13962024000000001</v>
      </c>
      <c r="S1713">
        <f>0.0005793954*3600</f>
        <v>2.08582344</v>
      </c>
    </row>
    <row r="1714" spans="1:19" x14ac:dyDescent="0.3">
      <c r="A1714" s="4" t="s">
        <v>58</v>
      </c>
      <c r="B1714" t="s">
        <v>59</v>
      </c>
      <c r="C1714">
        <v>87.850881999999999</v>
      </c>
      <c r="D1714">
        <v>300.33023200000002</v>
      </c>
      <c r="E1714">
        <v>19.361499999999999</v>
      </c>
      <c r="F1714">
        <v>19.390699999999999</v>
      </c>
      <c r="G1714">
        <v>0.24299999999999999</v>
      </c>
      <c r="H1714">
        <v>0.24299999999999999</v>
      </c>
      <c r="J1714" t="s">
        <v>0</v>
      </c>
      <c r="K1714" t="s">
        <v>50</v>
      </c>
      <c r="L1714" t="s">
        <v>51</v>
      </c>
      <c r="M1714">
        <v>0</v>
      </c>
      <c r="N1714" t="s">
        <v>57</v>
      </c>
      <c r="O1714">
        <v>1</v>
      </c>
      <c r="P1714" t="s">
        <v>53</v>
      </c>
      <c r="Q1714" s="2">
        <v>0.57638888888888895</v>
      </c>
      <c r="R1714">
        <f>-0.0000131688*3600</f>
        <v>-4.7407680000000001E-2</v>
      </c>
      <c r="S1714">
        <f>0.000629273*3600</f>
        <v>2.2653827999999998</v>
      </c>
    </row>
    <row r="1715" spans="1:19" x14ac:dyDescent="0.3">
      <c r="A1715" s="4" t="s">
        <v>58</v>
      </c>
      <c r="B1715" t="s">
        <v>361</v>
      </c>
      <c r="C1715">
        <v>291.18077699999998</v>
      </c>
      <c r="D1715">
        <v>100.130912</v>
      </c>
      <c r="E1715">
        <v>42.266399999999997</v>
      </c>
      <c r="F1715">
        <v>42.3307</v>
      </c>
      <c r="G1715">
        <v>0.24299999999999999</v>
      </c>
      <c r="H1715">
        <v>0.24</v>
      </c>
      <c r="J1715" t="s">
        <v>0</v>
      </c>
      <c r="K1715" t="s">
        <v>50</v>
      </c>
      <c r="L1715" t="s">
        <v>51</v>
      </c>
      <c r="M1715">
        <v>0</v>
      </c>
      <c r="N1715" t="s">
        <v>57</v>
      </c>
      <c r="O1715">
        <v>1</v>
      </c>
      <c r="P1715" t="s">
        <v>53</v>
      </c>
      <c r="Q1715" s="2">
        <v>0.57638888888888895</v>
      </c>
      <c r="R1715">
        <f>-0.0003204853*3600</f>
        <v>-1.15374708</v>
      </c>
      <c r="S1715">
        <f>-0.0006749975*3600</f>
        <v>-2.4299910000000002</v>
      </c>
    </row>
    <row r="1716" spans="1:19" x14ac:dyDescent="0.3">
      <c r="A1716" s="4" t="s">
        <v>58</v>
      </c>
      <c r="B1716" t="s">
        <v>361</v>
      </c>
      <c r="C1716">
        <v>91.180216999999999</v>
      </c>
      <c r="D1716">
        <v>299.86895800000002</v>
      </c>
      <c r="E1716">
        <v>42.266199999999998</v>
      </c>
      <c r="F1716">
        <v>42.330500000000001</v>
      </c>
      <c r="G1716">
        <v>0.24299999999999999</v>
      </c>
      <c r="H1716">
        <v>0.24</v>
      </c>
      <c r="J1716" t="s">
        <v>0</v>
      </c>
      <c r="K1716" t="s">
        <v>50</v>
      </c>
      <c r="L1716" t="s">
        <v>51</v>
      </c>
      <c r="M1716">
        <v>0</v>
      </c>
      <c r="N1716" t="s">
        <v>57</v>
      </c>
      <c r="O1716">
        <v>1</v>
      </c>
      <c r="P1716" t="s">
        <v>53</v>
      </c>
      <c r="Q1716" s="2">
        <v>0.57638888888888895</v>
      </c>
      <c r="R1716">
        <f>-0.0003047705*3600</f>
        <v>-1.0971738</v>
      </c>
      <c r="S1716">
        <f>-0.0006796063*3600</f>
        <v>-2.4465826800000001</v>
      </c>
    </row>
    <row r="1717" spans="1:19" x14ac:dyDescent="0.3">
      <c r="A1717" s="4" t="s">
        <v>58</v>
      </c>
      <c r="B1717" t="s">
        <v>361</v>
      </c>
      <c r="C1717">
        <v>291.180409</v>
      </c>
      <c r="D1717">
        <v>100.130889</v>
      </c>
      <c r="E1717">
        <v>42.266800000000003</v>
      </c>
      <c r="F1717">
        <v>42.331099999999999</v>
      </c>
      <c r="G1717">
        <v>0.24299999999999999</v>
      </c>
      <c r="H1717">
        <v>0.24</v>
      </c>
      <c r="J1717" t="s">
        <v>0</v>
      </c>
      <c r="K1717" t="s">
        <v>50</v>
      </c>
      <c r="L1717" t="s">
        <v>51</v>
      </c>
      <c r="M1717">
        <v>0</v>
      </c>
      <c r="N1717" t="s">
        <v>57</v>
      </c>
      <c r="O1717">
        <v>1</v>
      </c>
      <c r="P1717" t="s">
        <v>53</v>
      </c>
      <c r="Q1717" s="2">
        <v>0.57638888888888895</v>
      </c>
      <c r="R1717">
        <f>0.0007792502*3600</f>
        <v>2.80530072</v>
      </c>
      <c r="S1717">
        <f>0.0008783212*3600</f>
        <v>3.1619563199999998</v>
      </c>
    </row>
    <row r="1718" spans="1:19" x14ac:dyDescent="0.3">
      <c r="A1718" s="4" t="s">
        <v>58</v>
      </c>
      <c r="B1718" t="s">
        <v>361</v>
      </c>
      <c r="C1718">
        <v>91.180222999999998</v>
      </c>
      <c r="D1718">
        <v>299.86898300000001</v>
      </c>
      <c r="E1718">
        <v>42.266300000000001</v>
      </c>
      <c r="F1718">
        <v>42.330599999999997</v>
      </c>
      <c r="G1718">
        <v>0.24299999999999999</v>
      </c>
      <c r="H1718">
        <v>0.24</v>
      </c>
      <c r="J1718" t="s">
        <v>0</v>
      </c>
      <c r="K1718" t="s">
        <v>50</v>
      </c>
      <c r="L1718" t="s">
        <v>51</v>
      </c>
      <c r="M1718">
        <v>0</v>
      </c>
      <c r="N1718" t="s">
        <v>57</v>
      </c>
      <c r="O1718">
        <v>1</v>
      </c>
      <c r="P1718" t="s">
        <v>53</v>
      </c>
      <c r="Q1718" s="2">
        <v>0.57638888888888895</v>
      </c>
      <c r="R1718">
        <f>0.0007358152*3600</f>
        <v>2.6489347199999997</v>
      </c>
      <c r="S1718">
        <f>0.0008785983*3600</f>
        <v>3.1629538799999999</v>
      </c>
    </row>
    <row r="1719" spans="1:19" x14ac:dyDescent="0.3">
      <c r="A1719" s="4" t="s">
        <v>58</v>
      </c>
      <c r="B1719" t="s">
        <v>361</v>
      </c>
      <c r="C1719">
        <v>291.18032199999999</v>
      </c>
      <c r="D1719">
        <v>100.130664</v>
      </c>
      <c r="E1719">
        <v>42.266399999999997</v>
      </c>
      <c r="F1719">
        <v>42.3307</v>
      </c>
      <c r="G1719">
        <v>0.24299999999999999</v>
      </c>
      <c r="H1719">
        <v>0.24</v>
      </c>
      <c r="J1719" t="s">
        <v>0</v>
      </c>
      <c r="K1719" t="s">
        <v>50</v>
      </c>
      <c r="L1719" t="s">
        <v>51</v>
      </c>
      <c r="M1719">
        <v>0</v>
      </c>
      <c r="N1719" t="s">
        <v>57</v>
      </c>
      <c r="O1719">
        <v>1</v>
      </c>
      <c r="P1719" t="s">
        <v>53</v>
      </c>
      <c r="Q1719" s="2">
        <v>0.57708333333333328</v>
      </c>
      <c r="R1719">
        <f>0.0001097943*3600</f>
        <v>0.39525948</v>
      </c>
      <c r="S1719">
        <f>0.0005522395*3600</f>
        <v>1.9880622000000001</v>
      </c>
    </row>
    <row r="1720" spans="1:19" x14ac:dyDescent="0.3">
      <c r="A1720" s="4" t="s">
        <v>58</v>
      </c>
      <c r="B1720" t="s">
        <v>361</v>
      </c>
      <c r="C1720">
        <v>91.179940999999999</v>
      </c>
      <c r="D1720">
        <v>299.86894899999999</v>
      </c>
      <c r="E1720">
        <v>42.266300000000001</v>
      </c>
      <c r="F1720">
        <v>42.330599999999997</v>
      </c>
      <c r="G1720">
        <v>0.24299999999999999</v>
      </c>
      <c r="H1720">
        <v>0.24</v>
      </c>
      <c r="J1720" t="s">
        <v>0</v>
      </c>
      <c r="K1720" t="s">
        <v>50</v>
      </c>
      <c r="L1720" t="s">
        <v>51</v>
      </c>
      <c r="M1720">
        <v>0</v>
      </c>
      <c r="N1720" t="s">
        <v>57</v>
      </c>
      <c r="O1720">
        <v>1</v>
      </c>
      <c r="P1720" t="s">
        <v>53</v>
      </c>
      <c r="Q1720" s="2">
        <v>0.57708333333333328</v>
      </c>
      <c r="R1720">
        <f>-0.0002806729*3600</f>
        <v>-1.0104224400000001</v>
      </c>
      <c r="S1720">
        <f>-0.0005063617*3600</f>
        <v>-1.82290212</v>
      </c>
    </row>
    <row r="1721" spans="1:19" x14ac:dyDescent="0.3">
      <c r="A1721" s="4" t="s">
        <v>58</v>
      </c>
      <c r="B1721" t="s">
        <v>361</v>
      </c>
      <c r="C1721">
        <v>291.18046700000002</v>
      </c>
      <c r="D1721">
        <v>100.13074400000001</v>
      </c>
      <c r="E1721">
        <v>42.2667</v>
      </c>
      <c r="F1721">
        <v>42.331000000000003</v>
      </c>
      <c r="G1721">
        <v>0.24299999999999999</v>
      </c>
      <c r="H1721">
        <v>0.24</v>
      </c>
      <c r="J1721" t="s">
        <v>0</v>
      </c>
      <c r="K1721" t="s">
        <v>50</v>
      </c>
      <c r="L1721" t="s">
        <v>51</v>
      </c>
      <c r="M1721">
        <v>0</v>
      </c>
      <c r="N1721" t="s">
        <v>57</v>
      </c>
      <c r="O1721">
        <v>1</v>
      </c>
      <c r="P1721" t="s">
        <v>53</v>
      </c>
      <c r="Q1721" s="2">
        <v>0.57708333333333328</v>
      </c>
      <c r="R1721">
        <f>-0.0002555821*3600</f>
        <v>-0.92009556000000003</v>
      </c>
      <c r="S1721">
        <f>-0.0006810975*3600</f>
        <v>-2.4519510000000002</v>
      </c>
    </row>
    <row r="1722" spans="1:19" x14ac:dyDescent="0.3">
      <c r="A1722" s="4" t="s">
        <v>58</v>
      </c>
      <c r="B1722" t="s">
        <v>361</v>
      </c>
      <c r="C1722">
        <v>91.180195999999995</v>
      </c>
      <c r="D1722">
        <v>299.86912899999999</v>
      </c>
      <c r="E1722">
        <v>42.266300000000001</v>
      </c>
      <c r="F1722">
        <v>42.330599999999997</v>
      </c>
      <c r="G1722">
        <v>0.24299999999999999</v>
      </c>
      <c r="H1722">
        <v>0.24</v>
      </c>
      <c r="J1722" t="s">
        <v>0</v>
      </c>
      <c r="K1722" t="s">
        <v>50</v>
      </c>
      <c r="L1722" t="s">
        <v>51</v>
      </c>
      <c r="M1722">
        <v>0</v>
      </c>
      <c r="N1722" t="s">
        <v>57</v>
      </c>
      <c r="O1722">
        <v>1</v>
      </c>
      <c r="P1722" t="s">
        <v>53</v>
      </c>
      <c r="Q1722" s="2">
        <v>0.57708333333333328</v>
      </c>
      <c r="R1722">
        <f>-0.0003271705*3600</f>
        <v>-1.1778138</v>
      </c>
      <c r="S1722">
        <f>-0.0006850739*3600</f>
        <v>-2.4662660399999998</v>
      </c>
    </row>
    <row r="1723" spans="1:19" x14ac:dyDescent="0.3">
      <c r="A1723" s="4" t="s">
        <v>58</v>
      </c>
      <c r="B1723" t="s">
        <v>360</v>
      </c>
      <c r="C1723">
        <v>292.80054000000001</v>
      </c>
      <c r="D1723">
        <v>100.19663199999999</v>
      </c>
      <c r="E1723">
        <v>54.075800000000001</v>
      </c>
      <c r="F1723">
        <v>54.157899999999998</v>
      </c>
      <c r="G1723">
        <v>0.24299999999999999</v>
      </c>
      <c r="H1723">
        <v>0.24</v>
      </c>
      <c r="J1723" t="s">
        <v>0</v>
      </c>
      <c r="K1723" t="s">
        <v>50</v>
      </c>
      <c r="L1723" t="s">
        <v>51</v>
      </c>
      <c r="M1723">
        <v>0</v>
      </c>
      <c r="N1723" t="s">
        <v>57</v>
      </c>
      <c r="O1723">
        <v>1</v>
      </c>
      <c r="P1723" t="s">
        <v>53</v>
      </c>
      <c r="Q1723" s="2">
        <v>0.57708333333333328</v>
      </c>
      <c r="R1723">
        <f>0.0000146709*3600</f>
        <v>5.2815239999999999E-2</v>
      </c>
      <c r="S1723">
        <f>0.0005924348*3600</f>
        <v>2.1327652800000001</v>
      </c>
    </row>
    <row r="1724" spans="1:19" x14ac:dyDescent="0.3">
      <c r="A1724" s="4" t="s">
        <v>58</v>
      </c>
      <c r="B1724" t="s">
        <v>360</v>
      </c>
      <c r="C1724">
        <v>92.800410999999997</v>
      </c>
      <c r="D1724">
        <v>299.803946</v>
      </c>
      <c r="E1724">
        <v>54.075499999999998</v>
      </c>
      <c r="F1724">
        <v>54.157600000000002</v>
      </c>
      <c r="G1724">
        <v>0.24299999999999999</v>
      </c>
      <c r="H1724">
        <v>0.24</v>
      </c>
      <c r="J1724" t="s">
        <v>0</v>
      </c>
      <c r="K1724" t="s">
        <v>50</v>
      </c>
      <c r="L1724" t="s">
        <v>51</v>
      </c>
      <c r="M1724">
        <v>0</v>
      </c>
      <c r="N1724" t="s">
        <v>57</v>
      </c>
      <c r="O1724">
        <v>1</v>
      </c>
      <c r="P1724" t="s">
        <v>53</v>
      </c>
      <c r="Q1724" s="2">
        <v>0.57708333333333328</v>
      </c>
      <c r="R1724">
        <f>0.0001055693*3600</f>
        <v>0.38004948</v>
      </c>
      <c r="S1724">
        <f>0.0006111955*3600</f>
        <v>2.2003037999999999</v>
      </c>
    </row>
    <row r="1725" spans="1:19" x14ac:dyDescent="0.3">
      <c r="A1725" s="4" t="s">
        <v>58</v>
      </c>
      <c r="B1725" t="s">
        <v>360</v>
      </c>
      <c r="C1725">
        <v>292.80076400000002</v>
      </c>
      <c r="D1725">
        <v>100.195913</v>
      </c>
      <c r="E1725">
        <v>54.075899999999997</v>
      </c>
      <c r="F1725">
        <v>54.158000000000001</v>
      </c>
      <c r="G1725">
        <v>0.24299999999999999</v>
      </c>
      <c r="H1725">
        <v>0.24</v>
      </c>
      <c r="J1725" t="s">
        <v>0</v>
      </c>
      <c r="K1725" t="s">
        <v>50</v>
      </c>
      <c r="L1725" t="s">
        <v>51</v>
      </c>
      <c r="M1725">
        <v>0</v>
      </c>
      <c r="N1725" t="s">
        <v>57</v>
      </c>
      <c r="O1725">
        <v>1</v>
      </c>
      <c r="P1725" t="s">
        <v>53</v>
      </c>
      <c r="Q1725" s="2">
        <v>0.57708333333333328</v>
      </c>
      <c r="R1725">
        <f>-0.0002755151*3600</f>
        <v>-0.99185435999999993</v>
      </c>
      <c r="S1725">
        <f>-0.0006408599*3600</f>
        <v>-2.30709564</v>
      </c>
    </row>
    <row r="1726" spans="1:19" x14ac:dyDescent="0.3">
      <c r="A1726" s="4" t="s">
        <v>58</v>
      </c>
      <c r="B1726" t="s">
        <v>360</v>
      </c>
      <c r="C1726">
        <v>92.800353999999999</v>
      </c>
      <c r="D1726">
        <v>299.80399599999998</v>
      </c>
      <c r="E1726">
        <v>54.075699999999998</v>
      </c>
      <c r="F1726">
        <v>54.157800000000002</v>
      </c>
      <c r="G1726">
        <v>0.24299999999999999</v>
      </c>
      <c r="H1726">
        <v>0.24</v>
      </c>
      <c r="J1726" t="s">
        <v>0</v>
      </c>
      <c r="K1726" t="s">
        <v>50</v>
      </c>
      <c r="L1726" t="s">
        <v>51</v>
      </c>
      <c r="M1726">
        <v>0</v>
      </c>
      <c r="N1726" t="s">
        <v>57</v>
      </c>
      <c r="O1726">
        <v>1</v>
      </c>
      <c r="P1726" t="s">
        <v>53</v>
      </c>
      <c r="Q1726" s="2">
        <v>0.57708333333333328</v>
      </c>
      <c r="R1726">
        <f>-0.0003556845*3600</f>
        <v>-1.2804641999999999</v>
      </c>
      <c r="S1726">
        <f>-0.0006749186*3600</f>
        <v>-2.4297069600000003</v>
      </c>
    </row>
    <row r="1727" spans="1:19" x14ac:dyDescent="0.3">
      <c r="A1727" s="4" t="s">
        <v>58</v>
      </c>
      <c r="B1727" t="s">
        <v>360</v>
      </c>
      <c r="C1727">
        <v>292.800409</v>
      </c>
      <c r="D1727">
        <v>100.19578</v>
      </c>
      <c r="E1727">
        <v>54.075699999999998</v>
      </c>
      <c r="F1727">
        <v>54.157800000000002</v>
      </c>
      <c r="G1727">
        <v>0.24299999999999999</v>
      </c>
      <c r="H1727">
        <v>0.24</v>
      </c>
      <c r="J1727" t="s">
        <v>0</v>
      </c>
      <c r="K1727" t="s">
        <v>50</v>
      </c>
      <c r="L1727" t="s">
        <v>51</v>
      </c>
      <c r="M1727">
        <v>0</v>
      </c>
      <c r="N1727" t="s">
        <v>57</v>
      </c>
      <c r="O1727">
        <v>1</v>
      </c>
      <c r="P1727" t="s">
        <v>53</v>
      </c>
      <c r="Q1727" s="2">
        <v>0.57777777777777783</v>
      </c>
      <c r="R1727">
        <f>0.0004706213*3600</f>
        <v>1.6942366799999999</v>
      </c>
      <c r="S1727">
        <f>0.0007116018*3600</f>
        <v>2.5617664800000002</v>
      </c>
    </row>
    <row r="1728" spans="1:19" x14ac:dyDescent="0.3">
      <c r="A1728" s="4" t="s">
        <v>58</v>
      </c>
      <c r="B1728" t="s">
        <v>360</v>
      </c>
      <c r="C1728">
        <v>92.800452000000007</v>
      </c>
      <c r="D1728">
        <v>299.80416000000002</v>
      </c>
      <c r="E1728">
        <v>54.075699999999998</v>
      </c>
      <c r="F1728">
        <v>54.157800000000002</v>
      </c>
      <c r="G1728">
        <v>0.24299999999999999</v>
      </c>
      <c r="H1728">
        <v>0.24</v>
      </c>
      <c r="J1728" t="s">
        <v>0</v>
      </c>
      <c r="K1728" t="s">
        <v>50</v>
      </c>
      <c r="L1728" t="s">
        <v>51</v>
      </c>
      <c r="M1728">
        <v>0</v>
      </c>
      <c r="N1728" t="s">
        <v>57</v>
      </c>
      <c r="O1728">
        <v>1</v>
      </c>
      <c r="P1728" t="s">
        <v>53</v>
      </c>
      <c r="Q1728" s="2">
        <v>0.57708333333333328</v>
      </c>
      <c r="R1728">
        <f>0.000229471*3600</f>
        <v>0.82609560000000004</v>
      </c>
      <c r="S1728">
        <f>0.0005797846*3600</f>
        <v>2.0872245599999997</v>
      </c>
    </row>
    <row r="1729" spans="1:19" x14ac:dyDescent="0.3">
      <c r="A1729" s="4" t="s">
        <v>58</v>
      </c>
      <c r="B1729" t="s">
        <v>360</v>
      </c>
      <c r="C1729">
        <v>292.80099300000001</v>
      </c>
      <c r="D1729">
        <v>100.19595</v>
      </c>
      <c r="E1729">
        <v>54.075800000000001</v>
      </c>
      <c r="F1729">
        <v>54.157899999999998</v>
      </c>
      <c r="G1729">
        <v>0.24299999999999999</v>
      </c>
      <c r="H1729">
        <v>0.24</v>
      </c>
      <c r="J1729" t="s">
        <v>0</v>
      </c>
      <c r="K1729" t="s">
        <v>50</v>
      </c>
      <c r="L1729" t="s">
        <v>51</v>
      </c>
      <c r="M1729">
        <v>0</v>
      </c>
      <c r="N1729" t="s">
        <v>57</v>
      </c>
      <c r="O1729">
        <v>1</v>
      </c>
      <c r="P1729" t="s">
        <v>53</v>
      </c>
      <c r="Q1729" s="2">
        <v>0.57708333333333328</v>
      </c>
      <c r="R1729">
        <f>0.0001997489*3600</f>
        <v>0.71909604000000005</v>
      </c>
      <c r="S1729">
        <f>0.0006466977*3600</f>
        <v>2.3281117199999999</v>
      </c>
    </row>
    <row r="1730" spans="1:19" x14ac:dyDescent="0.3">
      <c r="A1730" s="4" t="s">
        <v>58</v>
      </c>
      <c r="B1730" t="s">
        <v>360</v>
      </c>
      <c r="C1730">
        <v>92.800449999999998</v>
      </c>
      <c r="D1730">
        <v>299.80440800000002</v>
      </c>
      <c r="E1730">
        <v>54.075400000000002</v>
      </c>
      <c r="F1730">
        <v>54.157499999999999</v>
      </c>
      <c r="G1730">
        <v>0.24299999999999999</v>
      </c>
      <c r="H1730">
        <v>0.24</v>
      </c>
      <c r="J1730" t="s">
        <v>0</v>
      </c>
      <c r="K1730" t="s">
        <v>50</v>
      </c>
      <c r="L1730" t="s">
        <v>51</v>
      </c>
      <c r="M1730">
        <v>0</v>
      </c>
      <c r="N1730" t="s">
        <v>57</v>
      </c>
      <c r="O1730">
        <v>1</v>
      </c>
      <c r="P1730" t="s">
        <v>53</v>
      </c>
      <c r="Q1730" s="2">
        <v>0.57777777777777783</v>
      </c>
      <c r="R1730">
        <f>-0.0002661861*3600</f>
        <v>-0.95826995999999998</v>
      </c>
      <c r="S1730">
        <f>0.0000388364*3600</f>
        <v>0.13981104</v>
      </c>
    </row>
    <row r="1731" spans="1:19" x14ac:dyDescent="0.3">
      <c r="A1731" s="4" t="s">
        <v>58</v>
      </c>
      <c r="B1731" t="s">
        <v>56</v>
      </c>
      <c r="C1731">
        <v>81.868637000000007</v>
      </c>
      <c r="D1731">
        <v>99.757866000000007</v>
      </c>
      <c r="E1731">
        <v>31.3797</v>
      </c>
      <c r="F1731">
        <v>31.427199999999999</v>
      </c>
      <c r="G1731">
        <v>0.24299999999999999</v>
      </c>
      <c r="H1731">
        <v>0</v>
      </c>
      <c r="J1731" t="s">
        <v>0</v>
      </c>
      <c r="K1731" t="s">
        <v>50</v>
      </c>
      <c r="L1731" t="s">
        <v>51</v>
      </c>
      <c r="M1731">
        <v>0</v>
      </c>
      <c r="N1731" t="s">
        <v>57</v>
      </c>
      <c r="O1731">
        <v>1</v>
      </c>
      <c r="P1731" t="s">
        <v>53</v>
      </c>
      <c r="Q1731" s="2">
        <v>0.57777777777777783</v>
      </c>
      <c r="R1731">
        <f>0.0004839707*3600</f>
        <v>1.74229452</v>
      </c>
      <c r="S1731">
        <f>0.0007749808*3600</f>
        <v>2.78993088</v>
      </c>
    </row>
    <row r="1732" spans="1:19" x14ac:dyDescent="0.3">
      <c r="A1732" s="4" t="s">
        <v>58</v>
      </c>
      <c r="B1732" t="s">
        <v>56</v>
      </c>
      <c r="C1732">
        <v>281.86831699999999</v>
      </c>
      <c r="D1732">
        <v>300.24196899999998</v>
      </c>
      <c r="E1732">
        <v>31.379799999999999</v>
      </c>
      <c r="F1732">
        <v>31.427299999999999</v>
      </c>
      <c r="G1732">
        <v>0.24299999999999999</v>
      </c>
      <c r="H1732">
        <v>0</v>
      </c>
      <c r="J1732" t="s">
        <v>0</v>
      </c>
      <c r="K1732" t="s">
        <v>50</v>
      </c>
      <c r="L1732" t="s">
        <v>51</v>
      </c>
      <c r="M1732">
        <v>0</v>
      </c>
      <c r="N1732" t="s">
        <v>57</v>
      </c>
      <c r="O1732">
        <v>1</v>
      </c>
      <c r="P1732" t="s">
        <v>53</v>
      </c>
      <c r="Q1732" s="2">
        <v>0.57777777777777783</v>
      </c>
      <c r="R1732">
        <f>0.0004630192*3600</f>
        <v>1.6668691200000001</v>
      </c>
      <c r="S1732">
        <f>0.0008241689*3600</f>
        <v>2.9670080400000001</v>
      </c>
    </row>
    <row r="1733" spans="1:19" x14ac:dyDescent="0.3">
      <c r="A1733" s="4" t="s">
        <v>58</v>
      </c>
      <c r="B1733" t="s">
        <v>56</v>
      </c>
      <c r="C1733">
        <v>81.868944999999997</v>
      </c>
      <c r="D1733">
        <v>99.757412000000002</v>
      </c>
      <c r="E1733">
        <v>31.380099999999999</v>
      </c>
      <c r="F1733">
        <v>31.427600000000002</v>
      </c>
      <c r="G1733">
        <v>0.24299999999999999</v>
      </c>
      <c r="H1733">
        <v>0</v>
      </c>
      <c r="J1733" t="s">
        <v>0</v>
      </c>
      <c r="K1733" t="s">
        <v>50</v>
      </c>
      <c r="L1733" t="s">
        <v>51</v>
      </c>
      <c r="M1733">
        <v>0</v>
      </c>
      <c r="N1733" t="s">
        <v>57</v>
      </c>
      <c r="O1733">
        <v>1</v>
      </c>
      <c r="P1733" t="s">
        <v>53</v>
      </c>
      <c r="Q1733" s="2">
        <v>0.57777777777777783</v>
      </c>
      <c r="R1733">
        <f>-0.0001250846*3600</f>
        <v>-0.45030456000000002</v>
      </c>
      <c r="S1733">
        <f>-0.0000389786*3600</f>
        <v>-0.14032296</v>
      </c>
    </row>
    <row r="1734" spans="1:19" x14ac:dyDescent="0.3">
      <c r="A1734" s="4" t="s">
        <v>58</v>
      </c>
      <c r="B1734" t="s">
        <v>56</v>
      </c>
      <c r="C1734">
        <v>281.86845199999999</v>
      </c>
      <c r="D1734">
        <v>300.24178699999999</v>
      </c>
      <c r="E1734">
        <v>31.379799999999999</v>
      </c>
      <c r="F1734">
        <v>31.427299999999999</v>
      </c>
      <c r="G1734">
        <v>0.24299999999999999</v>
      </c>
      <c r="H1734">
        <v>0</v>
      </c>
      <c r="J1734" t="s">
        <v>0</v>
      </c>
      <c r="K1734" t="s">
        <v>50</v>
      </c>
      <c r="L1734" t="s">
        <v>51</v>
      </c>
      <c r="M1734">
        <v>0</v>
      </c>
      <c r="N1734" t="s">
        <v>57</v>
      </c>
      <c r="O1734">
        <v>1</v>
      </c>
      <c r="P1734" t="s">
        <v>53</v>
      </c>
      <c r="Q1734" s="2">
        <v>0.57777777777777783</v>
      </c>
      <c r="R1734">
        <f>-0.00017664*3600</f>
        <v>-0.63590399999999991</v>
      </c>
      <c r="S1734">
        <f>-0.0000546226*3600</f>
        <v>-0.19664136000000002</v>
      </c>
    </row>
    <row r="1735" spans="1:19" x14ac:dyDescent="0.3">
      <c r="A1735" s="4" t="s">
        <v>58</v>
      </c>
      <c r="B1735" t="s">
        <v>56</v>
      </c>
      <c r="C1735">
        <v>81.868925000000004</v>
      </c>
      <c r="D1735">
        <v>99.757474000000002</v>
      </c>
      <c r="E1735">
        <v>31.38</v>
      </c>
      <c r="F1735">
        <v>31.427499999999998</v>
      </c>
      <c r="G1735">
        <v>0.24299999999999999</v>
      </c>
      <c r="H1735">
        <v>0</v>
      </c>
      <c r="J1735" t="s">
        <v>0</v>
      </c>
      <c r="K1735" t="s">
        <v>50</v>
      </c>
      <c r="L1735" t="s">
        <v>51</v>
      </c>
      <c r="M1735">
        <v>0</v>
      </c>
      <c r="N1735" t="s">
        <v>57</v>
      </c>
      <c r="O1735">
        <v>1</v>
      </c>
      <c r="P1735" t="s">
        <v>53</v>
      </c>
      <c r="Q1735" s="2">
        <v>0.57777777777777783</v>
      </c>
      <c r="R1735">
        <f>0.0002118788*3600</f>
        <v>0.76276368000000005</v>
      </c>
      <c r="S1735">
        <f>0.000629264*3600</f>
        <v>2.2653504</v>
      </c>
    </row>
    <row r="1736" spans="1:19" x14ac:dyDescent="0.3">
      <c r="A1736" s="4" t="s">
        <v>58</v>
      </c>
      <c r="B1736" t="s">
        <v>56</v>
      </c>
      <c r="C1736">
        <v>281.868337</v>
      </c>
      <c r="D1736">
        <v>300.24204800000001</v>
      </c>
      <c r="E1736">
        <v>31.3797</v>
      </c>
      <c r="F1736">
        <v>31.427199999999999</v>
      </c>
      <c r="G1736">
        <v>0.24299999999999999</v>
      </c>
      <c r="H1736">
        <v>0</v>
      </c>
      <c r="J1736" t="s">
        <v>0</v>
      </c>
      <c r="K1736" t="s">
        <v>50</v>
      </c>
      <c r="L1736" t="s">
        <v>51</v>
      </c>
      <c r="M1736">
        <v>0</v>
      </c>
      <c r="N1736" t="s">
        <v>57</v>
      </c>
      <c r="O1736">
        <v>1</v>
      </c>
      <c r="P1736" t="s">
        <v>53</v>
      </c>
      <c r="Q1736" s="2">
        <v>0.57777777777777783</v>
      </c>
      <c r="R1736">
        <f>0.0001398296*3600</f>
        <v>0.50338655999999993</v>
      </c>
      <c r="S1736">
        <f>0.0006067629*3600</f>
        <v>2.1843464400000001</v>
      </c>
    </row>
    <row r="1737" spans="1:19" x14ac:dyDescent="0.3">
      <c r="A1737" s="4" t="s">
        <v>58</v>
      </c>
      <c r="B1737" t="s">
        <v>56</v>
      </c>
      <c r="C1737">
        <v>81.868894999999995</v>
      </c>
      <c r="D1737">
        <v>99.757514</v>
      </c>
      <c r="E1737">
        <v>31.38</v>
      </c>
      <c r="F1737">
        <v>31.427499999999998</v>
      </c>
      <c r="G1737">
        <v>0.24299999999999999</v>
      </c>
      <c r="H1737">
        <v>0</v>
      </c>
      <c r="J1737" t="s">
        <v>0</v>
      </c>
      <c r="K1737" t="s">
        <v>50</v>
      </c>
      <c r="L1737" t="s">
        <v>51</v>
      </c>
      <c r="M1737">
        <v>0</v>
      </c>
      <c r="N1737" t="s">
        <v>57</v>
      </c>
      <c r="O1737">
        <v>1</v>
      </c>
      <c r="P1737" t="s">
        <v>53</v>
      </c>
      <c r="Q1737" s="2">
        <v>0.57847222222222217</v>
      </c>
      <c r="R1737">
        <f>-0.0002622151*3600</f>
        <v>-0.9439743599999999</v>
      </c>
      <c r="S1737">
        <f>0.0000114103*3600</f>
        <v>4.1077080000000002E-2</v>
      </c>
    </row>
    <row r="1738" spans="1:19" x14ac:dyDescent="0.3">
      <c r="A1738" s="4" t="s">
        <v>58</v>
      </c>
      <c r="B1738" t="s">
        <v>56</v>
      </c>
      <c r="C1738">
        <v>281.86853100000002</v>
      </c>
      <c r="D1738">
        <v>300.24164100000002</v>
      </c>
      <c r="E1738">
        <v>31.3797</v>
      </c>
      <c r="F1738">
        <v>31.427199999999999</v>
      </c>
      <c r="G1738">
        <v>0.24299999999999999</v>
      </c>
      <c r="H1738">
        <v>0</v>
      </c>
      <c r="J1738" t="s">
        <v>0</v>
      </c>
      <c r="K1738" t="s">
        <v>50</v>
      </c>
      <c r="L1738" t="s">
        <v>51</v>
      </c>
      <c r="M1738">
        <v>0</v>
      </c>
      <c r="N1738" t="s">
        <v>57</v>
      </c>
      <c r="O1738">
        <v>1</v>
      </c>
      <c r="P1738" t="s">
        <v>53</v>
      </c>
      <c r="Q1738" s="2">
        <v>0.57847222222222217</v>
      </c>
      <c r="R1738">
        <f>-0.0002071865*3600</f>
        <v>-0.74587139999999996</v>
      </c>
      <c r="S1738">
        <f>-0.0001495657*3600</f>
        <v>-0.53843651999999997</v>
      </c>
    </row>
    <row r="1739" spans="1:19" x14ac:dyDescent="0.3">
      <c r="A1739" s="4" t="s">
        <v>58</v>
      </c>
      <c r="B1739" t="s">
        <v>47</v>
      </c>
      <c r="C1739">
        <v>80.058822000000006</v>
      </c>
      <c r="D1739">
        <v>99.537020999999996</v>
      </c>
      <c r="E1739">
        <v>71.080500000000001</v>
      </c>
      <c r="F1739">
        <v>71.186800000000005</v>
      </c>
      <c r="G1739">
        <v>0.24299999999999999</v>
      </c>
      <c r="H1739">
        <v>0.23899999999999999</v>
      </c>
      <c r="J1739" t="s">
        <v>0</v>
      </c>
      <c r="K1739" t="s">
        <v>50</v>
      </c>
      <c r="L1739" t="s">
        <v>51</v>
      </c>
      <c r="M1739">
        <v>0</v>
      </c>
      <c r="N1739" t="s">
        <v>57</v>
      </c>
      <c r="O1739">
        <v>1</v>
      </c>
      <c r="P1739" t="s">
        <v>53</v>
      </c>
      <c r="Q1739" s="2">
        <v>0.57847222222222217</v>
      </c>
      <c r="R1739">
        <f>-0.0002304429*3600</f>
        <v>-0.82959444000000004</v>
      </c>
      <c r="S1739">
        <f>-0.0000987932*3600</f>
        <v>-0.35565552</v>
      </c>
    </row>
    <row r="1740" spans="1:19" x14ac:dyDescent="0.3">
      <c r="A1740" s="4" t="s">
        <v>58</v>
      </c>
      <c r="B1740" t="s">
        <v>47</v>
      </c>
      <c r="C1740">
        <v>280.05874999999997</v>
      </c>
      <c r="D1740">
        <v>300.46360700000002</v>
      </c>
      <c r="E1740">
        <v>71.080500000000001</v>
      </c>
      <c r="F1740">
        <v>71.186800000000005</v>
      </c>
      <c r="G1740">
        <v>0.24299999999999999</v>
      </c>
      <c r="H1740">
        <v>0.23899999999999999</v>
      </c>
      <c r="J1740" t="s">
        <v>0</v>
      </c>
      <c r="K1740" t="s">
        <v>50</v>
      </c>
      <c r="L1740" t="s">
        <v>51</v>
      </c>
      <c r="M1740">
        <v>0</v>
      </c>
      <c r="N1740" t="s">
        <v>57</v>
      </c>
      <c r="O1740">
        <v>1</v>
      </c>
      <c r="P1740" t="s">
        <v>53</v>
      </c>
      <c r="Q1740" s="2">
        <v>0.57847222222222217</v>
      </c>
      <c r="R1740">
        <f>0.0000863121*3600</f>
        <v>0.31072356000000001</v>
      </c>
      <c r="S1740">
        <f>0.0006195332*3600</f>
        <v>2.2303195200000001</v>
      </c>
    </row>
    <row r="1741" spans="1:19" x14ac:dyDescent="0.3">
      <c r="A1741" s="4" t="s">
        <v>58</v>
      </c>
      <c r="B1741" t="s">
        <v>47</v>
      </c>
      <c r="C1741">
        <v>80.059057999999993</v>
      </c>
      <c r="D1741">
        <v>99.536804000000004</v>
      </c>
      <c r="E1741">
        <v>71.0809</v>
      </c>
      <c r="F1741">
        <v>71.187200000000004</v>
      </c>
      <c r="G1741">
        <v>0.24299999999999999</v>
      </c>
      <c r="H1741">
        <v>0.23899999999999999</v>
      </c>
      <c r="J1741" t="s">
        <v>0</v>
      </c>
      <c r="K1741" t="s">
        <v>50</v>
      </c>
      <c r="L1741" t="s">
        <v>51</v>
      </c>
      <c r="M1741">
        <v>0</v>
      </c>
      <c r="N1741" t="s">
        <v>57</v>
      </c>
      <c r="O1741">
        <v>1</v>
      </c>
      <c r="P1741" t="s">
        <v>53</v>
      </c>
      <c r="Q1741" s="2">
        <v>0.57847222222222217</v>
      </c>
      <c r="R1741">
        <f>0.0000039222*3600</f>
        <v>1.4119920000000001E-2</v>
      </c>
      <c r="S1741">
        <f>0.0005953409*3600</f>
        <v>2.1432272399999999</v>
      </c>
    </row>
    <row r="1742" spans="1:19" x14ac:dyDescent="0.3">
      <c r="A1742" s="4" t="s">
        <v>58</v>
      </c>
      <c r="B1742" t="s">
        <v>47</v>
      </c>
      <c r="C1742">
        <v>280.05874499999999</v>
      </c>
      <c r="D1742">
        <v>300.464113</v>
      </c>
      <c r="E1742">
        <v>71.080699999999993</v>
      </c>
      <c r="F1742">
        <v>71.186999999999998</v>
      </c>
      <c r="G1742">
        <v>0.24299999999999999</v>
      </c>
      <c r="H1742">
        <v>0.23899999999999999</v>
      </c>
      <c r="J1742" t="s">
        <v>0</v>
      </c>
      <c r="K1742" t="s">
        <v>50</v>
      </c>
      <c r="L1742" t="s">
        <v>51</v>
      </c>
      <c r="M1742">
        <v>0</v>
      </c>
      <c r="N1742" t="s">
        <v>57</v>
      </c>
      <c r="O1742">
        <v>1</v>
      </c>
      <c r="P1742" t="s">
        <v>53</v>
      </c>
      <c r="Q1742" s="2">
        <v>0.57847222222222217</v>
      </c>
      <c r="R1742">
        <f>0.0000799028*3600</f>
        <v>0.28765007999999997</v>
      </c>
      <c r="S1742">
        <f>0.0005435948*3600</f>
        <v>1.9569412799999999</v>
      </c>
    </row>
    <row r="1743" spans="1:19" x14ac:dyDescent="0.3">
      <c r="A1743" s="4" t="s">
        <v>58</v>
      </c>
      <c r="B1743" t="s">
        <v>47</v>
      </c>
      <c r="C1743">
        <v>80.058890000000005</v>
      </c>
      <c r="D1743">
        <v>99.537103000000002</v>
      </c>
      <c r="E1743">
        <v>71.081000000000003</v>
      </c>
      <c r="F1743">
        <v>71.187299999999993</v>
      </c>
      <c r="G1743">
        <v>0.24299999999999999</v>
      </c>
      <c r="H1743">
        <v>0.23899999999999999</v>
      </c>
      <c r="J1743" t="s">
        <v>0</v>
      </c>
      <c r="K1743" t="s">
        <v>50</v>
      </c>
      <c r="L1743" t="s">
        <v>51</v>
      </c>
      <c r="M1743">
        <v>0</v>
      </c>
      <c r="N1743" t="s">
        <v>57</v>
      </c>
      <c r="O1743">
        <v>1</v>
      </c>
      <c r="P1743" t="s">
        <v>53</v>
      </c>
      <c r="Q1743" s="2">
        <v>0.57847222222222217</v>
      </c>
      <c r="R1743">
        <f>-0.0002176016*3600</f>
        <v>-0.78336576000000002</v>
      </c>
      <c r="S1743">
        <f>-0.0006106959*3600</f>
        <v>-2.1985052399999998</v>
      </c>
    </row>
    <row r="1744" spans="1:19" x14ac:dyDescent="0.3">
      <c r="A1744" s="4" t="s">
        <v>58</v>
      </c>
      <c r="B1744" t="s">
        <v>47</v>
      </c>
      <c r="C1744">
        <v>280.05881299999999</v>
      </c>
      <c r="D1744">
        <v>300.464111</v>
      </c>
      <c r="E1744">
        <v>71.080399999999997</v>
      </c>
      <c r="F1744">
        <v>71.186700000000002</v>
      </c>
      <c r="G1744">
        <v>0.24299999999999999</v>
      </c>
      <c r="H1744">
        <v>0.23899999999999999</v>
      </c>
      <c r="J1744" t="s">
        <v>0</v>
      </c>
      <c r="K1744" t="s">
        <v>50</v>
      </c>
      <c r="L1744" t="s">
        <v>51</v>
      </c>
      <c r="M1744">
        <v>0</v>
      </c>
      <c r="N1744" t="s">
        <v>57</v>
      </c>
      <c r="O1744">
        <v>1</v>
      </c>
      <c r="P1744" t="s">
        <v>53</v>
      </c>
      <c r="Q1744" s="2">
        <v>0.57847222222222217</v>
      </c>
      <c r="R1744">
        <f>-0.0002866904*3600</f>
        <v>-1.0320854400000001</v>
      </c>
      <c r="S1744">
        <f>-0.0005852095*3600</f>
        <v>-2.1067542000000001</v>
      </c>
    </row>
    <row r="1745" spans="1:19" x14ac:dyDescent="0.3">
      <c r="A1745" s="4" t="s">
        <v>58</v>
      </c>
      <c r="B1745" t="s">
        <v>47</v>
      </c>
      <c r="C1745">
        <v>80.058745000000002</v>
      </c>
      <c r="D1745">
        <v>99.536946</v>
      </c>
      <c r="E1745">
        <v>71.080799999999996</v>
      </c>
      <c r="F1745">
        <v>71.187100000000001</v>
      </c>
      <c r="G1745">
        <v>0.24299999999999999</v>
      </c>
      <c r="H1745">
        <v>0.23899999999999999</v>
      </c>
      <c r="J1745" t="s">
        <v>0</v>
      </c>
      <c r="K1745" t="s">
        <v>50</v>
      </c>
      <c r="L1745" t="s">
        <v>51</v>
      </c>
      <c r="M1745">
        <v>0</v>
      </c>
      <c r="N1745" t="s">
        <v>57</v>
      </c>
      <c r="O1745">
        <v>1</v>
      </c>
      <c r="P1745" t="s">
        <v>53</v>
      </c>
      <c r="Q1745" s="2">
        <v>0.57916666666666672</v>
      </c>
      <c r="R1745">
        <f>-0.0002193677*3600</f>
        <v>-0.78972372000000002</v>
      </c>
      <c r="S1745">
        <f>-0.0000444433*3600</f>
        <v>-0.15999588000000001</v>
      </c>
    </row>
    <row r="1746" spans="1:19" x14ac:dyDescent="0.3">
      <c r="A1746" s="4" t="s">
        <v>58</v>
      </c>
      <c r="B1746" t="s">
        <v>47</v>
      </c>
      <c r="C1746">
        <v>280.05929500000002</v>
      </c>
      <c r="D1746">
        <v>300.46421099999998</v>
      </c>
      <c r="E1746">
        <v>71.080500000000001</v>
      </c>
      <c r="F1746">
        <v>71.186800000000005</v>
      </c>
      <c r="G1746">
        <v>0.24299999999999999</v>
      </c>
      <c r="H1746">
        <v>0.23899999999999999</v>
      </c>
      <c r="J1746" t="s">
        <v>0</v>
      </c>
      <c r="K1746" t="s">
        <v>50</v>
      </c>
      <c r="L1746" t="s">
        <v>51</v>
      </c>
      <c r="M1746">
        <v>0</v>
      </c>
      <c r="N1746" t="s">
        <v>57</v>
      </c>
      <c r="O1746">
        <v>1</v>
      </c>
      <c r="P1746" t="s">
        <v>53</v>
      </c>
      <c r="Q1746" s="2">
        <v>0.57916666666666672</v>
      </c>
      <c r="R1746">
        <f>-0.0002021003*3600</f>
        <v>-0.72756107999999997</v>
      </c>
      <c r="S1746">
        <f>-0.0000802646*3600</f>
        <v>-0.28895256000000002</v>
      </c>
    </row>
    <row r="1747" spans="1:19" x14ac:dyDescent="0.3">
      <c r="A1747" t="s">
        <v>0</v>
      </c>
      <c r="B1747" t="s">
        <v>40</v>
      </c>
      <c r="C1747" t="s">
        <v>41</v>
      </c>
      <c r="D1747" t="s">
        <v>42</v>
      </c>
      <c r="E1747">
        <v>5</v>
      </c>
    </row>
    <row r="1748" spans="1:19" x14ac:dyDescent="0.3">
      <c r="A1748" t="s">
        <v>0</v>
      </c>
      <c r="B1748" t="s">
        <v>43</v>
      </c>
      <c r="C1748" t="s">
        <v>44</v>
      </c>
      <c r="D1748">
        <v>1523</v>
      </c>
    </row>
    <row r="1749" spans="1:19" x14ac:dyDescent="0.3">
      <c r="A1749" t="s">
        <v>0</v>
      </c>
      <c r="B1749" t="s">
        <v>43</v>
      </c>
      <c r="C1749" t="s">
        <v>45</v>
      </c>
      <c r="D1749" t="s">
        <v>44</v>
      </c>
      <c r="E1749">
        <v>1.0015226428999999</v>
      </c>
    </row>
    <row r="1753" spans="1:19" x14ac:dyDescent="0.3">
      <c r="A1753" t="s">
        <v>46</v>
      </c>
      <c r="B1753" t="s">
        <v>59</v>
      </c>
    </row>
    <row r="1754" spans="1:19" x14ac:dyDescent="0.3">
      <c r="A1754" t="s">
        <v>48</v>
      </c>
      <c r="B1754" t="s">
        <v>47</v>
      </c>
      <c r="C1754">
        <v>80.060184000000007</v>
      </c>
      <c r="D1754">
        <v>99.703288000000001</v>
      </c>
      <c r="E1754">
        <v>90.326800000000006</v>
      </c>
      <c r="F1754">
        <v>90.463300000000004</v>
      </c>
      <c r="G1754">
        <v>0.24299999999999999</v>
      </c>
      <c r="H1754">
        <v>0.23899999999999999</v>
      </c>
      <c r="J1754" t="s">
        <v>0</v>
      </c>
      <c r="K1754" t="s">
        <v>50</v>
      </c>
      <c r="L1754" t="s">
        <v>51</v>
      </c>
      <c r="M1754">
        <v>0</v>
      </c>
      <c r="N1754" t="s">
        <v>52</v>
      </c>
      <c r="O1754">
        <v>1</v>
      </c>
      <c r="P1754" t="s">
        <v>53</v>
      </c>
      <c r="Q1754" s="2">
        <v>0.5805555555555556</v>
      </c>
      <c r="R1754">
        <f>-0.0016276485*3600</f>
        <v>-5.8595345999999999</v>
      </c>
      <c r="S1754">
        <f>0.0011153*3600</f>
        <v>4.0150800000000002</v>
      </c>
    </row>
    <row r="1755" spans="1:19" x14ac:dyDescent="0.3">
      <c r="A1755" t="s">
        <v>29</v>
      </c>
      <c r="B1755">
        <v>18</v>
      </c>
      <c r="C1755" t="s">
        <v>30</v>
      </c>
      <c r="D1755" s="3">
        <v>0.86</v>
      </c>
      <c r="E1755" t="s">
        <v>31</v>
      </c>
      <c r="F1755" t="s">
        <v>32</v>
      </c>
      <c r="G1755" t="s">
        <v>33</v>
      </c>
      <c r="H1755" t="s">
        <v>34</v>
      </c>
    </row>
    <row r="1756" spans="1:19" x14ac:dyDescent="0.3">
      <c r="A1756" t="s">
        <v>35</v>
      </c>
      <c r="B1756" t="s">
        <v>353</v>
      </c>
      <c r="C1756" t="s">
        <v>35</v>
      </c>
      <c r="D1756" t="s">
        <v>354</v>
      </c>
    </row>
    <row r="1757" spans="1:19" x14ac:dyDescent="0.3">
      <c r="A1757" t="s">
        <v>38</v>
      </c>
      <c r="B1757" t="s">
        <v>39</v>
      </c>
      <c r="C1757">
        <v>0.13</v>
      </c>
    </row>
    <row r="1759" spans="1:19" x14ac:dyDescent="0.3">
      <c r="A1759" s="4" t="s">
        <v>59</v>
      </c>
      <c r="B1759" t="s">
        <v>58</v>
      </c>
      <c r="C1759">
        <v>86.184186999999994</v>
      </c>
      <c r="D1759">
        <v>100.31374599999999</v>
      </c>
      <c r="E1759">
        <v>19.361699999999999</v>
      </c>
      <c r="F1759">
        <v>19.390999999999998</v>
      </c>
      <c r="G1759">
        <v>0.24299999999999999</v>
      </c>
      <c r="H1759">
        <v>0.24</v>
      </c>
      <c r="J1759" t="s">
        <v>0</v>
      </c>
      <c r="K1759" t="s">
        <v>50</v>
      </c>
      <c r="L1759" t="s">
        <v>51</v>
      </c>
      <c r="M1759">
        <v>0</v>
      </c>
      <c r="N1759" t="s">
        <v>57</v>
      </c>
      <c r="O1759">
        <v>1</v>
      </c>
      <c r="P1759" t="s">
        <v>53</v>
      </c>
      <c r="Q1759" s="2">
        <v>0.58124999999999993</v>
      </c>
      <c r="R1759">
        <f>-0.001613358*3600</f>
        <v>-5.8080888000000002</v>
      </c>
      <c r="S1759">
        <f>0.0012569177*3600</f>
        <v>4.5249037200000002</v>
      </c>
    </row>
    <row r="1760" spans="1:19" x14ac:dyDescent="0.3">
      <c r="A1760" s="4" t="s">
        <v>59</v>
      </c>
      <c r="B1760" t="s">
        <v>58</v>
      </c>
      <c r="C1760">
        <v>286.18189000000001</v>
      </c>
      <c r="D1760">
        <v>299.68452400000001</v>
      </c>
      <c r="E1760">
        <v>19.361699999999999</v>
      </c>
      <c r="F1760">
        <v>19.390899999999998</v>
      </c>
      <c r="G1760">
        <v>0.24299999999999999</v>
      </c>
      <c r="H1760">
        <v>0.24</v>
      </c>
      <c r="J1760" t="s">
        <v>0</v>
      </c>
      <c r="K1760" t="s">
        <v>50</v>
      </c>
      <c r="L1760" t="s">
        <v>51</v>
      </c>
      <c r="M1760">
        <v>0</v>
      </c>
      <c r="N1760" t="s">
        <v>57</v>
      </c>
      <c r="O1760">
        <v>1</v>
      </c>
      <c r="P1760" t="s">
        <v>53</v>
      </c>
      <c r="Q1760" s="2">
        <v>0.58124999999999993</v>
      </c>
      <c r="R1760">
        <f>-0.0015609512*3600</f>
        <v>-5.6194243199999994</v>
      </c>
      <c r="S1760">
        <f>0.0010690486*3600</f>
        <v>3.8485749599999997</v>
      </c>
    </row>
    <row r="1761" spans="1:19" x14ac:dyDescent="0.3">
      <c r="A1761" s="4" t="s">
        <v>59</v>
      </c>
      <c r="B1761" t="s">
        <v>58</v>
      </c>
      <c r="C1761">
        <v>86.181983000000002</v>
      </c>
      <c r="D1761">
        <v>100.31414599999999</v>
      </c>
      <c r="E1761">
        <v>19.362100000000002</v>
      </c>
      <c r="F1761">
        <v>19.391400000000001</v>
      </c>
      <c r="G1761">
        <v>0.24299999999999999</v>
      </c>
      <c r="H1761">
        <v>0.24</v>
      </c>
      <c r="J1761" t="s">
        <v>0</v>
      </c>
      <c r="K1761" t="s">
        <v>50</v>
      </c>
      <c r="L1761" t="s">
        <v>51</v>
      </c>
      <c r="M1761">
        <v>0</v>
      </c>
      <c r="N1761" t="s">
        <v>52</v>
      </c>
      <c r="O1761">
        <v>1</v>
      </c>
      <c r="P1761" t="s">
        <v>53</v>
      </c>
      <c r="Q1761" s="2">
        <v>0.58194444444444449</v>
      </c>
      <c r="R1761">
        <f>-0.0016876306*3600</f>
        <v>-6.0754701600000001</v>
      </c>
      <c r="S1761">
        <f>0.0009410724*3600</f>
        <v>3.38786064</v>
      </c>
    </row>
    <row r="1762" spans="1:19" x14ac:dyDescent="0.3">
      <c r="A1762" s="4" t="s">
        <v>59</v>
      </c>
      <c r="B1762" t="s">
        <v>58</v>
      </c>
      <c r="C1762">
        <v>286.18175600000001</v>
      </c>
      <c r="D1762">
        <v>299.68434000000002</v>
      </c>
      <c r="E1762">
        <v>19.361699999999999</v>
      </c>
      <c r="F1762">
        <v>19.390899999999998</v>
      </c>
      <c r="G1762">
        <v>0.24299999999999999</v>
      </c>
      <c r="H1762">
        <v>0.24</v>
      </c>
      <c r="J1762" t="s">
        <v>0</v>
      </c>
      <c r="K1762" t="s">
        <v>50</v>
      </c>
      <c r="L1762" t="s">
        <v>51</v>
      </c>
      <c r="M1762">
        <v>0</v>
      </c>
      <c r="N1762" t="s">
        <v>57</v>
      </c>
      <c r="O1762">
        <v>1</v>
      </c>
      <c r="P1762" t="s">
        <v>53</v>
      </c>
      <c r="Q1762" s="2">
        <v>0.58263888888888882</v>
      </c>
      <c r="R1762">
        <f>0.0016916719*3600</f>
        <v>6.0900188399999999</v>
      </c>
      <c r="S1762">
        <f>0.0001483074*3600</f>
        <v>0.53390663999999999</v>
      </c>
    </row>
    <row r="1763" spans="1:19" x14ac:dyDescent="0.3">
      <c r="A1763" s="4" t="s">
        <v>59</v>
      </c>
      <c r="B1763" t="s">
        <v>58</v>
      </c>
      <c r="C1763">
        <v>86.182056000000003</v>
      </c>
      <c r="D1763">
        <v>100.314217</v>
      </c>
      <c r="E1763">
        <v>19.362200000000001</v>
      </c>
      <c r="F1763">
        <v>19.391500000000001</v>
      </c>
      <c r="G1763">
        <v>0.24299999999999999</v>
      </c>
      <c r="H1763">
        <v>0.24</v>
      </c>
      <c r="J1763" t="s">
        <v>0</v>
      </c>
      <c r="K1763" t="s">
        <v>50</v>
      </c>
      <c r="L1763" t="s">
        <v>51</v>
      </c>
      <c r="M1763">
        <v>0</v>
      </c>
      <c r="N1763" t="s">
        <v>57</v>
      </c>
      <c r="O1763">
        <v>1</v>
      </c>
      <c r="P1763" t="s">
        <v>53</v>
      </c>
      <c r="Q1763" s="2">
        <v>0.58263888888888882</v>
      </c>
      <c r="R1763">
        <f>0.0014997955*3600</f>
        <v>5.3992637999999999</v>
      </c>
      <c r="S1763">
        <f>0.0000853394*3600</f>
        <v>0.30722184000000002</v>
      </c>
    </row>
    <row r="1764" spans="1:19" x14ac:dyDescent="0.3">
      <c r="A1764" s="4" t="s">
        <v>59</v>
      </c>
      <c r="B1764" t="s">
        <v>58</v>
      </c>
      <c r="C1764">
        <v>286.18179700000002</v>
      </c>
      <c r="D1764">
        <v>299.68406199999998</v>
      </c>
      <c r="E1764">
        <v>19.361599999999999</v>
      </c>
      <c r="F1764">
        <v>19.390799999999999</v>
      </c>
      <c r="G1764">
        <v>0.24299999999999999</v>
      </c>
      <c r="H1764">
        <v>0.24</v>
      </c>
      <c r="J1764" t="s">
        <v>0</v>
      </c>
      <c r="K1764" t="s">
        <v>50</v>
      </c>
      <c r="L1764" t="s">
        <v>51</v>
      </c>
      <c r="M1764">
        <v>0</v>
      </c>
      <c r="N1764" t="s">
        <v>57</v>
      </c>
      <c r="O1764">
        <v>1</v>
      </c>
      <c r="P1764" t="s">
        <v>53</v>
      </c>
      <c r="Q1764" s="2">
        <v>0.58263888888888882</v>
      </c>
      <c r="R1764">
        <f>-0.0022260889*3600</f>
        <v>-8.0139200400000004</v>
      </c>
      <c r="S1764">
        <f>0.000643318*3600</f>
        <v>2.3159448</v>
      </c>
    </row>
    <row r="1765" spans="1:19" x14ac:dyDescent="0.3">
      <c r="A1765" s="4" t="s">
        <v>59</v>
      </c>
      <c r="B1765" t="s">
        <v>58</v>
      </c>
      <c r="C1765">
        <v>86.181999000000005</v>
      </c>
      <c r="D1765">
        <v>100.31434900000001</v>
      </c>
      <c r="E1765">
        <v>19.361999999999998</v>
      </c>
      <c r="F1765">
        <v>19.391300000000001</v>
      </c>
      <c r="G1765">
        <v>0.24299999999999999</v>
      </c>
      <c r="H1765">
        <v>0.24</v>
      </c>
      <c r="J1765" t="s">
        <v>0</v>
      </c>
      <c r="K1765" t="s">
        <v>50</v>
      </c>
      <c r="L1765" t="s">
        <v>51</v>
      </c>
      <c r="M1765">
        <v>0</v>
      </c>
      <c r="N1765" t="s">
        <v>57</v>
      </c>
      <c r="O1765">
        <v>1</v>
      </c>
      <c r="P1765" t="s">
        <v>53</v>
      </c>
      <c r="Q1765" s="2">
        <v>0.58263888888888882</v>
      </c>
      <c r="R1765">
        <f>-0.0021840407*3600</f>
        <v>-7.8625465200000004</v>
      </c>
      <c r="S1765">
        <f>0.0007089377*3600</f>
        <v>2.5521757200000001</v>
      </c>
    </row>
    <row r="1766" spans="1:19" x14ac:dyDescent="0.3">
      <c r="A1766" s="4" t="s">
        <v>59</v>
      </c>
      <c r="B1766" t="s">
        <v>58</v>
      </c>
      <c r="C1766">
        <v>286.18176599999998</v>
      </c>
      <c r="D1766">
        <v>299.68428599999999</v>
      </c>
      <c r="E1766">
        <v>19.361699999999999</v>
      </c>
      <c r="F1766">
        <v>19.390899999999998</v>
      </c>
      <c r="G1766">
        <v>0.24299999999999999</v>
      </c>
      <c r="H1766">
        <v>0.24</v>
      </c>
      <c r="J1766" t="s">
        <v>0</v>
      </c>
      <c r="K1766" t="s">
        <v>50</v>
      </c>
      <c r="L1766" t="s">
        <v>51</v>
      </c>
      <c r="M1766">
        <v>0</v>
      </c>
      <c r="N1766" t="s">
        <v>57</v>
      </c>
      <c r="O1766">
        <v>1</v>
      </c>
      <c r="P1766" t="s">
        <v>53</v>
      </c>
      <c r="Q1766" s="2">
        <v>0.58263888888888882</v>
      </c>
      <c r="R1766">
        <f>0.001433833*3600</f>
        <v>5.1617987999999997</v>
      </c>
      <c r="S1766">
        <f>-0.0007345833*3600</f>
        <v>-2.6444998800000001</v>
      </c>
    </row>
    <row r="1767" spans="1:19" x14ac:dyDescent="0.3">
      <c r="A1767" s="4" t="s">
        <v>59</v>
      </c>
      <c r="B1767" t="s">
        <v>351</v>
      </c>
      <c r="C1767">
        <v>292.32262500000002</v>
      </c>
      <c r="D1767">
        <v>100.51183399999999</v>
      </c>
      <c r="E1767">
        <v>22.955300000000001</v>
      </c>
      <c r="F1767">
        <v>22.9895</v>
      </c>
      <c r="G1767">
        <v>0.24299999999999999</v>
      </c>
      <c r="H1767">
        <v>0.24</v>
      </c>
      <c r="J1767" t="s">
        <v>0</v>
      </c>
      <c r="K1767" t="s">
        <v>50</v>
      </c>
      <c r="L1767" t="s">
        <v>51</v>
      </c>
      <c r="M1767">
        <v>0</v>
      </c>
      <c r="N1767" t="s">
        <v>57</v>
      </c>
      <c r="O1767">
        <v>1</v>
      </c>
      <c r="P1767" t="s">
        <v>53</v>
      </c>
      <c r="Q1767" s="2">
        <v>0.58263888888888882</v>
      </c>
      <c r="R1767">
        <f>0.0015173877*3600</f>
        <v>5.4625957200000004</v>
      </c>
      <c r="S1767">
        <f>-0.0008369444*3600</f>
        <v>-3.01299984</v>
      </c>
    </row>
    <row r="1768" spans="1:19" x14ac:dyDescent="0.3">
      <c r="A1768" s="4" t="s">
        <v>59</v>
      </c>
      <c r="B1768" t="s">
        <v>351</v>
      </c>
      <c r="C1768">
        <v>92.321922000000001</v>
      </c>
      <c r="D1768">
        <v>299.48650400000002</v>
      </c>
      <c r="E1768">
        <v>22.955100000000002</v>
      </c>
      <c r="F1768">
        <v>22.9893</v>
      </c>
      <c r="G1768">
        <v>0.24299999999999999</v>
      </c>
      <c r="H1768">
        <v>0.24</v>
      </c>
      <c r="J1768" t="s">
        <v>0</v>
      </c>
      <c r="K1768" t="s">
        <v>50</v>
      </c>
      <c r="L1768" t="s">
        <v>51</v>
      </c>
      <c r="M1768">
        <v>0</v>
      </c>
      <c r="N1768" t="s">
        <v>57</v>
      </c>
      <c r="O1768">
        <v>1</v>
      </c>
      <c r="P1768" t="s">
        <v>53</v>
      </c>
      <c r="Q1768" s="2">
        <v>0.58333333333333337</v>
      </c>
      <c r="R1768">
        <f>0.0014931878*3600</f>
        <v>5.3754760800000003</v>
      </c>
      <c r="S1768">
        <f>-0.0009730962*3600</f>
        <v>-3.5031463199999999</v>
      </c>
    </row>
    <row r="1769" spans="1:19" x14ac:dyDescent="0.3">
      <c r="A1769" s="4" t="s">
        <v>59</v>
      </c>
      <c r="B1769" t="s">
        <v>351</v>
      </c>
      <c r="C1769">
        <v>292.32244200000002</v>
      </c>
      <c r="D1769">
        <v>100.511813</v>
      </c>
      <c r="E1769">
        <v>22.955400000000001</v>
      </c>
      <c r="F1769">
        <v>22.989599999999999</v>
      </c>
      <c r="G1769">
        <v>0.24299999999999999</v>
      </c>
      <c r="H1769">
        <v>0.24</v>
      </c>
      <c r="J1769" t="s">
        <v>0</v>
      </c>
      <c r="K1769" t="s">
        <v>50</v>
      </c>
      <c r="L1769" t="s">
        <v>51</v>
      </c>
      <c r="M1769">
        <v>0</v>
      </c>
      <c r="N1769" t="s">
        <v>57</v>
      </c>
      <c r="O1769">
        <v>1</v>
      </c>
      <c r="P1769" t="s">
        <v>53</v>
      </c>
      <c r="Q1769" s="2">
        <v>0.58333333333333337</v>
      </c>
      <c r="R1769">
        <f>-0.0016389404*3600</f>
        <v>-5.9001854400000004</v>
      </c>
      <c r="S1769">
        <f>0.00121796*3600</f>
        <v>4.3846559999999997</v>
      </c>
    </row>
    <row r="1770" spans="1:19" x14ac:dyDescent="0.3">
      <c r="A1770" s="4" t="s">
        <v>59</v>
      </c>
      <c r="B1770" t="s">
        <v>351</v>
      </c>
      <c r="C1770">
        <v>92.321858000000006</v>
      </c>
      <c r="D1770">
        <v>299.48693500000002</v>
      </c>
      <c r="E1770">
        <v>22.954999999999998</v>
      </c>
      <c r="F1770">
        <v>22.9892</v>
      </c>
      <c r="G1770">
        <v>0.24299999999999999</v>
      </c>
      <c r="H1770">
        <v>0.24</v>
      </c>
      <c r="J1770" t="s">
        <v>0</v>
      </c>
      <c r="K1770" t="s">
        <v>50</v>
      </c>
      <c r="L1770" t="s">
        <v>51</v>
      </c>
      <c r="M1770">
        <v>0</v>
      </c>
      <c r="N1770" t="s">
        <v>57</v>
      </c>
      <c r="O1770">
        <v>1</v>
      </c>
      <c r="P1770" t="s">
        <v>53</v>
      </c>
      <c r="Q1770" s="2">
        <v>0.58333333333333337</v>
      </c>
      <c r="R1770">
        <f>-0.0015361653*3600</f>
        <v>-5.5301950800000004</v>
      </c>
      <c r="S1770">
        <f>0.001229049*3600</f>
        <v>4.4245764000000003</v>
      </c>
    </row>
    <row r="1771" spans="1:19" x14ac:dyDescent="0.3">
      <c r="A1771" s="4" t="s">
        <v>59</v>
      </c>
      <c r="B1771" t="s">
        <v>351</v>
      </c>
      <c r="C1771">
        <v>292.32240000000002</v>
      </c>
      <c r="D1771">
        <v>100.511904</v>
      </c>
      <c r="E1771">
        <v>22.955500000000001</v>
      </c>
      <c r="F1771">
        <v>22.989699999999999</v>
      </c>
      <c r="G1771">
        <v>0.24299999999999999</v>
      </c>
      <c r="H1771">
        <v>0.24</v>
      </c>
      <c r="J1771" t="s">
        <v>0</v>
      </c>
      <c r="K1771" t="s">
        <v>50</v>
      </c>
      <c r="L1771" t="s">
        <v>51</v>
      </c>
      <c r="M1771">
        <v>0</v>
      </c>
      <c r="N1771" t="s">
        <v>57</v>
      </c>
      <c r="O1771">
        <v>1</v>
      </c>
      <c r="P1771" t="s">
        <v>53</v>
      </c>
      <c r="Q1771" s="2">
        <v>0.58333333333333337</v>
      </c>
      <c r="R1771">
        <f>-0.0016583582*3600</f>
        <v>-5.9700895200000001</v>
      </c>
      <c r="S1771">
        <f>0.0011055216*3600</f>
        <v>3.9798777599999999</v>
      </c>
    </row>
    <row r="1772" spans="1:19" x14ac:dyDescent="0.3">
      <c r="A1772" s="4" t="s">
        <v>59</v>
      </c>
      <c r="B1772" t="s">
        <v>351</v>
      </c>
      <c r="C1772">
        <v>92.321909000000005</v>
      </c>
      <c r="D1772">
        <v>299.48687000000001</v>
      </c>
      <c r="E1772">
        <v>22.954999999999998</v>
      </c>
      <c r="F1772">
        <v>22.9892</v>
      </c>
      <c r="G1772">
        <v>0.24299999999999999</v>
      </c>
      <c r="H1772">
        <v>0.24</v>
      </c>
      <c r="J1772" t="s">
        <v>0</v>
      </c>
      <c r="K1772" t="s">
        <v>50</v>
      </c>
      <c r="L1772" t="s">
        <v>51</v>
      </c>
      <c r="M1772">
        <v>0</v>
      </c>
      <c r="N1772" t="s">
        <v>57</v>
      </c>
      <c r="O1772">
        <v>1</v>
      </c>
      <c r="P1772" t="s">
        <v>53</v>
      </c>
      <c r="Q1772" s="2">
        <v>0.58333333333333337</v>
      </c>
      <c r="R1772">
        <f>0.0016728618*3600</f>
        <v>6.0223024799999996</v>
      </c>
      <c r="S1772">
        <f>-0.0005032082*3600</f>
        <v>-1.8115495199999998</v>
      </c>
    </row>
    <row r="1773" spans="1:19" x14ac:dyDescent="0.3">
      <c r="A1773" s="4" t="s">
        <v>59</v>
      </c>
      <c r="B1773" t="s">
        <v>351</v>
      </c>
      <c r="C1773">
        <v>292.322406</v>
      </c>
      <c r="D1773">
        <v>100.511841</v>
      </c>
      <c r="E1773">
        <v>22.955400000000001</v>
      </c>
      <c r="F1773">
        <v>22.989599999999999</v>
      </c>
      <c r="G1773">
        <v>0.24299999999999999</v>
      </c>
      <c r="H1773">
        <v>0.24</v>
      </c>
      <c r="J1773" t="s">
        <v>0</v>
      </c>
      <c r="K1773" t="s">
        <v>50</v>
      </c>
      <c r="L1773" t="s">
        <v>51</v>
      </c>
      <c r="M1773">
        <v>0</v>
      </c>
      <c r="N1773" t="s">
        <v>57</v>
      </c>
      <c r="O1773">
        <v>1</v>
      </c>
      <c r="P1773" t="s">
        <v>53</v>
      </c>
      <c r="Q1773" s="2">
        <v>0.58333333333333337</v>
      </c>
      <c r="R1773">
        <f>0.0016872076*3600</f>
        <v>6.07394736</v>
      </c>
      <c r="S1773">
        <f>-0.0005910671*3600</f>
        <v>-2.1278415599999998</v>
      </c>
    </row>
    <row r="1774" spans="1:19" x14ac:dyDescent="0.3">
      <c r="A1774" s="4" t="s">
        <v>59</v>
      </c>
      <c r="B1774" t="s">
        <v>351</v>
      </c>
      <c r="C1774">
        <v>92.322129000000004</v>
      </c>
      <c r="D1774">
        <v>299.48683999999997</v>
      </c>
      <c r="E1774">
        <v>22.954699999999999</v>
      </c>
      <c r="F1774">
        <v>22.988900000000001</v>
      </c>
      <c r="G1774">
        <v>0.24299999999999999</v>
      </c>
      <c r="H1774">
        <v>0.24</v>
      </c>
      <c r="J1774" t="s">
        <v>0</v>
      </c>
      <c r="K1774" t="s">
        <v>50</v>
      </c>
      <c r="L1774" t="s">
        <v>51</v>
      </c>
      <c r="M1774">
        <v>0</v>
      </c>
      <c r="N1774" t="s">
        <v>57</v>
      </c>
      <c r="O1774">
        <v>1</v>
      </c>
      <c r="P1774" t="s">
        <v>53</v>
      </c>
      <c r="Q1774" s="2">
        <v>0.58333333333333337</v>
      </c>
      <c r="R1774">
        <f>-0.0022277834*3600</f>
        <v>-8.0200202399999991</v>
      </c>
      <c r="S1774">
        <f>0.0005403605*3600</f>
        <v>1.9452978000000001</v>
      </c>
    </row>
    <row r="1775" spans="1:19" x14ac:dyDescent="0.3">
      <c r="A1775" s="4" t="s">
        <v>59</v>
      </c>
      <c r="B1775" t="s">
        <v>352</v>
      </c>
      <c r="C1775">
        <v>293.886212</v>
      </c>
      <c r="D1775">
        <v>100.482614</v>
      </c>
      <c r="E1775">
        <v>34.806800000000003</v>
      </c>
      <c r="F1775">
        <v>34.858800000000002</v>
      </c>
      <c r="G1775">
        <v>0.24299999999999999</v>
      </c>
      <c r="H1775">
        <v>0.24</v>
      </c>
      <c r="J1775" t="s">
        <v>0</v>
      </c>
      <c r="K1775" t="s">
        <v>50</v>
      </c>
      <c r="L1775" t="s">
        <v>51</v>
      </c>
      <c r="M1775">
        <v>0</v>
      </c>
      <c r="N1775" t="s">
        <v>57</v>
      </c>
      <c r="O1775">
        <v>1</v>
      </c>
      <c r="P1775" t="s">
        <v>53</v>
      </c>
      <c r="Q1775" s="2">
        <v>0.58333333333333337</v>
      </c>
      <c r="R1775">
        <f>-0.0021586306*3600</f>
        <v>-7.7710701600000007</v>
      </c>
      <c r="S1775">
        <f>0.000613708*3600</f>
        <v>2.2093487999999999</v>
      </c>
    </row>
    <row r="1776" spans="1:19" x14ac:dyDescent="0.3">
      <c r="A1776" s="4" t="s">
        <v>59</v>
      </c>
      <c r="B1776" t="s">
        <v>352</v>
      </c>
      <c r="C1776">
        <v>93.885811000000004</v>
      </c>
      <c r="D1776">
        <v>299.51551999999998</v>
      </c>
      <c r="E1776">
        <v>34.806600000000003</v>
      </c>
      <c r="F1776">
        <v>34.858600000000003</v>
      </c>
      <c r="G1776">
        <v>0.24299999999999999</v>
      </c>
      <c r="H1776">
        <v>0.24</v>
      </c>
      <c r="J1776" t="s">
        <v>0</v>
      </c>
      <c r="K1776" t="s">
        <v>50</v>
      </c>
      <c r="L1776" t="s">
        <v>51</v>
      </c>
      <c r="M1776">
        <v>0</v>
      </c>
      <c r="N1776" t="s">
        <v>57</v>
      </c>
      <c r="O1776">
        <v>1</v>
      </c>
      <c r="P1776" t="s">
        <v>53</v>
      </c>
      <c r="Q1776" s="2">
        <v>0.58402777777777781</v>
      </c>
      <c r="R1776">
        <f>0.0015515653*3600</f>
        <v>5.5856350800000003</v>
      </c>
      <c r="S1776">
        <f>-0.000688818*3600</f>
        <v>-2.4797448000000002</v>
      </c>
    </row>
    <row r="1777" spans="1:19" x14ac:dyDescent="0.3">
      <c r="A1777" s="4" t="s">
        <v>59</v>
      </c>
      <c r="B1777" t="s">
        <v>352</v>
      </c>
      <c r="C1777">
        <v>293.88627400000001</v>
      </c>
      <c r="D1777">
        <v>100.482979</v>
      </c>
      <c r="E1777">
        <v>34.806899999999999</v>
      </c>
      <c r="F1777">
        <v>34.858899999999998</v>
      </c>
      <c r="G1777">
        <v>0.24299999999999999</v>
      </c>
      <c r="H1777">
        <v>0.24</v>
      </c>
      <c r="J1777" t="s">
        <v>0</v>
      </c>
      <c r="K1777" t="s">
        <v>50</v>
      </c>
      <c r="L1777" t="s">
        <v>51</v>
      </c>
      <c r="M1777">
        <v>0</v>
      </c>
      <c r="N1777" t="s">
        <v>57</v>
      </c>
      <c r="O1777">
        <v>1</v>
      </c>
      <c r="P1777" t="s">
        <v>53</v>
      </c>
      <c r="Q1777" s="2">
        <v>0.58402777777777781</v>
      </c>
      <c r="R1777">
        <f>0.0016434154*3600</f>
        <v>5.9162954399999999</v>
      </c>
      <c r="S1777">
        <f>-0.0007505927*3600</f>
        <v>-2.70213372</v>
      </c>
    </row>
    <row r="1778" spans="1:19" x14ac:dyDescent="0.3">
      <c r="A1778" s="4" t="s">
        <v>59</v>
      </c>
      <c r="B1778" t="s">
        <v>352</v>
      </c>
      <c r="C1778">
        <v>93.885918000000004</v>
      </c>
      <c r="D1778">
        <v>299.51597299999997</v>
      </c>
      <c r="E1778">
        <v>34.8065</v>
      </c>
      <c r="F1778">
        <v>34.858499999999999</v>
      </c>
      <c r="G1778">
        <v>0.24299999999999999</v>
      </c>
      <c r="H1778">
        <v>0.24</v>
      </c>
      <c r="J1778" t="s">
        <v>0</v>
      </c>
      <c r="K1778" t="s">
        <v>50</v>
      </c>
      <c r="L1778" t="s">
        <v>51</v>
      </c>
      <c r="M1778">
        <v>0</v>
      </c>
      <c r="N1778" t="s">
        <v>57</v>
      </c>
      <c r="O1778">
        <v>1</v>
      </c>
      <c r="P1778" t="s">
        <v>53</v>
      </c>
      <c r="Q1778" s="2">
        <v>0.58402777777777781</v>
      </c>
      <c r="R1778">
        <f>0.0015948313*3600</f>
        <v>5.7413926799999997</v>
      </c>
      <c r="S1778">
        <f>-0.0009112031*3600</f>
        <v>-3.2803311599999998</v>
      </c>
    </row>
    <row r="1779" spans="1:19" x14ac:dyDescent="0.3">
      <c r="A1779" s="4" t="s">
        <v>59</v>
      </c>
      <c r="B1779" t="s">
        <v>352</v>
      </c>
      <c r="C1779">
        <v>293.88624199999998</v>
      </c>
      <c r="D1779">
        <v>100.483043</v>
      </c>
      <c r="E1779">
        <v>34.807099999999998</v>
      </c>
      <c r="F1779">
        <v>34.859099999999998</v>
      </c>
      <c r="G1779">
        <v>0.24299999999999999</v>
      </c>
      <c r="H1779">
        <v>0.24</v>
      </c>
      <c r="J1779" t="s">
        <v>0</v>
      </c>
      <c r="K1779" t="s">
        <v>50</v>
      </c>
      <c r="L1779" t="s">
        <v>51</v>
      </c>
      <c r="M1779">
        <v>0</v>
      </c>
      <c r="N1779" t="s">
        <v>57</v>
      </c>
      <c r="O1779">
        <v>1</v>
      </c>
      <c r="P1779" t="s">
        <v>53</v>
      </c>
      <c r="Q1779" s="2">
        <v>0.58402777777777781</v>
      </c>
      <c r="R1779">
        <f>-0.0020430082*3600</f>
        <v>-7.3548295199999991</v>
      </c>
      <c r="S1779">
        <f>0.0009628481*3600</f>
        <v>3.4662531599999999</v>
      </c>
    </row>
    <row r="1780" spans="1:19" x14ac:dyDescent="0.3">
      <c r="A1780" s="4" t="s">
        <v>59</v>
      </c>
      <c r="B1780" t="s">
        <v>352</v>
      </c>
      <c r="C1780">
        <v>93.885739999999998</v>
      </c>
      <c r="D1780">
        <v>299.51581900000002</v>
      </c>
      <c r="E1780">
        <v>34.806600000000003</v>
      </c>
      <c r="F1780">
        <v>34.858600000000003</v>
      </c>
      <c r="G1780">
        <v>0.24299999999999999</v>
      </c>
      <c r="H1780">
        <v>0.24</v>
      </c>
      <c r="J1780" t="s">
        <v>0</v>
      </c>
      <c r="K1780" t="s">
        <v>50</v>
      </c>
      <c r="L1780" t="s">
        <v>51</v>
      </c>
      <c r="M1780">
        <v>0</v>
      </c>
      <c r="N1780" t="s">
        <v>57</v>
      </c>
      <c r="O1780">
        <v>1</v>
      </c>
      <c r="P1780" t="s">
        <v>53</v>
      </c>
      <c r="Q1780" s="2">
        <v>0.58402777777777781</v>
      </c>
      <c r="R1780">
        <f>-0.0021169518*3600</f>
        <v>-7.6210264800000003</v>
      </c>
      <c r="S1780">
        <f>0.0010242374*3600</f>
        <v>3.6872546399999999</v>
      </c>
    </row>
    <row r="1781" spans="1:19" x14ac:dyDescent="0.3">
      <c r="A1781" s="4" t="s">
        <v>59</v>
      </c>
      <c r="B1781" t="s">
        <v>352</v>
      </c>
      <c r="C1781">
        <v>293.88620600000002</v>
      </c>
      <c r="D1781">
        <v>100.48306599999999</v>
      </c>
      <c r="E1781">
        <v>34.806800000000003</v>
      </c>
      <c r="F1781">
        <v>34.858800000000002</v>
      </c>
      <c r="G1781">
        <v>0.24299999999999999</v>
      </c>
      <c r="H1781">
        <v>0.24</v>
      </c>
      <c r="J1781" t="s">
        <v>0</v>
      </c>
      <c r="K1781" t="s">
        <v>50</v>
      </c>
      <c r="L1781" t="s">
        <v>51</v>
      </c>
      <c r="M1781">
        <v>0</v>
      </c>
      <c r="N1781" t="s">
        <v>57</v>
      </c>
      <c r="O1781">
        <v>1</v>
      </c>
      <c r="P1781" t="s">
        <v>53</v>
      </c>
      <c r="Q1781" s="2">
        <v>0.58402777777777781</v>
      </c>
      <c r="R1781">
        <f>-0.0022268091*3600</f>
        <v>-8.0165127600000012</v>
      </c>
      <c r="S1781">
        <f>0.0009362794*3600</f>
        <v>3.3706058399999996</v>
      </c>
    </row>
    <row r="1782" spans="1:19" x14ac:dyDescent="0.3">
      <c r="A1782" s="4" t="s">
        <v>59</v>
      </c>
      <c r="B1782" t="s">
        <v>352</v>
      </c>
      <c r="C1782">
        <v>93.885846999999998</v>
      </c>
      <c r="D1782">
        <v>299.51593600000001</v>
      </c>
      <c r="E1782">
        <v>34.806600000000003</v>
      </c>
      <c r="F1782">
        <v>34.858600000000003</v>
      </c>
      <c r="G1782">
        <v>0.24299999999999999</v>
      </c>
      <c r="H1782">
        <v>0.24</v>
      </c>
      <c r="J1782" t="s">
        <v>0</v>
      </c>
      <c r="K1782" t="s">
        <v>50</v>
      </c>
      <c r="L1782" t="s">
        <v>51</v>
      </c>
      <c r="M1782">
        <v>0</v>
      </c>
      <c r="N1782" t="s">
        <v>57</v>
      </c>
      <c r="O1782">
        <v>1</v>
      </c>
      <c r="P1782" t="s">
        <v>53</v>
      </c>
      <c r="Q1782" s="2">
        <v>0.58402777777777781</v>
      </c>
      <c r="R1782">
        <f>0.0015692099*3600</f>
        <v>5.64915564</v>
      </c>
      <c r="S1782">
        <f>0.0001275616*3600</f>
        <v>0.45922176000000003</v>
      </c>
    </row>
    <row r="1783" spans="1:19" x14ac:dyDescent="0.3">
      <c r="A1783" s="4" t="s">
        <v>59</v>
      </c>
      <c r="B1783" t="s">
        <v>56</v>
      </c>
      <c r="C1783">
        <v>82.485303999999999</v>
      </c>
      <c r="D1783">
        <v>99.971935000000002</v>
      </c>
      <c r="E1783">
        <v>50.687399999999997</v>
      </c>
      <c r="F1783">
        <v>50.764600000000002</v>
      </c>
      <c r="G1783">
        <v>0.24299999999999999</v>
      </c>
      <c r="H1783">
        <v>0</v>
      </c>
      <c r="J1783" t="s">
        <v>0</v>
      </c>
      <c r="K1783" t="s">
        <v>50</v>
      </c>
      <c r="L1783" t="s">
        <v>51</v>
      </c>
      <c r="M1783">
        <v>0</v>
      </c>
      <c r="N1783" t="s">
        <v>57</v>
      </c>
      <c r="O1783">
        <v>1</v>
      </c>
      <c r="P1783" t="s">
        <v>53</v>
      </c>
      <c r="Q1783" s="2">
        <v>0.58402777777777781</v>
      </c>
      <c r="R1783">
        <f>0.0015861436*3600</f>
        <v>5.7101169599999997</v>
      </c>
      <c r="S1783">
        <f>0.0000287403*3600</f>
        <v>0.10346508</v>
      </c>
    </row>
    <row r="1784" spans="1:19" x14ac:dyDescent="0.3">
      <c r="A1784" s="4" t="s">
        <v>59</v>
      </c>
      <c r="B1784" t="s">
        <v>56</v>
      </c>
      <c r="C1784">
        <v>282.48413699999998</v>
      </c>
      <c r="D1784">
        <v>300.02721500000001</v>
      </c>
      <c r="E1784">
        <v>50.687600000000003</v>
      </c>
      <c r="F1784">
        <v>50.764800000000001</v>
      </c>
      <c r="G1784">
        <v>0.24299999999999999</v>
      </c>
      <c r="H1784">
        <v>0</v>
      </c>
      <c r="J1784" t="s">
        <v>0</v>
      </c>
      <c r="K1784" t="s">
        <v>50</v>
      </c>
      <c r="L1784" t="s">
        <v>51</v>
      </c>
      <c r="M1784">
        <v>0</v>
      </c>
      <c r="N1784" t="s">
        <v>57</v>
      </c>
      <c r="O1784">
        <v>1</v>
      </c>
      <c r="P1784" t="s">
        <v>53</v>
      </c>
      <c r="Q1784" s="2">
        <v>0.58402777777777781</v>
      </c>
      <c r="R1784">
        <f>-0.0021630196*3600</f>
        <v>-7.7868705600000006</v>
      </c>
      <c r="S1784">
        <f>0.0005436027*3600</f>
        <v>1.9569697200000002</v>
      </c>
    </row>
    <row r="1785" spans="1:19" x14ac:dyDescent="0.3">
      <c r="A1785" s="4" t="s">
        <v>59</v>
      </c>
      <c r="B1785" t="s">
        <v>56</v>
      </c>
      <c r="C1785">
        <v>82.485653999999997</v>
      </c>
      <c r="D1785">
        <v>99.972244000000003</v>
      </c>
      <c r="E1785">
        <v>50.6877</v>
      </c>
      <c r="F1785">
        <v>50.764899999999997</v>
      </c>
      <c r="G1785">
        <v>0.24299999999999999</v>
      </c>
      <c r="H1785">
        <v>0</v>
      </c>
      <c r="J1785" t="s">
        <v>0</v>
      </c>
      <c r="K1785" t="s">
        <v>50</v>
      </c>
      <c r="L1785" t="s">
        <v>51</v>
      </c>
      <c r="M1785">
        <v>0</v>
      </c>
      <c r="N1785" t="s">
        <v>57</v>
      </c>
      <c r="O1785">
        <v>1</v>
      </c>
      <c r="P1785" t="s">
        <v>53</v>
      </c>
      <c r="Q1785" s="2">
        <v>0.58402777777777781</v>
      </c>
      <c r="R1785">
        <f>-0.0022145013*3600</f>
        <v>-7.9722046799999999</v>
      </c>
      <c r="S1785">
        <f>0.0005728713*3600</f>
        <v>2.06233668</v>
      </c>
    </row>
    <row r="1786" spans="1:19" x14ac:dyDescent="0.3">
      <c r="A1786" s="4" t="s">
        <v>59</v>
      </c>
      <c r="B1786" t="s">
        <v>56</v>
      </c>
      <c r="C1786">
        <v>282.48460999999998</v>
      </c>
      <c r="D1786">
        <v>300.02765599999998</v>
      </c>
      <c r="E1786">
        <v>50.6875</v>
      </c>
      <c r="F1786">
        <v>50.764699999999998</v>
      </c>
      <c r="G1786">
        <v>0.24299999999999999</v>
      </c>
      <c r="H1786">
        <v>0</v>
      </c>
      <c r="J1786" t="s">
        <v>0</v>
      </c>
      <c r="K1786" t="s">
        <v>50</v>
      </c>
      <c r="L1786" t="s">
        <v>51</v>
      </c>
      <c r="M1786">
        <v>0</v>
      </c>
      <c r="N1786" t="s">
        <v>57</v>
      </c>
      <c r="O1786">
        <v>1</v>
      </c>
      <c r="P1786" t="s">
        <v>53</v>
      </c>
      <c r="Q1786" s="2">
        <v>0.58472222222222225</v>
      </c>
      <c r="R1786">
        <f>0.0016597257*3600</f>
        <v>5.9750125199999999</v>
      </c>
      <c r="S1786">
        <f>-0.0007512588*3600</f>
        <v>-2.7045316800000001</v>
      </c>
    </row>
    <row r="1787" spans="1:19" x14ac:dyDescent="0.3">
      <c r="A1787" s="4" t="s">
        <v>59</v>
      </c>
      <c r="B1787" t="s">
        <v>56</v>
      </c>
      <c r="C1787">
        <v>82.485549000000006</v>
      </c>
      <c r="D1787">
        <v>99.972224999999995</v>
      </c>
      <c r="E1787">
        <v>50.687600000000003</v>
      </c>
      <c r="F1787">
        <v>50.764800000000001</v>
      </c>
      <c r="G1787">
        <v>0.24299999999999999</v>
      </c>
      <c r="H1787">
        <v>0</v>
      </c>
      <c r="J1787" t="s">
        <v>0</v>
      </c>
      <c r="K1787" t="s">
        <v>50</v>
      </c>
      <c r="L1787" t="s">
        <v>51</v>
      </c>
      <c r="M1787">
        <v>0</v>
      </c>
      <c r="N1787" t="s">
        <v>57</v>
      </c>
      <c r="O1787">
        <v>1</v>
      </c>
      <c r="P1787" t="s">
        <v>53</v>
      </c>
      <c r="Q1787" s="2">
        <v>0.58472222222222225</v>
      </c>
      <c r="R1787">
        <f>0.0016945752*3600</f>
        <v>6.1004707200000006</v>
      </c>
      <c r="S1787">
        <f>-0.0007120628*3600</f>
        <v>-2.5634260800000002</v>
      </c>
    </row>
    <row r="1788" spans="1:19" x14ac:dyDescent="0.3">
      <c r="A1788" s="4" t="s">
        <v>59</v>
      </c>
      <c r="B1788" t="s">
        <v>56</v>
      </c>
      <c r="C1788">
        <v>282.48465499999998</v>
      </c>
      <c r="D1788">
        <v>300.02743800000002</v>
      </c>
      <c r="E1788">
        <v>50.6875</v>
      </c>
      <c r="F1788">
        <v>50.764699999999998</v>
      </c>
      <c r="G1788">
        <v>0.24299999999999999</v>
      </c>
      <c r="H1788">
        <v>0</v>
      </c>
      <c r="J1788" t="s">
        <v>0</v>
      </c>
      <c r="K1788" t="s">
        <v>50</v>
      </c>
      <c r="L1788" t="s">
        <v>51</v>
      </c>
      <c r="M1788">
        <v>0</v>
      </c>
      <c r="N1788" t="s">
        <v>57</v>
      </c>
      <c r="O1788">
        <v>1</v>
      </c>
      <c r="P1788" t="s">
        <v>53</v>
      </c>
      <c r="Q1788" s="2">
        <v>0.58472222222222225</v>
      </c>
      <c r="R1788">
        <f>0.0016810438*3600</f>
        <v>6.0517576799999997</v>
      </c>
      <c r="S1788">
        <f>-0.0009102131*3600</f>
        <v>-3.2767671599999999</v>
      </c>
    </row>
    <row r="1789" spans="1:19" x14ac:dyDescent="0.3">
      <c r="A1789" s="4" t="s">
        <v>59</v>
      </c>
      <c r="B1789" t="s">
        <v>56</v>
      </c>
      <c r="C1789">
        <v>82.484966999999997</v>
      </c>
      <c r="D1789">
        <v>99.972292999999993</v>
      </c>
      <c r="E1789">
        <v>50.6877</v>
      </c>
      <c r="F1789">
        <v>50.764899999999997</v>
      </c>
      <c r="G1789">
        <v>0.24299999999999999</v>
      </c>
      <c r="H1789">
        <v>0</v>
      </c>
      <c r="J1789" t="s">
        <v>0</v>
      </c>
      <c r="K1789" t="s">
        <v>50</v>
      </c>
      <c r="L1789" t="s">
        <v>51</v>
      </c>
      <c r="M1789">
        <v>0</v>
      </c>
      <c r="N1789" t="s">
        <v>57</v>
      </c>
      <c r="O1789">
        <v>1</v>
      </c>
      <c r="P1789" t="s">
        <v>53</v>
      </c>
      <c r="Q1789" s="2">
        <v>0.58472222222222225</v>
      </c>
      <c r="R1789">
        <f>-0.0019447462*3600</f>
        <v>-7.0010863200000006</v>
      </c>
      <c r="S1789">
        <f>0.0009724306*3600</f>
        <v>3.5007501599999999</v>
      </c>
    </row>
    <row r="1790" spans="1:19" x14ac:dyDescent="0.3">
      <c r="A1790" s="4" t="s">
        <v>59</v>
      </c>
      <c r="B1790" t="s">
        <v>56</v>
      </c>
      <c r="C1790">
        <v>282.48460299999999</v>
      </c>
      <c r="D1790">
        <v>300.02723400000002</v>
      </c>
      <c r="E1790">
        <v>50.687399999999997</v>
      </c>
      <c r="F1790">
        <v>50.764600000000002</v>
      </c>
      <c r="G1790">
        <v>0.24299999999999999</v>
      </c>
      <c r="H1790">
        <v>0</v>
      </c>
      <c r="J1790" t="s">
        <v>0</v>
      </c>
      <c r="K1790" t="s">
        <v>50</v>
      </c>
      <c r="L1790" t="s">
        <v>51</v>
      </c>
      <c r="M1790">
        <v>0</v>
      </c>
      <c r="N1790" t="s">
        <v>57</v>
      </c>
      <c r="O1790">
        <v>1</v>
      </c>
      <c r="P1790" t="s">
        <v>53</v>
      </c>
      <c r="Q1790" s="2">
        <v>0.58472222222222225</v>
      </c>
      <c r="R1790">
        <f>-0.0021449949*3600</f>
        <v>-7.721981640000001</v>
      </c>
      <c r="S1790">
        <f>0.0009815232*3600</f>
        <v>3.5334835200000003</v>
      </c>
    </row>
    <row r="1791" spans="1:19" x14ac:dyDescent="0.3">
      <c r="A1791" s="4" t="s">
        <v>59</v>
      </c>
      <c r="B1791" t="s">
        <v>47</v>
      </c>
      <c r="C1791">
        <v>80.060467000000003</v>
      </c>
      <c r="D1791">
        <v>99.703306999999995</v>
      </c>
      <c r="E1791">
        <v>90.326800000000006</v>
      </c>
      <c r="F1791">
        <v>90.463300000000004</v>
      </c>
      <c r="G1791">
        <v>0.24299999999999999</v>
      </c>
      <c r="H1791">
        <v>0.23899999999999999</v>
      </c>
      <c r="J1791" t="s">
        <v>0</v>
      </c>
      <c r="K1791" t="s">
        <v>50</v>
      </c>
      <c r="L1791" t="s">
        <v>51</v>
      </c>
      <c r="M1791">
        <v>0</v>
      </c>
      <c r="N1791" t="s">
        <v>57</v>
      </c>
      <c r="O1791">
        <v>1</v>
      </c>
      <c r="P1791" t="s">
        <v>53</v>
      </c>
      <c r="Q1791" s="2">
        <v>0.58472222222222225</v>
      </c>
      <c r="R1791">
        <f>-0.0021473656*3600</f>
        <v>-7.7305161599999996</v>
      </c>
      <c r="S1791">
        <f>0.0008670293*3600</f>
        <v>3.1213054799999997</v>
      </c>
    </row>
    <row r="1792" spans="1:19" x14ac:dyDescent="0.3">
      <c r="A1792" s="4" t="s">
        <v>59</v>
      </c>
      <c r="B1792" t="s">
        <v>47</v>
      </c>
      <c r="C1792">
        <v>280.05880500000001</v>
      </c>
      <c r="D1792">
        <v>300.29682200000002</v>
      </c>
      <c r="E1792">
        <v>90.326800000000006</v>
      </c>
      <c r="F1792">
        <v>90.463300000000004</v>
      </c>
      <c r="G1792">
        <v>0.24299999999999999</v>
      </c>
      <c r="H1792">
        <v>0.23899999999999999</v>
      </c>
      <c r="J1792" t="s">
        <v>0</v>
      </c>
      <c r="K1792" t="s">
        <v>50</v>
      </c>
      <c r="L1792" t="s">
        <v>51</v>
      </c>
      <c r="M1792">
        <v>0</v>
      </c>
      <c r="N1792" t="s">
        <v>57</v>
      </c>
      <c r="O1792">
        <v>1</v>
      </c>
      <c r="P1792" t="s">
        <v>53</v>
      </c>
      <c r="Q1792" s="2">
        <v>0.58472222222222225</v>
      </c>
      <c r="R1792">
        <f>0.0016691753*3600</f>
        <v>6.0090310800000006</v>
      </c>
      <c r="S1792">
        <f>0.0001163594*3600</f>
        <v>0.41889384000000002</v>
      </c>
    </row>
    <row r="1793" spans="1:19" x14ac:dyDescent="0.3">
      <c r="A1793" s="4" t="s">
        <v>59</v>
      </c>
      <c r="B1793" t="s">
        <v>47</v>
      </c>
      <c r="C1793">
        <v>80.059318000000005</v>
      </c>
      <c r="D1793">
        <v>99.703547</v>
      </c>
      <c r="E1793">
        <v>90.327100000000002</v>
      </c>
      <c r="F1793">
        <v>90.4636</v>
      </c>
      <c r="G1793">
        <v>0.24299999999999999</v>
      </c>
      <c r="H1793">
        <v>0.23899999999999999</v>
      </c>
      <c r="J1793" t="s">
        <v>0</v>
      </c>
      <c r="K1793" t="s">
        <v>50</v>
      </c>
      <c r="L1793" t="s">
        <v>51</v>
      </c>
      <c r="M1793">
        <v>0</v>
      </c>
      <c r="N1793" t="s">
        <v>57</v>
      </c>
      <c r="O1793">
        <v>1</v>
      </c>
      <c r="P1793" t="s">
        <v>53</v>
      </c>
      <c r="Q1793" s="2">
        <v>0.58472222222222225</v>
      </c>
      <c r="R1793">
        <f>0.0016345759*3600</f>
        <v>5.8844732400000002</v>
      </c>
      <c r="S1793">
        <f>0.0000253565*3600</f>
        <v>9.1283400000000001E-2</v>
      </c>
    </row>
    <row r="1794" spans="1:19" x14ac:dyDescent="0.3">
      <c r="A1794" s="4" t="s">
        <v>59</v>
      </c>
      <c r="B1794" t="s">
        <v>47</v>
      </c>
      <c r="C1794">
        <v>280.05908599999998</v>
      </c>
      <c r="D1794">
        <v>300.296719</v>
      </c>
      <c r="E1794">
        <v>90.326899999999995</v>
      </c>
      <c r="F1794">
        <v>90.463399999999993</v>
      </c>
      <c r="G1794">
        <v>0.24299999999999999</v>
      </c>
      <c r="H1794">
        <v>0.23899999999999999</v>
      </c>
      <c r="J1794" t="s">
        <v>0</v>
      </c>
      <c r="K1794" t="s">
        <v>50</v>
      </c>
      <c r="L1794" t="s">
        <v>51</v>
      </c>
      <c r="M1794">
        <v>0</v>
      </c>
      <c r="N1794" t="s">
        <v>57</v>
      </c>
      <c r="O1794">
        <v>1</v>
      </c>
      <c r="P1794" t="s">
        <v>53</v>
      </c>
      <c r="Q1794" s="2">
        <v>0.58472222222222225</v>
      </c>
      <c r="R1794">
        <f>-0.0017565575*3600</f>
        <v>-6.323607</v>
      </c>
      <c r="S1794">
        <f>0.000800279*3600</f>
        <v>2.8810044000000001</v>
      </c>
    </row>
    <row r="1795" spans="1:19" x14ac:dyDescent="0.3">
      <c r="A1795" s="4" t="s">
        <v>59</v>
      </c>
      <c r="B1795" t="s">
        <v>47</v>
      </c>
      <c r="C1795">
        <v>80.059746000000004</v>
      </c>
      <c r="D1795">
        <v>99.704195999999996</v>
      </c>
      <c r="E1795">
        <v>90.327100000000002</v>
      </c>
      <c r="F1795">
        <v>90.463700000000003</v>
      </c>
      <c r="G1795">
        <v>0.24299999999999999</v>
      </c>
      <c r="H1795">
        <v>0.23899999999999999</v>
      </c>
      <c r="J1795" t="s">
        <v>0</v>
      </c>
      <c r="K1795" t="s">
        <v>50</v>
      </c>
      <c r="L1795" t="s">
        <v>51</v>
      </c>
      <c r="M1795">
        <v>0</v>
      </c>
      <c r="N1795" t="s">
        <v>57</v>
      </c>
      <c r="O1795">
        <v>1</v>
      </c>
      <c r="P1795" t="s">
        <v>53</v>
      </c>
      <c r="Q1795" s="2">
        <v>0.58472222222222225</v>
      </c>
      <c r="R1795">
        <f>-0.0017781204*3600</f>
        <v>-6.4012334399999995</v>
      </c>
      <c r="S1795">
        <f>0.0008528703*3600</f>
        <v>3.0703330800000002</v>
      </c>
    </row>
    <row r="1796" spans="1:19" x14ac:dyDescent="0.3">
      <c r="A1796" s="4" t="s">
        <v>59</v>
      </c>
      <c r="B1796" t="s">
        <v>47</v>
      </c>
      <c r="C1796">
        <v>280.05891000000003</v>
      </c>
      <c r="D1796">
        <v>300.29619500000001</v>
      </c>
      <c r="E1796">
        <v>90.326899999999995</v>
      </c>
      <c r="F1796">
        <v>90.463399999999993</v>
      </c>
      <c r="G1796">
        <v>0.24299999999999999</v>
      </c>
      <c r="H1796">
        <v>0.23899999999999999</v>
      </c>
      <c r="J1796" t="s">
        <v>0</v>
      </c>
      <c r="K1796" t="s">
        <v>50</v>
      </c>
      <c r="L1796" t="s">
        <v>51</v>
      </c>
      <c r="M1796">
        <v>0</v>
      </c>
      <c r="N1796" t="s">
        <v>57</v>
      </c>
      <c r="O1796">
        <v>1</v>
      </c>
      <c r="P1796" t="s">
        <v>53</v>
      </c>
      <c r="Q1796" s="2">
        <v>0.5854166666666667</v>
      </c>
      <c r="R1796">
        <f>0.0015907683*3600</f>
        <v>5.7267658800000003</v>
      </c>
      <c r="S1796">
        <f>-0.0001085822*3600</f>
        <v>-0.39089592000000001</v>
      </c>
    </row>
    <row r="1797" spans="1:19" x14ac:dyDescent="0.3">
      <c r="A1797" s="4" t="s">
        <v>59</v>
      </c>
      <c r="B1797" t="s">
        <v>47</v>
      </c>
      <c r="C1797">
        <v>80.059793999999997</v>
      </c>
      <c r="D1797">
        <v>99.703674000000007</v>
      </c>
      <c r="E1797">
        <v>90.327299999999994</v>
      </c>
      <c r="F1797">
        <v>90.463800000000006</v>
      </c>
      <c r="G1797">
        <v>0.24299999999999999</v>
      </c>
      <c r="H1797">
        <v>0.23899999999999999</v>
      </c>
      <c r="J1797" t="s">
        <v>0</v>
      </c>
      <c r="K1797" t="s">
        <v>50</v>
      </c>
      <c r="L1797" t="s">
        <v>51</v>
      </c>
      <c r="M1797">
        <v>0</v>
      </c>
      <c r="N1797" t="s">
        <v>57</v>
      </c>
      <c r="O1797">
        <v>1</v>
      </c>
      <c r="P1797" t="s">
        <v>53</v>
      </c>
      <c r="Q1797" s="2">
        <v>0.5854166666666667</v>
      </c>
      <c r="R1797">
        <f>0.0015652259*3600</f>
        <v>5.6348132399999997</v>
      </c>
      <c r="S1797">
        <f>-0.0002068065*3600</f>
        <v>-0.74450340000000004</v>
      </c>
    </row>
    <row r="1798" spans="1:19" x14ac:dyDescent="0.3">
      <c r="A1798" s="4" t="s">
        <v>59</v>
      </c>
      <c r="B1798" t="s">
        <v>47</v>
      </c>
      <c r="C1798">
        <v>280.05897900000002</v>
      </c>
      <c r="D1798">
        <v>300.29638399999999</v>
      </c>
      <c r="E1798">
        <v>90.326599999999999</v>
      </c>
      <c r="F1798">
        <v>90.463099999999997</v>
      </c>
      <c r="G1798">
        <v>0.24299999999999999</v>
      </c>
      <c r="H1798">
        <v>0.23899999999999999</v>
      </c>
      <c r="J1798" t="s">
        <v>0</v>
      </c>
      <c r="K1798" t="s">
        <v>50</v>
      </c>
      <c r="L1798" t="s">
        <v>51</v>
      </c>
      <c r="M1798">
        <v>0</v>
      </c>
      <c r="N1798" t="s">
        <v>57</v>
      </c>
      <c r="O1798">
        <v>1</v>
      </c>
      <c r="P1798" t="s">
        <v>53</v>
      </c>
      <c r="Q1798" s="2">
        <v>0.5854166666666667</v>
      </c>
      <c r="R1798">
        <f>0.0015281786*3600</f>
        <v>5.5014429600000003</v>
      </c>
      <c r="S1798">
        <f>-0.0002959702*3600</f>
        <v>-1.0654927199999999</v>
      </c>
    </row>
    <row r="1799" spans="1:19" x14ac:dyDescent="0.3">
      <c r="A1799" s="4" t="s">
        <v>59</v>
      </c>
      <c r="B1799">
        <v>18</v>
      </c>
      <c r="C1799" t="s">
        <v>30</v>
      </c>
      <c r="D1799" s="3">
        <v>0.86</v>
      </c>
      <c r="E1799" t="s">
        <v>31</v>
      </c>
      <c r="F1799" t="s">
        <v>32</v>
      </c>
      <c r="G1799" t="s">
        <v>33</v>
      </c>
      <c r="H1799" t="s">
        <v>34</v>
      </c>
    </row>
    <row r="1800" spans="1:19" x14ac:dyDescent="0.3">
      <c r="A1800" s="4" t="s">
        <v>59</v>
      </c>
      <c r="B1800" t="s">
        <v>353</v>
      </c>
      <c r="C1800" t="s">
        <v>35</v>
      </c>
      <c r="D1800" t="s">
        <v>354</v>
      </c>
    </row>
    <row r="1801" spans="1:19" x14ac:dyDescent="0.3">
      <c r="A1801" s="4" t="s">
        <v>59</v>
      </c>
      <c r="B1801" t="s">
        <v>39</v>
      </c>
      <c r="C1801">
        <v>0.13</v>
      </c>
    </row>
    <row r="1803" spans="1:19" x14ac:dyDescent="0.3">
      <c r="A1803" t="s">
        <v>1</v>
      </c>
    </row>
  </sheetData>
  <sortState xmlns:xlrd2="http://schemas.microsoft.com/office/spreadsheetml/2017/richdata2" ref="B30:H467">
    <sortCondition ref="B30:B46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210911TK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Flottweg, Jurgen</cp:lastModifiedBy>
  <dcterms:created xsi:type="dcterms:W3CDTF">2021-09-14T16:17:51Z</dcterms:created>
  <dcterms:modified xsi:type="dcterms:W3CDTF">2021-09-15T13:11:23Z</dcterms:modified>
</cp:coreProperties>
</file>