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urphygroup-my.sharepoint.com/personal/ivanzlatev_murphygroup_co_uk/Documents/Desktop/07 StarNet (Tunnel control)/210906-PC_UG/01 Raw Data/"/>
    </mc:Choice>
  </mc:AlternateContent>
  <xr:revisionPtr revIDLastSave="0" documentId="8_{B01E2977-78EE-4532-9609-5FE434912EE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210906K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5" i="1" l="1"/>
  <c r="S25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86" i="1"/>
  <c r="S86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9" i="1"/>
  <c r="S139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12" i="1"/>
  <c r="S212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65" i="1"/>
  <c r="S265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8" i="1"/>
  <c r="S308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61" i="1"/>
  <c r="S361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94" i="1"/>
  <c r="S394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</calcChain>
</file>

<file path=xl/sharedStrings.xml><?xml version="1.0" encoding="utf-8"?>
<sst xmlns="http://schemas.openxmlformats.org/spreadsheetml/2006/main" count="2442" uniqueCount="75">
  <si>
    <t>#</t>
  </si>
  <si>
    <t>Starnet</t>
  </si>
  <si>
    <t>Traverse</t>
  </si>
  <si>
    <t>JobFile:</t>
  </si>
  <si>
    <t>210906KA</t>
  </si>
  <si>
    <t>Date:</t>
  </si>
  <si>
    <t>Time</t>
  </si>
  <si>
    <t>hrs</t>
  </si>
  <si>
    <t>TS16</t>
  </si>
  <si>
    <t>P</t>
  </si>
  <si>
    <t>1"</t>
  </si>
  <si>
    <t>R1000</t>
  </si>
  <si>
    <t>Sr</t>
  </si>
  <si>
    <t>No.</t>
  </si>
  <si>
    <t>Operator:</t>
  </si>
  <si>
    <t>Station</t>
  </si>
  <si>
    <t>HZ</t>
  </si>
  <si>
    <t>VA</t>
  </si>
  <si>
    <t>SD</t>
  </si>
  <si>
    <t>HD</t>
  </si>
  <si>
    <t>I_Ht</t>
  </si>
  <si>
    <t>T_Ht</t>
  </si>
  <si>
    <t>Prism-Const</t>
  </si>
  <si>
    <t>ATR</t>
  </si>
  <si>
    <t>Scale-at-Central-Meridian</t>
  </si>
  <si>
    <t>EDM-Meas-Mode</t>
  </si>
  <si>
    <t>Tilt-T"</t>
  </si>
  <si>
    <t>Tilt-L"</t>
  </si>
  <si>
    <t>Temp:</t>
  </si>
  <si>
    <t>Humidity:</t>
  </si>
  <si>
    <t>Pressure:</t>
  </si>
  <si>
    <t>1028.00mbar</t>
  </si>
  <si>
    <t>Atmosph.Correction:</t>
  </si>
  <si>
    <t>2(PPM)</t>
  </si>
  <si>
    <t>Geom.Correction:</t>
  </si>
  <si>
    <t>-186(PPM)</t>
  </si>
  <si>
    <t>0.9998137361(scale)</t>
  </si>
  <si>
    <t>Ref.</t>
  </si>
  <si>
    <t>Coefficient:</t>
  </si>
  <si>
    <t>Atmospheric</t>
  </si>
  <si>
    <t>Correction</t>
  </si>
  <si>
    <t>(ppm):</t>
  </si>
  <si>
    <t>Geometric</t>
  </si>
  <si>
    <t>Correction:</t>
  </si>
  <si>
    <t>Scale</t>
  </si>
  <si>
    <t>DB</t>
  </si>
  <si>
    <t>AB0110</t>
  </si>
  <si>
    <t>DM</t>
  </si>
  <si>
    <t>AB070</t>
  </si>
  <si>
    <t>Round</t>
  </si>
  <si>
    <t>Prism</t>
  </si>
  <si>
    <t>On</t>
  </si>
  <si>
    <t>Standard</t>
  </si>
  <si>
    <t>-185(PPM)</t>
  </si>
  <si>
    <t>0.9998145878(scale)</t>
  </si>
  <si>
    <t>AB080</t>
  </si>
  <si>
    <t>AB0180</t>
  </si>
  <si>
    <t>AB0170</t>
  </si>
  <si>
    <t>1023.60mbar</t>
  </si>
  <si>
    <t>3(PPM)</t>
  </si>
  <si>
    <t>0.9998143558(scale)</t>
  </si>
  <si>
    <t>AB0230</t>
  </si>
  <si>
    <t>0.9998142785(scale)</t>
  </si>
  <si>
    <t>AB0257</t>
  </si>
  <si>
    <t>AB0267</t>
  </si>
  <si>
    <t>0.9998141346(scale)</t>
  </si>
  <si>
    <t>0.9998140118(scale)</t>
  </si>
  <si>
    <t>0.9998140477(scale)</t>
  </si>
  <si>
    <t>AT0297</t>
  </si>
  <si>
    <t>0.9998138654(scale)</t>
  </si>
  <si>
    <t>AT0257</t>
  </si>
  <si>
    <t>AG0318</t>
  </si>
  <si>
    <t>0.9998136344(scale)</t>
  </si>
  <si>
    <t>AG0328</t>
  </si>
  <si>
    <t>AG0333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</si>
</sst>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8"/>
  <sheetViews>
    <sheetView tabSelected="1" topLeftCell="A256" workbookViewId="0">
      <selection activeCell="D267" sqref="D267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</row>
    <row r="3" spans="1:19" x14ac:dyDescent="0.3">
      <c r="A3" t="s">
        <v>0</v>
      </c>
      <c r="B3" t="s">
        <v>3</v>
      </c>
      <c r="C3" t="s">
        <v>4</v>
      </c>
      <c r="D3" t="s">
        <v>5</v>
      </c>
      <c r="E3" s="1">
        <v>44445</v>
      </c>
      <c r="F3" t="s">
        <v>6</v>
      </c>
      <c r="G3" s="2">
        <v>0.41736111111111113</v>
      </c>
      <c r="H3" t="s">
        <v>7</v>
      </c>
    </row>
    <row r="4" spans="1:19" x14ac:dyDescent="0.3">
      <c r="A4" t="s">
        <v>0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>
        <v>3265642</v>
      </c>
    </row>
    <row r="5" spans="1:19" x14ac:dyDescent="0.3">
      <c r="A5" t="s">
        <v>0</v>
      </c>
      <c r="B5" t="s">
        <v>14</v>
      </c>
    </row>
    <row r="6" spans="1:19" x14ac:dyDescent="0.3">
      <c r="A6" t="s">
        <v>0</v>
      </c>
    </row>
    <row r="7" spans="1:19" x14ac:dyDescent="0.3">
      <c r="A7" t="s">
        <v>0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J7" t="s">
        <v>0</v>
      </c>
      <c r="K7" t="s">
        <v>0</v>
      </c>
      <c r="L7" t="s">
        <v>0</v>
      </c>
      <c r="M7" t="s">
        <v>22</v>
      </c>
      <c r="N7" t="s">
        <v>23</v>
      </c>
      <c r="O7" t="s">
        <v>24</v>
      </c>
      <c r="P7" t="s">
        <v>25</v>
      </c>
      <c r="Q7" t="s">
        <v>6</v>
      </c>
      <c r="R7" t="s">
        <v>26</v>
      </c>
      <c r="S7" t="s">
        <v>27</v>
      </c>
    </row>
    <row r="8" spans="1:19" x14ac:dyDescent="0.3">
      <c r="A8" t="s">
        <v>0</v>
      </c>
    </row>
    <row r="10" spans="1:19" x14ac:dyDescent="0.3">
      <c r="A10" t="s">
        <v>28</v>
      </c>
      <c r="B10">
        <v>18</v>
      </c>
      <c r="C10" t="s">
        <v>29</v>
      </c>
      <c r="D10" s="3">
        <v>0.6</v>
      </c>
      <c r="E10" t="s">
        <v>30</v>
      </c>
      <c r="F10" t="s">
        <v>31</v>
      </c>
      <c r="G10" t="s">
        <v>32</v>
      </c>
      <c r="H10" t="s">
        <v>33</v>
      </c>
    </row>
    <row r="11" spans="1:19" x14ac:dyDescent="0.3">
      <c r="A11" t="s">
        <v>34</v>
      </c>
      <c r="B11" t="s">
        <v>35</v>
      </c>
      <c r="C11" t="s">
        <v>34</v>
      </c>
      <c r="D11" t="s">
        <v>36</v>
      </c>
    </row>
    <row r="12" spans="1:19" x14ac:dyDescent="0.3">
      <c r="A12" t="s">
        <v>37</v>
      </c>
      <c r="B12" t="s">
        <v>38</v>
      </c>
      <c r="C12">
        <v>0.13</v>
      </c>
    </row>
    <row r="14" spans="1:19" x14ac:dyDescent="0.3">
      <c r="A14" t="s">
        <v>28</v>
      </c>
      <c r="B14">
        <v>18</v>
      </c>
      <c r="C14" t="s">
        <v>29</v>
      </c>
      <c r="D14" s="3">
        <v>0.6</v>
      </c>
      <c r="E14" t="s">
        <v>30</v>
      </c>
      <c r="F14" t="s">
        <v>31</v>
      </c>
      <c r="G14" t="s">
        <v>32</v>
      </c>
      <c r="H14" t="s">
        <v>33</v>
      </c>
    </row>
    <row r="15" spans="1:19" x14ac:dyDescent="0.3">
      <c r="A15" t="s">
        <v>34</v>
      </c>
      <c r="B15" t="s">
        <v>35</v>
      </c>
      <c r="C15" t="s">
        <v>34</v>
      </c>
      <c r="D15" t="s">
        <v>36</v>
      </c>
    </row>
    <row r="16" spans="1:19" x14ac:dyDescent="0.3">
      <c r="A16" t="s">
        <v>37</v>
      </c>
      <c r="B16" t="s">
        <v>38</v>
      </c>
      <c r="C16">
        <v>0.13</v>
      </c>
    </row>
    <row r="18" spans="1:19" x14ac:dyDescent="0.3">
      <c r="A18" t="s">
        <v>0</v>
      </c>
      <c r="B18" t="s">
        <v>39</v>
      </c>
      <c r="C18" t="s">
        <v>40</v>
      </c>
      <c r="D18" t="s">
        <v>41</v>
      </c>
      <c r="E18">
        <v>2</v>
      </c>
    </row>
    <row r="19" spans="1:19" x14ac:dyDescent="0.3">
      <c r="A19" t="s">
        <v>0</v>
      </c>
      <c r="B19" t="s">
        <v>42</v>
      </c>
      <c r="C19" t="s">
        <v>43</v>
      </c>
      <c r="D19">
        <v>-185</v>
      </c>
    </row>
    <row r="20" spans="1:19" x14ac:dyDescent="0.3">
      <c r="A20" t="s">
        <v>0</v>
      </c>
      <c r="B20" t="s">
        <v>42</v>
      </c>
      <c r="C20" t="s">
        <v>44</v>
      </c>
      <c r="D20" t="s">
        <v>43</v>
      </c>
      <c r="E20">
        <v>0.99981458779999999</v>
      </c>
    </row>
    <row r="24" spans="1:19" x14ac:dyDescent="0.3">
      <c r="A24" t="s">
        <v>45</v>
      </c>
      <c r="B24" t="s">
        <v>46</v>
      </c>
    </row>
    <row r="25" spans="1:19" x14ac:dyDescent="0.3">
      <c r="A25" t="s">
        <v>47</v>
      </c>
      <c r="B25" t="s">
        <v>48</v>
      </c>
      <c r="C25">
        <v>122.99811699999999</v>
      </c>
      <c r="D25">
        <v>99.796367000000004</v>
      </c>
      <c r="E25">
        <v>48.1614</v>
      </c>
      <c r="F25">
        <v>48.152299999999997</v>
      </c>
      <c r="G25">
        <v>0.24399999999999999</v>
      </c>
      <c r="H25">
        <v>0.24099999999999999</v>
      </c>
      <c r="J25" t="s">
        <v>0</v>
      </c>
      <c r="K25" t="s">
        <v>49</v>
      </c>
      <c r="L25" t="s">
        <v>50</v>
      </c>
      <c r="M25">
        <v>0</v>
      </c>
      <c r="N25" t="s">
        <v>51</v>
      </c>
      <c r="O25">
        <v>1</v>
      </c>
      <c r="P25" t="s">
        <v>52</v>
      </c>
      <c r="Q25" s="2">
        <v>0.41805555555555557</v>
      </c>
      <c r="R25">
        <f>0.0001571607*3600</f>
        <v>0.56577851999999995</v>
      </c>
      <c r="S25">
        <f>0.0002833229*3600</f>
        <v>1.01996244</v>
      </c>
    </row>
    <row r="26" spans="1:19" x14ac:dyDescent="0.3">
      <c r="A26" t="s">
        <v>28</v>
      </c>
      <c r="B26">
        <v>18</v>
      </c>
      <c r="C26" t="s">
        <v>29</v>
      </c>
      <c r="D26" s="3">
        <v>0.6</v>
      </c>
      <c r="E26" t="s">
        <v>30</v>
      </c>
      <c r="F26" t="s">
        <v>31</v>
      </c>
      <c r="G26" t="s">
        <v>32</v>
      </c>
      <c r="H26" t="s">
        <v>33</v>
      </c>
    </row>
    <row r="27" spans="1:19" x14ac:dyDescent="0.3">
      <c r="A27" t="s">
        <v>34</v>
      </c>
      <c r="B27" t="s">
        <v>53</v>
      </c>
      <c r="C27" t="s">
        <v>34</v>
      </c>
      <c r="D27" t="s">
        <v>54</v>
      </c>
    </row>
    <row r="28" spans="1:19" x14ac:dyDescent="0.3">
      <c r="A28" t="s">
        <v>37</v>
      </c>
      <c r="B28" t="s">
        <v>38</v>
      </c>
      <c r="C28">
        <v>0.13</v>
      </c>
    </row>
    <row r="30" spans="1:19" x14ac:dyDescent="0.3">
      <c r="A30" t="s">
        <v>46</v>
      </c>
      <c r="B30" t="s">
        <v>57</v>
      </c>
      <c r="C30">
        <v>324.56061199999999</v>
      </c>
      <c r="D30">
        <v>100.20742300000001</v>
      </c>
      <c r="E30">
        <v>72.188999999999993</v>
      </c>
      <c r="F30">
        <v>72.175299999999993</v>
      </c>
      <c r="G30">
        <v>0.24399999999999999</v>
      </c>
      <c r="H30">
        <v>0.23799999999999999</v>
      </c>
      <c r="J30" t="s">
        <v>0</v>
      </c>
      <c r="K30" t="s">
        <v>49</v>
      </c>
      <c r="L30" t="s">
        <v>50</v>
      </c>
      <c r="M30">
        <v>0</v>
      </c>
      <c r="N30" t="s">
        <v>51</v>
      </c>
      <c r="O30">
        <v>1</v>
      </c>
      <c r="P30" t="s">
        <v>52</v>
      </c>
      <c r="Q30" s="2">
        <v>0.41875000000000001</v>
      </c>
      <c r="R30">
        <f>-0.0000303435*3600</f>
        <v>-0.10923659999999999</v>
      </c>
      <c r="S30">
        <f>0.0001705679*3600</f>
        <v>0.61404444000000002</v>
      </c>
    </row>
    <row r="31" spans="1:19" x14ac:dyDescent="0.3">
      <c r="A31" t="s">
        <v>46</v>
      </c>
      <c r="B31" t="s">
        <v>57</v>
      </c>
      <c r="C31">
        <v>124.56232300000001</v>
      </c>
      <c r="D31">
        <v>299.79292900000002</v>
      </c>
      <c r="E31">
        <v>72.188800000000001</v>
      </c>
      <c r="F31">
        <v>72.1751</v>
      </c>
      <c r="G31">
        <v>0.24399999999999999</v>
      </c>
      <c r="H31">
        <v>0.23799999999999999</v>
      </c>
      <c r="J31" t="s">
        <v>0</v>
      </c>
      <c r="K31" t="s">
        <v>49</v>
      </c>
      <c r="L31" t="s">
        <v>50</v>
      </c>
      <c r="M31">
        <v>0</v>
      </c>
      <c r="N31" t="s">
        <v>51</v>
      </c>
      <c r="O31">
        <v>1</v>
      </c>
      <c r="P31" t="s">
        <v>52</v>
      </c>
      <c r="Q31" s="2">
        <v>0.42083333333333334</v>
      </c>
      <c r="R31">
        <f>-0.0002951026*3600</f>
        <v>-1.0623693599999999</v>
      </c>
      <c r="S31">
        <f>0.0001397882*3600</f>
        <v>0.50323751999999999</v>
      </c>
    </row>
    <row r="32" spans="1:19" x14ac:dyDescent="0.3">
      <c r="A32" t="s">
        <v>46</v>
      </c>
      <c r="B32" t="s">
        <v>57</v>
      </c>
      <c r="C32">
        <v>324.56067899999999</v>
      </c>
      <c r="D32">
        <v>100.207779</v>
      </c>
      <c r="E32">
        <v>72.189099999999996</v>
      </c>
      <c r="F32">
        <v>72.175399999999996</v>
      </c>
      <c r="G32">
        <v>0.24399999999999999</v>
      </c>
      <c r="H32">
        <v>0.23799999999999999</v>
      </c>
      <c r="J32" t="s">
        <v>0</v>
      </c>
      <c r="K32" t="s">
        <v>49</v>
      </c>
      <c r="L32" t="s">
        <v>50</v>
      </c>
      <c r="M32">
        <v>0</v>
      </c>
      <c r="N32" t="s">
        <v>51</v>
      </c>
      <c r="O32">
        <v>1</v>
      </c>
      <c r="P32" t="s">
        <v>52</v>
      </c>
      <c r="Q32" s="2">
        <v>0.42152777777777778</v>
      </c>
      <c r="R32">
        <f>-0.0000382264*3600</f>
        <v>-0.13761503999999999</v>
      </c>
      <c r="S32">
        <f>0.0010437056*3600</f>
        <v>3.75734016</v>
      </c>
    </row>
    <row r="33" spans="1:19" x14ac:dyDescent="0.3">
      <c r="A33" t="s">
        <v>46</v>
      </c>
      <c r="B33" t="s">
        <v>57</v>
      </c>
      <c r="C33">
        <v>124.562488</v>
      </c>
      <c r="D33">
        <v>299.79295999999999</v>
      </c>
      <c r="E33">
        <v>72.188800000000001</v>
      </c>
      <c r="F33">
        <v>72.1751</v>
      </c>
      <c r="G33">
        <v>0.24399999999999999</v>
      </c>
      <c r="H33">
        <v>0.23799999999999999</v>
      </c>
      <c r="J33" t="s">
        <v>0</v>
      </c>
      <c r="K33" t="s">
        <v>49</v>
      </c>
      <c r="L33" t="s">
        <v>50</v>
      </c>
      <c r="M33">
        <v>0</v>
      </c>
      <c r="N33" t="s">
        <v>51</v>
      </c>
      <c r="O33">
        <v>1</v>
      </c>
      <c r="P33" t="s">
        <v>52</v>
      </c>
      <c r="Q33" s="2">
        <v>0.42152777777777778</v>
      </c>
      <c r="R33">
        <f>-0.0001080371*3600</f>
        <v>-0.38893356000000001</v>
      </c>
      <c r="S33">
        <f>0.0010953297*3600</f>
        <v>3.9431869199999996</v>
      </c>
    </row>
    <row r="34" spans="1:19" x14ac:dyDescent="0.3">
      <c r="A34" t="s">
        <v>46</v>
      </c>
      <c r="B34" t="s">
        <v>57</v>
      </c>
      <c r="C34">
        <v>324.56054499999999</v>
      </c>
      <c r="D34">
        <v>100.20786099999999</v>
      </c>
      <c r="E34">
        <v>72.1892</v>
      </c>
      <c r="F34">
        <v>72.1755</v>
      </c>
      <c r="G34">
        <v>0.24399999999999999</v>
      </c>
      <c r="H34">
        <v>0.23799999999999999</v>
      </c>
      <c r="J34" t="s">
        <v>0</v>
      </c>
      <c r="K34" t="s">
        <v>49</v>
      </c>
      <c r="L34" t="s">
        <v>50</v>
      </c>
      <c r="M34">
        <v>0</v>
      </c>
      <c r="N34" t="s">
        <v>51</v>
      </c>
      <c r="O34">
        <v>1</v>
      </c>
      <c r="P34" t="s">
        <v>52</v>
      </c>
      <c r="Q34" s="2">
        <v>0.42152777777777778</v>
      </c>
      <c r="R34">
        <f>-0.000180935*3600</f>
        <v>-0.651366</v>
      </c>
      <c r="S34">
        <f>-0.0003058465*3600</f>
        <v>-1.1010473999999999</v>
      </c>
    </row>
    <row r="35" spans="1:19" x14ac:dyDescent="0.3">
      <c r="A35" t="s">
        <v>46</v>
      </c>
      <c r="B35" t="s">
        <v>57</v>
      </c>
      <c r="C35">
        <v>124.562094</v>
      </c>
      <c r="D35">
        <v>299.79300799999999</v>
      </c>
      <c r="E35">
        <v>72.188900000000004</v>
      </c>
      <c r="F35">
        <v>72.175200000000004</v>
      </c>
      <c r="G35">
        <v>0.24399999999999999</v>
      </c>
      <c r="H35">
        <v>0.23799999999999999</v>
      </c>
      <c r="J35" t="s">
        <v>0</v>
      </c>
      <c r="K35" t="s">
        <v>49</v>
      </c>
      <c r="L35" t="s">
        <v>50</v>
      </c>
      <c r="M35">
        <v>0</v>
      </c>
      <c r="N35" t="s">
        <v>51</v>
      </c>
      <c r="O35">
        <v>1</v>
      </c>
      <c r="P35" t="s">
        <v>52</v>
      </c>
      <c r="Q35" s="2">
        <v>0.42222222222222222</v>
      </c>
      <c r="R35">
        <f>-0.0001963495*3600</f>
        <v>-0.70685819999999999</v>
      </c>
      <c r="S35">
        <f>-0.0003056062*3600</f>
        <v>-1.10018232</v>
      </c>
    </row>
    <row r="36" spans="1:19" x14ac:dyDescent="0.3">
      <c r="A36" t="s">
        <v>46</v>
      </c>
      <c r="B36" t="s">
        <v>57</v>
      </c>
      <c r="C36">
        <v>324.56052799999998</v>
      </c>
      <c r="D36">
        <v>100.207714</v>
      </c>
      <c r="E36">
        <v>72.188999999999993</v>
      </c>
      <c r="F36">
        <v>72.175299999999993</v>
      </c>
      <c r="G36">
        <v>0.24399999999999999</v>
      </c>
      <c r="H36">
        <v>0.23799999999999999</v>
      </c>
      <c r="J36" t="s">
        <v>0</v>
      </c>
      <c r="K36" t="s">
        <v>49</v>
      </c>
      <c r="L36" t="s">
        <v>50</v>
      </c>
      <c r="M36">
        <v>0</v>
      </c>
      <c r="N36" t="s">
        <v>51</v>
      </c>
      <c r="O36">
        <v>1</v>
      </c>
      <c r="P36" t="s">
        <v>52</v>
      </c>
      <c r="Q36" s="2">
        <v>0.42222222222222222</v>
      </c>
      <c r="R36">
        <f>-0.0000838823*3600</f>
        <v>-0.30197627999999999</v>
      </c>
      <c r="S36">
        <f>0.0010166362*3600</f>
        <v>3.6598903200000001</v>
      </c>
    </row>
    <row r="37" spans="1:19" x14ac:dyDescent="0.3">
      <c r="A37" t="s">
        <v>46</v>
      </c>
      <c r="B37" t="s">
        <v>57</v>
      </c>
      <c r="C37">
        <v>124.562074</v>
      </c>
      <c r="D37">
        <v>299.79315300000002</v>
      </c>
      <c r="E37">
        <v>72.188800000000001</v>
      </c>
      <c r="F37">
        <v>72.1751</v>
      </c>
      <c r="G37">
        <v>0.24399999999999999</v>
      </c>
      <c r="H37">
        <v>0.23799999999999999</v>
      </c>
      <c r="J37" t="s">
        <v>0</v>
      </c>
      <c r="K37" t="s">
        <v>49</v>
      </c>
      <c r="L37" t="s">
        <v>50</v>
      </c>
      <c r="M37">
        <v>0</v>
      </c>
      <c r="N37" t="s">
        <v>51</v>
      </c>
      <c r="O37">
        <v>1</v>
      </c>
      <c r="P37" t="s">
        <v>52</v>
      </c>
      <c r="Q37" s="2">
        <v>0.42222222222222222</v>
      </c>
      <c r="R37">
        <f>0.0000298211*3600</f>
        <v>0.10735596</v>
      </c>
      <c r="S37">
        <f>0.0009747119*3600</f>
        <v>3.5089628400000001</v>
      </c>
    </row>
    <row r="38" spans="1:19" x14ac:dyDescent="0.3">
      <c r="A38" t="s">
        <v>46</v>
      </c>
      <c r="B38" t="s">
        <v>57</v>
      </c>
      <c r="C38">
        <v>324.56044600000001</v>
      </c>
      <c r="D38">
        <v>100.20778799999999</v>
      </c>
      <c r="E38">
        <v>72.189300000000003</v>
      </c>
      <c r="F38">
        <v>72.175600000000003</v>
      </c>
      <c r="G38">
        <v>0.24399999999999999</v>
      </c>
      <c r="H38">
        <v>0.23799999999999999</v>
      </c>
      <c r="J38" t="s">
        <v>0</v>
      </c>
      <c r="K38" t="s">
        <v>49</v>
      </c>
      <c r="L38" t="s">
        <v>50</v>
      </c>
      <c r="M38">
        <v>0</v>
      </c>
      <c r="N38" t="s">
        <v>51</v>
      </c>
      <c r="O38">
        <v>1</v>
      </c>
      <c r="P38" t="s">
        <v>52</v>
      </c>
      <c r="Q38" s="2">
        <v>0.42222222222222222</v>
      </c>
      <c r="R38">
        <f>-0.0000562853*3600</f>
        <v>-0.20262708000000001</v>
      </c>
      <c r="S38">
        <f>-0.0000183823*3600</f>
        <v>-6.617627999999999E-2</v>
      </c>
    </row>
    <row r="39" spans="1:19" x14ac:dyDescent="0.3">
      <c r="A39" t="s">
        <v>46</v>
      </c>
      <c r="B39" t="s">
        <v>57</v>
      </c>
      <c r="C39">
        <v>124.56191699999999</v>
      </c>
      <c r="D39">
        <v>299.793116</v>
      </c>
      <c r="E39">
        <v>72.188900000000004</v>
      </c>
      <c r="F39">
        <v>72.175200000000004</v>
      </c>
      <c r="G39">
        <v>0.24399999999999999</v>
      </c>
      <c r="H39">
        <v>0.23799999999999999</v>
      </c>
      <c r="J39" t="s">
        <v>0</v>
      </c>
      <c r="K39" t="s">
        <v>49</v>
      </c>
      <c r="L39" t="s">
        <v>50</v>
      </c>
      <c r="M39">
        <v>0</v>
      </c>
      <c r="N39" t="s">
        <v>51</v>
      </c>
      <c r="O39">
        <v>1</v>
      </c>
      <c r="P39" t="s">
        <v>52</v>
      </c>
      <c r="Q39" s="2">
        <v>0.42222222222222222</v>
      </c>
      <c r="R39">
        <f>-0.0002512676*3600</f>
        <v>-0.90456335999999993</v>
      </c>
      <c r="S39">
        <f>-0.0000115025*3600</f>
        <v>-4.1409000000000001E-2</v>
      </c>
    </row>
    <row r="40" spans="1:19" x14ac:dyDescent="0.3">
      <c r="A40" t="s">
        <v>46</v>
      </c>
      <c r="B40" t="s">
        <v>56</v>
      </c>
      <c r="C40">
        <v>323.762765</v>
      </c>
      <c r="D40">
        <v>100.020456</v>
      </c>
      <c r="E40">
        <v>84.557100000000005</v>
      </c>
      <c r="F40">
        <v>84.541399999999996</v>
      </c>
      <c r="G40">
        <v>0.24399999999999999</v>
      </c>
      <c r="H40">
        <v>0.24</v>
      </c>
      <c r="J40" t="s">
        <v>0</v>
      </c>
      <c r="K40" t="s">
        <v>49</v>
      </c>
      <c r="L40" t="s">
        <v>50</v>
      </c>
      <c r="M40">
        <v>0</v>
      </c>
      <c r="N40" t="s">
        <v>51</v>
      </c>
      <c r="O40">
        <v>1</v>
      </c>
      <c r="P40" t="s">
        <v>52</v>
      </c>
      <c r="Q40" s="2">
        <v>0.42222222222222222</v>
      </c>
      <c r="R40">
        <f>-0.0000306826*3600</f>
        <v>-0.11045736000000002</v>
      </c>
      <c r="S40">
        <f>0.0010889251*3600</f>
        <v>3.9201303599999999</v>
      </c>
    </row>
    <row r="41" spans="1:19" x14ac:dyDescent="0.3">
      <c r="A41" t="s">
        <v>46</v>
      </c>
      <c r="B41" t="s">
        <v>56</v>
      </c>
      <c r="C41">
        <v>123.764207</v>
      </c>
      <c r="D41">
        <v>299.97985799999998</v>
      </c>
      <c r="E41">
        <v>84.557000000000002</v>
      </c>
      <c r="F41">
        <v>84.541300000000007</v>
      </c>
      <c r="G41">
        <v>0.24399999999999999</v>
      </c>
      <c r="H41">
        <v>0.24</v>
      </c>
      <c r="J41" t="s">
        <v>0</v>
      </c>
      <c r="K41" t="s">
        <v>49</v>
      </c>
      <c r="L41" t="s">
        <v>50</v>
      </c>
      <c r="M41">
        <v>0</v>
      </c>
      <c r="N41" t="s">
        <v>51</v>
      </c>
      <c r="O41">
        <v>1</v>
      </c>
      <c r="P41" t="s">
        <v>52</v>
      </c>
      <c r="Q41" s="2">
        <v>0.42222222222222222</v>
      </c>
      <c r="R41">
        <f>-0.0000732401*3600</f>
        <v>-0.26366435999999999</v>
      </c>
      <c r="S41">
        <f>0.0011135356*3600</f>
        <v>4.0087281599999995</v>
      </c>
    </row>
    <row r="42" spans="1:19" x14ac:dyDescent="0.3">
      <c r="A42" t="s">
        <v>46</v>
      </c>
      <c r="B42" t="s">
        <v>56</v>
      </c>
      <c r="C42">
        <v>323.762812</v>
      </c>
      <c r="D42">
        <v>100.020546</v>
      </c>
      <c r="E42">
        <v>84.557299999999998</v>
      </c>
      <c r="F42">
        <v>84.541600000000003</v>
      </c>
      <c r="G42">
        <v>0.24399999999999999</v>
      </c>
      <c r="H42">
        <v>0.24</v>
      </c>
      <c r="J42" t="s">
        <v>0</v>
      </c>
      <c r="K42" t="s">
        <v>49</v>
      </c>
      <c r="L42" t="s">
        <v>50</v>
      </c>
      <c r="M42">
        <v>0</v>
      </c>
      <c r="N42" t="s">
        <v>51</v>
      </c>
      <c r="O42">
        <v>1</v>
      </c>
      <c r="P42" t="s">
        <v>52</v>
      </c>
      <c r="Q42" s="2">
        <v>0.42291666666666666</v>
      </c>
      <c r="R42">
        <f>-0.0002394311*3600</f>
        <v>-0.86195195999999996</v>
      </c>
      <c r="S42">
        <f>-0.0000770799*3600</f>
        <v>-0.27748763999999998</v>
      </c>
    </row>
    <row r="43" spans="1:19" x14ac:dyDescent="0.3">
      <c r="A43" t="s">
        <v>46</v>
      </c>
      <c r="B43" t="s">
        <v>56</v>
      </c>
      <c r="C43">
        <v>123.76439999999999</v>
      </c>
      <c r="D43">
        <v>299.97992799999997</v>
      </c>
      <c r="E43">
        <v>84.556799999999996</v>
      </c>
      <c r="F43">
        <v>84.5411</v>
      </c>
      <c r="G43">
        <v>0.24399999999999999</v>
      </c>
      <c r="H43">
        <v>0.24</v>
      </c>
      <c r="J43" t="s">
        <v>0</v>
      </c>
      <c r="K43" t="s">
        <v>49</v>
      </c>
      <c r="L43" t="s">
        <v>50</v>
      </c>
      <c r="M43">
        <v>0</v>
      </c>
      <c r="N43" t="s">
        <v>51</v>
      </c>
      <c r="O43">
        <v>1</v>
      </c>
      <c r="P43" t="s">
        <v>52</v>
      </c>
      <c r="Q43" s="2">
        <v>0.42291666666666666</v>
      </c>
      <c r="R43">
        <f>-0.0001273218*3600</f>
        <v>-0.45835848000000007</v>
      </c>
      <c r="S43">
        <f>-0.0000730075*3600</f>
        <v>-0.26282699999999998</v>
      </c>
    </row>
    <row r="44" spans="1:19" x14ac:dyDescent="0.3">
      <c r="A44" t="s">
        <v>46</v>
      </c>
      <c r="B44" t="s">
        <v>56</v>
      </c>
      <c r="C44">
        <v>323.76261899999997</v>
      </c>
      <c r="D44">
        <v>100.02062100000001</v>
      </c>
      <c r="E44">
        <v>84.557299999999998</v>
      </c>
      <c r="F44">
        <v>84.541600000000003</v>
      </c>
      <c r="G44">
        <v>0.24399999999999999</v>
      </c>
      <c r="H44">
        <v>0.24</v>
      </c>
      <c r="J44" t="s">
        <v>0</v>
      </c>
      <c r="K44" t="s">
        <v>49</v>
      </c>
      <c r="L44" t="s">
        <v>50</v>
      </c>
      <c r="M44">
        <v>0</v>
      </c>
      <c r="N44" t="s">
        <v>51</v>
      </c>
      <c r="O44">
        <v>1</v>
      </c>
      <c r="P44" t="s">
        <v>52</v>
      </c>
      <c r="Q44" s="2">
        <v>0.42291666666666666</v>
      </c>
      <c r="R44">
        <f>0.0003303212*3600</f>
        <v>1.1891563200000002</v>
      </c>
      <c r="S44">
        <f>0.0006444256*3600</f>
        <v>2.31993216</v>
      </c>
    </row>
    <row r="45" spans="1:19" x14ac:dyDescent="0.3">
      <c r="A45" t="s">
        <v>46</v>
      </c>
      <c r="B45" t="s">
        <v>56</v>
      </c>
      <c r="C45">
        <v>123.764416</v>
      </c>
      <c r="D45">
        <v>299.98001399999998</v>
      </c>
      <c r="E45">
        <v>84.556799999999996</v>
      </c>
      <c r="F45">
        <v>84.5411</v>
      </c>
      <c r="G45">
        <v>0.24399999999999999</v>
      </c>
      <c r="H45">
        <v>0.24</v>
      </c>
      <c r="J45" t="s">
        <v>0</v>
      </c>
      <c r="K45" t="s">
        <v>49</v>
      </c>
      <c r="L45" t="s">
        <v>50</v>
      </c>
      <c r="M45">
        <v>0</v>
      </c>
      <c r="N45" t="s">
        <v>51</v>
      </c>
      <c r="O45">
        <v>1</v>
      </c>
      <c r="P45" t="s">
        <v>52</v>
      </c>
      <c r="Q45" s="2">
        <v>0.42291666666666666</v>
      </c>
      <c r="R45">
        <f>0.0003689261*3600</f>
        <v>1.3281339599999999</v>
      </c>
      <c r="S45">
        <f>0.0006380261*3600</f>
        <v>2.2968939600000002</v>
      </c>
    </row>
    <row r="46" spans="1:19" x14ac:dyDescent="0.3">
      <c r="A46" t="s">
        <v>46</v>
      </c>
      <c r="B46" t="s">
        <v>56</v>
      </c>
      <c r="C46">
        <v>323.76317499999999</v>
      </c>
      <c r="D46">
        <v>100.02041699999999</v>
      </c>
      <c r="E46">
        <v>84.557199999999995</v>
      </c>
      <c r="F46">
        <v>84.541499999999999</v>
      </c>
      <c r="G46">
        <v>0.24399999999999999</v>
      </c>
      <c r="H46">
        <v>0.24</v>
      </c>
      <c r="J46" t="s">
        <v>0</v>
      </c>
      <c r="K46" t="s">
        <v>49</v>
      </c>
      <c r="L46" t="s">
        <v>50</v>
      </c>
      <c r="M46">
        <v>0</v>
      </c>
      <c r="N46" t="s">
        <v>51</v>
      </c>
      <c r="O46">
        <v>1</v>
      </c>
      <c r="P46" t="s">
        <v>52</v>
      </c>
      <c r="Q46" s="2">
        <v>0.42291666666666666</v>
      </c>
      <c r="R46">
        <f>-0.0003663726*3600</f>
        <v>-1.31894136</v>
      </c>
      <c r="S46">
        <f>-0.0001119632*3600</f>
        <v>-0.40306752000000001</v>
      </c>
    </row>
    <row r="47" spans="1:19" x14ac:dyDescent="0.3">
      <c r="A47" t="s">
        <v>46</v>
      </c>
      <c r="B47" t="s">
        <v>56</v>
      </c>
      <c r="C47">
        <v>123.76427200000001</v>
      </c>
      <c r="D47">
        <v>299.98008399999998</v>
      </c>
      <c r="E47">
        <v>84.556799999999996</v>
      </c>
      <c r="F47">
        <v>84.5411</v>
      </c>
      <c r="G47">
        <v>0.24399999999999999</v>
      </c>
      <c r="H47">
        <v>0.24</v>
      </c>
      <c r="J47" t="s">
        <v>0</v>
      </c>
      <c r="K47" t="s">
        <v>49</v>
      </c>
      <c r="L47" t="s">
        <v>50</v>
      </c>
      <c r="M47">
        <v>0</v>
      </c>
      <c r="N47" t="s">
        <v>51</v>
      </c>
      <c r="O47">
        <v>1</v>
      </c>
      <c r="P47" t="s">
        <v>52</v>
      </c>
      <c r="Q47" s="2">
        <v>0.42291666666666666</v>
      </c>
      <c r="R47">
        <f>-0.0003092874*3600</f>
        <v>-1.1134346400000001</v>
      </c>
      <c r="S47">
        <f>-0.0000564044*3600</f>
        <v>-0.20305583999999999</v>
      </c>
    </row>
    <row r="48" spans="1:19" x14ac:dyDescent="0.3">
      <c r="A48" t="s">
        <v>46</v>
      </c>
      <c r="B48" t="s">
        <v>56</v>
      </c>
      <c r="C48">
        <v>323.76257199999998</v>
      </c>
      <c r="D48">
        <v>100.02075600000001</v>
      </c>
      <c r="E48">
        <v>84.557299999999998</v>
      </c>
      <c r="F48">
        <v>84.541600000000003</v>
      </c>
      <c r="G48">
        <v>0.24399999999999999</v>
      </c>
      <c r="H48">
        <v>0.24</v>
      </c>
      <c r="J48" t="s">
        <v>0</v>
      </c>
      <c r="K48" t="s">
        <v>49</v>
      </c>
      <c r="L48" t="s">
        <v>50</v>
      </c>
      <c r="M48">
        <v>0</v>
      </c>
      <c r="N48" t="s">
        <v>51</v>
      </c>
      <c r="O48">
        <v>1</v>
      </c>
      <c r="P48" t="s">
        <v>52</v>
      </c>
      <c r="Q48" s="2">
        <v>0.42291666666666666</v>
      </c>
      <c r="R48">
        <f>0.0003733265*3600</f>
        <v>1.3439753999999999</v>
      </c>
      <c r="S48">
        <f>0.0008595994*3600</f>
        <v>3.0945578399999998</v>
      </c>
    </row>
    <row r="49" spans="1:19" x14ac:dyDescent="0.3">
      <c r="A49" t="s">
        <v>46</v>
      </c>
      <c r="B49" t="s">
        <v>56</v>
      </c>
      <c r="C49">
        <v>123.76436099999999</v>
      </c>
      <c r="D49">
        <v>299.98031300000002</v>
      </c>
      <c r="E49">
        <v>84.556899999999999</v>
      </c>
      <c r="F49">
        <v>84.541200000000003</v>
      </c>
      <c r="G49">
        <v>0.24399999999999999</v>
      </c>
      <c r="H49">
        <v>0.24</v>
      </c>
      <c r="J49" t="s">
        <v>0</v>
      </c>
      <c r="K49" t="s">
        <v>49</v>
      </c>
      <c r="L49" t="s">
        <v>50</v>
      </c>
      <c r="M49">
        <v>0</v>
      </c>
      <c r="N49" t="s">
        <v>51</v>
      </c>
      <c r="O49">
        <v>1</v>
      </c>
      <c r="P49" t="s">
        <v>52</v>
      </c>
      <c r="Q49" s="2">
        <v>0.42291666666666666</v>
      </c>
      <c r="R49">
        <f>0.0003460701*3600</f>
        <v>1.24585236</v>
      </c>
      <c r="S49">
        <f>0.0008420705*3600</f>
        <v>3.0314538</v>
      </c>
    </row>
    <row r="50" spans="1:19" x14ac:dyDescent="0.3">
      <c r="A50" t="s">
        <v>46</v>
      </c>
      <c r="B50" t="s">
        <v>48</v>
      </c>
      <c r="C50">
        <v>122.996937</v>
      </c>
      <c r="D50">
        <v>99.795715000000001</v>
      </c>
      <c r="E50">
        <v>48.161499999999997</v>
      </c>
      <c r="F50">
        <v>48.152299999999997</v>
      </c>
      <c r="G50">
        <v>0.24399999999999999</v>
      </c>
      <c r="H50">
        <v>0.24099999999999999</v>
      </c>
      <c r="J50" t="s">
        <v>0</v>
      </c>
      <c r="K50" t="s">
        <v>49</v>
      </c>
      <c r="L50" t="s">
        <v>50</v>
      </c>
      <c r="M50">
        <v>0</v>
      </c>
      <c r="N50" t="s">
        <v>51</v>
      </c>
      <c r="O50">
        <v>1</v>
      </c>
      <c r="P50" t="s">
        <v>52</v>
      </c>
      <c r="Q50" s="2">
        <v>0.42291666666666666</v>
      </c>
      <c r="R50">
        <f>-0.000540615*3600</f>
        <v>-1.9462140000000001</v>
      </c>
      <c r="S50">
        <f>-0.0002327381*3600</f>
        <v>-0.83785715999999999</v>
      </c>
    </row>
    <row r="51" spans="1:19" x14ac:dyDescent="0.3">
      <c r="A51" t="s">
        <v>46</v>
      </c>
      <c r="B51" t="s">
        <v>48</v>
      </c>
      <c r="C51">
        <v>322.998603</v>
      </c>
      <c r="D51">
        <v>300.20356299999997</v>
      </c>
      <c r="E51">
        <v>48.161099999999998</v>
      </c>
      <c r="F51">
        <v>48.151899999999998</v>
      </c>
      <c r="G51">
        <v>0.24399999999999999</v>
      </c>
      <c r="H51">
        <v>0.24099999999999999</v>
      </c>
      <c r="J51" t="s">
        <v>0</v>
      </c>
      <c r="K51" t="s">
        <v>49</v>
      </c>
      <c r="L51" t="s">
        <v>50</v>
      </c>
      <c r="M51">
        <v>0</v>
      </c>
      <c r="N51" t="s">
        <v>51</v>
      </c>
      <c r="O51">
        <v>1</v>
      </c>
      <c r="P51" t="s">
        <v>52</v>
      </c>
      <c r="Q51" s="2">
        <v>0.4236111111111111</v>
      </c>
      <c r="R51">
        <f>-0.0004322405*3600</f>
        <v>-1.5560657999999998</v>
      </c>
      <c r="S51">
        <f>-0.0002368854*3600</f>
        <v>-0.85278743999999995</v>
      </c>
    </row>
    <row r="52" spans="1:19" x14ac:dyDescent="0.3">
      <c r="A52" t="s">
        <v>46</v>
      </c>
      <c r="B52" t="s">
        <v>48</v>
      </c>
      <c r="C52">
        <v>122.997708</v>
      </c>
      <c r="D52">
        <v>99.795997</v>
      </c>
      <c r="E52">
        <v>48.161200000000001</v>
      </c>
      <c r="F52">
        <v>48.152000000000001</v>
      </c>
      <c r="G52">
        <v>0.24399999999999999</v>
      </c>
      <c r="H52">
        <v>0.24099999999999999</v>
      </c>
      <c r="J52" t="s">
        <v>0</v>
      </c>
      <c r="K52" t="s">
        <v>49</v>
      </c>
      <c r="L52" t="s">
        <v>50</v>
      </c>
      <c r="M52">
        <v>0</v>
      </c>
      <c r="N52" t="s">
        <v>51</v>
      </c>
      <c r="O52">
        <v>1</v>
      </c>
      <c r="P52" t="s">
        <v>52</v>
      </c>
      <c r="Q52" s="2">
        <v>0.4236111111111111</v>
      </c>
      <c r="R52">
        <f>0.000060191*3600</f>
        <v>0.21668760000000001</v>
      </c>
      <c r="S52">
        <f>0.0010767045*3600</f>
        <v>3.8761361999999995</v>
      </c>
    </row>
    <row r="53" spans="1:19" x14ac:dyDescent="0.3">
      <c r="A53" t="s">
        <v>46</v>
      </c>
      <c r="B53" t="s">
        <v>48</v>
      </c>
      <c r="C53">
        <v>322.99857700000001</v>
      </c>
      <c r="D53">
        <v>300.20365900000002</v>
      </c>
      <c r="E53">
        <v>48.161099999999998</v>
      </c>
      <c r="F53">
        <v>48.151899999999998</v>
      </c>
      <c r="G53">
        <v>0.24399999999999999</v>
      </c>
      <c r="H53">
        <v>0.24099999999999999</v>
      </c>
      <c r="J53" t="s">
        <v>0</v>
      </c>
      <c r="K53" t="s">
        <v>49</v>
      </c>
      <c r="L53" t="s">
        <v>50</v>
      </c>
      <c r="M53">
        <v>0</v>
      </c>
      <c r="N53" t="s">
        <v>51</v>
      </c>
      <c r="O53">
        <v>1</v>
      </c>
      <c r="P53" t="s">
        <v>52</v>
      </c>
      <c r="Q53" s="2">
        <v>0.4236111111111111</v>
      </c>
      <c r="R53">
        <f>0.0000076953*3600</f>
        <v>2.7703080000000001E-2</v>
      </c>
      <c r="S53">
        <f>0.0011493777*3600</f>
        <v>4.13775972</v>
      </c>
    </row>
    <row r="54" spans="1:19" x14ac:dyDescent="0.3">
      <c r="A54" t="s">
        <v>46</v>
      </c>
      <c r="B54" t="s">
        <v>48</v>
      </c>
      <c r="C54">
        <v>122.997584</v>
      </c>
      <c r="D54">
        <v>99.795907</v>
      </c>
      <c r="E54">
        <v>48.161200000000001</v>
      </c>
      <c r="F54">
        <v>48.152000000000001</v>
      </c>
      <c r="G54">
        <v>0.24399999999999999</v>
      </c>
      <c r="H54">
        <v>0.24099999999999999</v>
      </c>
      <c r="J54" t="s">
        <v>0</v>
      </c>
      <c r="K54" t="s">
        <v>49</v>
      </c>
      <c r="L54" t="s">
        <v>50</v>
      </c>
      <c r="M54">
        <v>0</v>
      </c>
      <c r="N54" t="s">
        <v>51</v>
      </c>
      <c r="O54">
        <v>1</v>
      </c>
      <c r="P54" t="s">
        <v>52</v>
      </c>
      <c r="Q54" s="2">
        <v>0.4236111111111111</v>
      </c>
      <c r="R54">
        <f>-0.0004950029*3600</f>
        <v>-1.7820104400000001</v>
      </c>
      <c r="S54">
        <f>-0.0000943253*3600</f>
        <v>-0.33957107999999997</v>
      </c>
    </row>
    <row r="55" spans="1:19" x14ac:dyDescent="0.3">
      <c r="A55" t="s">
        <v>46</v>
      </c>
      <c r="B55" t="s">
        <v>48</v>
      </c>
      <c r="C55">
        <v>322.998358</v>
      </c>
      <c r="D55">
        <v>300.203667</v>
      </c>
      <c r="E55">
        <v>48.161099999999998</v>
      </c>
      <c r="F55">
        <v>48.151899999999998</v>
      </c>
      <c r="G55">
        <v>0.24399999999999999</v>
      </c>
      <c r="H55">
        <v>0.24099999999999999</v>
      </c>
      <c r="J55" t="s">
        <v>0</v>
      </c>
      <c r="K55" t="s">
        <v>49</v>
      </c>
      <c r="L55" t="s">
        <v>50</v>
      </c>
      <c r="M55">
        <v>0</v>
      </c>
      <c r="N55" t="s">
        <v>51</v>
      </c>
      <c r="O55">
        <v>1</v>
      </c>
      <c r="P55" t="s">
        <v>52</v>
      </c>
      <c r="Q55" s="2">
        <v>0.4236111111111111</v>
      </c>
      <c r="R55">
        <f>-0.0003845901*3600</f>
        <v>-1.3845243600000001</v>
      </c>
      <c r="S55">
        <f>-0.0000356914*3600</f>
        <v>-0.12848904</v>
      </c>
    </row>
    <row r="56" spans="1:19" x14ac:dyDescent="0.3">
      <c r="A56" t="s">
        <v>46</v>
      </c>
      <c r="B56" t="s">
        <v>48</v>
      </c>
      <c r="C56">
        <v>122.99731800000001</v>
      </c>
      <c r="D56">
        <v>99.795794999999998</v>
      </c>
      <c r="E56">
        <v>48.161200000000001</v>
      </c>
      <c r="F56">
        <v>48.152000000000001</v>
      </c>
      <c r="G56">
        <v>0.24399999999999999</v>
      </c>
      <c r="H56">
        <v>0.24099999999999999</v>
      </c>
      <c r="J56" t="s">
        <v>0</v>
      </c>
      <c r="K56" t="s">
        <v>49</v>
      </c>
      <c r="L56" t="s">
        <v>50</v>
      </c>
      <c r="M56">
        <v>0</v>
      </c>
      <c r="N56" t="s">
        <v>51</v>
      </c>
      <c r="O56">
        <v>1</v>
      </c>
      <c r="P56" t="s">
        <v>52</v>
      </c>
      <c r="Q56" s="2">
        <v>0.4236111111111111</v>
      </c>
      <c r="R56">
        <f>0.0003021395*3600</f>
        <v>1.0877022000000001</v>
      </c>
      <c r="S56">
        <f>0.0009052052*3600</f>
        <v>3.2587387200000002</v>
      </c>
    </row>
    <row r="57" spans="1:19" x14ac:dyDescent="0.3">
      <c r="A57" t="s">
        <v>46</v>
      </c>
      <c r="B57" t="s">
        <v>48</v>
      </c>
      <c r="C57">
        <v>322.99850300000003</v>
      </c>
      <c r="D57">
        <v>300.203754</v>
      </c>
      <c r="E57">
        <v>48.161000000000001</v>
      </c>
      <c r="F57">
        <v>48.151800000000001</v>
      </c>
      <c r="G57">
        <v>0.24399999999999999</v>
      </c>
      <c r="H57">
        <v>0.24099999999999999</v>
      </c>
      <c r="J57" t="s">
        <v>0</v>
      </c>
      <c r="K57" t="s">
        <v>49</v>
      </c>
      <c r="L57" t="s">
        <v>50</v>
      </c>
      <c r="M57">
        <v>0</v>
      </c>
      <c r="N57" t="s">
        <v>51</v>
      </c>
      <c r="O57">
        <v>1</v>
      </c>
      <c r="P57" t="s">
        <v>52</v>
      </c>
      <c r="Q57" s="2">
        <v>0.4236111111111111</v>
      </c>
      <c r="R57">
        <f>0.000414562*3600</f>
        <v>1.4924231999999999</v>
      </c>
      <c r="S57">
        <f>0.0008857785*3600</f>
        <v>3.1888025999999998</v>
      </c>
    </row>
    <row r="58" spans="1:19" x14ac:dyDescent="0.3">
      <c r="A58" t="s">
        <v>46</v>
      </c>
      <c r="B58" t="s">
        <v>48</v>
      </c>
      <c r="C58">
        <v>122.99709</v>
      </c>
      <c r="D58">
        <v>99.795860000000005</v>
      </c>
      <c r="E58">
        <v>48.1614</v>
      </c>
      <c r="F58">
        <v>48.152200000000001</v>
      </c>
      <c r="G58">
        <v>0.24399999999999999</v>
      </c>
      <c r="H58">
        <v>0.24099999999999999</v>
      </c>
      <c r="J58" t="s">
        <v>0</v>
      </c>
      <c r="K58" t="s">
        <v>49</v>
      </c>
      <c r="L58" t="s">
        <v>50</v>
      </c>
      <c r="M58">
        <v>0</v>
      </c>
      <c r="N58" t="s">
        <v>51</v>
      </c>
      <c r="O58">
        <v>1</v>
      </c>
      <c r="P58" t="s">
        <v>52</v>
      </c>
      <c r="Q58" s="2">
        <v>0.4236111111111111</v>
      </c>
      <c r="R58">
        <f>-0.0005234168*3600</f>
        <v>-1.8843004800000001</v>
      </c>
      <c r="S58">
        <f>-0.0002013482*3600</f>
        <v>-0.72485352000000003</v>
      </c>
    </row>
    <row r="59" spans="1:19" x14ac:dyDescent="0.3">
      <c r="A59" t="s">
        <v>46</v>
      </c>
      <c r="B59" t="s">
        <v>48</v>
      </c>
      <c r="C59">
        <v>322.99830200000002</v>
      </c>
      <c r="D59">
        <v>300.203846</v>
      </c>
      <c r="E59">
        <v>48.160899999999998</v>
      </c>
      <c r="F59">
        <v>48.151699999999998</v>
      </c>
      <c r="G59">
        <v>0.24399999999999999</v>
      </c>
      <c r="H59">
        <v>0.24099999999999999</v>
      </c>
      <c r="J59" t="s">
        <v>0</v>
      </c>
      <c r="K59" t="s">
        <v>49</v>
      </c>
      <c r="L59" t="s">
        <v>50</v>
      </c>
      <c r="M59">
        <v>0</v>
      </c>
      <c r="N59" t="s">
        <v>51</v>
      </c>
      <c r="O59">
        <v>1</v>
      </c>
      <c r="P59" t="s">
        <v>52</v>
      </c>
      <c r="Q59" s="2">
        <v>0.4236111111111111</v>
      </c>
      <c r="R59">
        <f>-0.0005353054*3600</f>
        <v>-1.9270994400000001</v>
      </c>
      <c r="S59">
        <f>-0.0001971663*3600</f>
        <v>-0.70979868000000002</v>
      </c>
    </row>
    <row r="60" spans="1:19" x14ac:dyDescent="0.3">
      <c r="A60" t="s">
        <v>46</v>
      </c>
      <c r="B60" t="s">
        <v>55</v>
      </c>
      <c r="C60">
        <v>125.40433299999999</v>
      </c>
      <c r="D60">
        <v>99.876541000000003</v>
      </c>
      <c r="E60">
        <v>36.3964</v>
      </c>
      <c r="F60">
        <v>36.389600000000002</v>
      </c>
      <c r="G60">
        <v>0.24399999999999999</v>
      </c>
      <c r="H60">
        <v>0.23799999999999999</v>
      </c>
      <c r="J60" t="s">
        <v>0</v>
      </c>
      <c r="K60" t="s">
        <v>49</v>
      </c>
      <c r="L60" t="s">
        <v>50</v>
      </c>
      <c r="M60">
        <v>0</v>
      </c>
      <c r="N60" t="s">
        <v>51</v>
      </c>
      <c r="O60">
        <v>1</v>
      </c>
      <c r="P60" t="s">
        <v>52</v>
      </c>
      <c r="Q60" s="2">
        <v>0.42430555555555555</v>
      </c>
      <c r="R60">
        <f>0.0000703137*3600</f>
        <v>0.25312931999999999</v>
      </c>
      <c r="S60">
        <f>0.0010682684*3600</f>
        <v>3.8457662399999997</v>
      </c>
    </row>
    <row r="61" spans="1:19" x14ac:dyDescent="0.3">
      <c r="A61" t="s">
        <v>46</v>
      </c>
      <c r="B61" t="s">
        <v>55</v>
      </c>
      <c r="C61">
        <v>325.40525400000001</v>
      </c>
      <c r="D61">
        <v>300.12299400000001</v>
      </c>
      <c r="E61">
        <v>36.396299999999997</v>
      </c>
      <c r="F61">
        <v>36.389499999999998</v>
      </c>
      <c r="G61">
        <v>0.24399999999999999</v>
      </c>
      <c r="H61">
        <v>0.23799999999999999</v>
      </c>
      <c r="J61" t="s">
        <v>0</v>
      </c>
      <c r="K61" t="s">
        <v>49</v>
      </c>
      <c r="L61" t="s">
        <v>50</v>
      </c>
      <c r="M61">
        <v>0</v>
      </c>
      <c r="N61" t="s">
        <v>51</v>
      </c>
      <c r="O61">
        <v>1</v>
      </c>
      <c r="P61" t="s">
        <v>52</v>
      </c>
      <c r="Q61" s="2">
        <v>0.42430555555555555</v>
      </c>
      <c r="R61">
        <f>0.0000802739*3600</f>
        <v>0.28898604</v>
      </c>
      <c r="S61">
        <f>0.0011321084*3600</f>
        <v>4.0755902400000004</v>
      </c>
    </row>
    <row r="62" spans="1:19" x14ac:dyDescent="0.3">
      <c r="A62" t="s">
        <v>46</v>
      </c>
      <c r="B62" t="s">
        <v>55</v>
      </c>
      <c r="C62">
        <v>125.4044</v>
      </c>
      <c r="D62">
        <v>99.876543999999996</v>
      </c>
      <c r="E62">
        <v>36.396599999999999</v>
      </c>
      <c r="F62">
        <v>36.389800000000001</v>
      </c>
      <c r="G62">
        <v>0.24399999999999999</v>
      </c>
      <c r="H62">
        <v>0.23799999999999999</v>
      </c>
      <c r="J62" t="s">
        <v>0</v>
      </c>
      <c r="K62" t="s">
        <v>49</v>
      </c>
      <c r="L62" t="s">
        <v>50</v>
      </c>
      <c r="M62">
        <v>0</v>
      </c>
      <c r="N62" t="s">
        <v>51</v>
      </c>
      <c r="O62">
        <v>1</v>
      </c>
      <c r="P62" t="s">
        <v>52</v>
      </c>
      <c r="Q62" s="2">
        <v>0.42430555555555555</v>
      </c>
      <c r="R62">
        <f>-0.0002095833*3600</f>
        <v>-0.75449988000000001</v>
      </c>
      <c r="S62">
        <f>-0.00012151*3600</f>
        <v>-0.43743599999999999</v>
      </c>
    </row>
    <row r="63" spans="1:19" x14ac:dyDescent="0.3">
      <c r="A63" t="s">
        <v>46</v>
      </c>
      <c r="B63" t="s">
        <v>55</v>
      </c>
      <c r="C63">
        <v>325.40542599999998</v>
      </c>
      <c r="D63">
        <v>300.12298600000003</v>
      </c>
      <c r="E63">
        <v>36.396299999999997</v>
      </c>
      <c r="F63">
        <v>36.389499999999998</v>
      </c>
      <c r="G63">
        <v>0.24399999999999999</v>
      </c>
      <c r="H63">
        <v>0.23799999999999999</v>
      </c>
      <c r="J63" t="s">
        <v>0</v>
      </c>
      <c r="K63" t="s">
        <v>49</v>
      </c>
      <c r="L63" t="s">
        <v>50</v>
      </c>
      <c r="M63">
        <v>0</v>
      </c>
      <c r="N63" t="s">
        <v>51</v>
      </c>
      <c r="O63">
        <v>1</v>
      </c>
      <c r="P63" t="s">
        <v>52</v>
      </c>
      <c r="Q63" s="2">
        <v>0.42430555555555555</v>
      </c>
      <c r="R63">
        <f>-0.0002970129*3600</f>
        <v>-1.0692464400000001</v>
      </c>
      <c r="S63">
        <f>-0.0000990168*3600</f>
        <v>-0.35646048000000002</v>
      </c>
    </row>
    <row r="64" spans="1:19" x14ac:dyDescent="0.3">
      <c r="A64" t="s">
        <v>46</v>
      </c>
      <c r="B64" t="s">
        <v>55</v>
      </c>
      <c r="C64">
        <v>125.403915</v>
      </c>
      <c r="D64">
        <v>99.876407</v>
      </c>
      <c r="E64">
        <v>36.396500000000003</v>
      </c>
      <c r="F64">
        <v>36.389699999999998</v>
      </c>
      <c r="G64">
        <v>0.24399999999999999</v>
      </c>
      <c r="H64">
        <v>0.23799999999999999</v>
      </c>
      <c r="J64" t="s">
        <v>0</v>
      </c>
      <c r="K64" t="s">
        <v>49</v>
      </c>
      <c r="L64" t="s">
        <v>50</v>
      </c>
      <c r="M64">
        <v>0</v>
      </c>
      <c r="N64" t="s">
        <v>51</v>
      </c>
      <c r="O64">
        <v>1</v>
      </c>
      <c r="P64" t="s">
        <v>52</v>
      </c>
      <c r="Q64" s="2">
        <v>0.42430555555555555</v>
      </c>
      <c r="R64">
        <f>0.0000665769*3600</f>
        <v>0.23967684</v>
      </c>
      <c r="S64">
        <f>0.0011216038*3600</f>
        <v>4.0377736799999999</v>
      </c>
    </row>
    <row r="65" spans="1:19" x14ac:dyDescent="0.3">
      <c r="A65" t="s">
        <v>46</v>
      </c>
      <c r="B65" t="s">
        <v>55</v>
      </c>
      <c r="C65">
        <v>325.40522499999997</v>
      </c>
      <c r="D65">
        <v>300.12279699999999</v>
      </c>
      <c r="E65">
        <v>36.396299999999997</v>
      </c>
      <c r="F65">
        <v>36.389499999999998</v>
      </c>
      <c r="G65">
        <v>0.24399999999999999</v>
      </c>
      <c r="H65">
        <v>0.23799999999999999</v>
      </c>
      <c r="J65" t="s">
        <v>0</v>
      </c>
      <c r="K65" t="s">
        <v>49</v>
      </c>
      <c r="L65" t="s">
        <v>50</v>
      </c>
      <c r="M65">
        <v>0</v>
      </c>
      <c r="N65" t="s">
        <v>51</v>
      </c>
      <c r="O65">
        <v>1</v>
      </c>
      <c r="P65" t="s">
        <v>52</v>
      </c>
      <c r="Q65" s="2">
        <v>0.42430555555555555</v>
      </c>
      <c r="R65">
        <f>0.0001035387*3600</f>
        <v>0.37273932000000004</v>
      </c>
      <c r="S65">
        <f>0.0012466132*3600</f>
        <v>4.4878075199999996</v>
      </c>
    </row>
    <row r="66" spans="1:19" x14ac:dyDescent="0.3">
      <c r="A66" t="s">
        <v>46</v>
      </c>
      <c r="B66" t="s">
        <v>55</v>
      </c>
      <c r="C66">
        <v>125.404427</v>
      </c>
      <c r="D66">
        <v>99.876227</v>
      </c>
      <c r="E66">
        <v>36.396500000000003</v>
      </c>
      <c r="F66">
        <v>36.389699999999998</v>
      </c>
      <c r="G66">
        <v>0.24399999999999999</v>
      </c>
      <c r="H66">
        <v>0.23799999999999999</v>
      </c>
      <c r="J66" t="s">
        <v>0</v>
      </c>
      <c r="K66" t="s">
        <v>49</v>
      </c>
      <c r="L66" t="s">
        <v>50</v>
      </c>
      <c r="M66">
        <v>0</v>
      </c>
      <c r="N66" t="s">
        <v>51</v>
      </c>
      <c r="O66">
        <v>1</v>
      </c>
      <c r="P66" t="s">
        <v>52</v>
      </c>
      <c r="Q66" s="2">
        <v>0.42430555555555555</v>
      </c>
      <c r="R66">
        <f>-0.000581659*3600</f>
        <v>-2.0939724000000002</v>
      </c>
      <c r="S66">
        <f>-0.0001262256*3600</f>
        <v>-0.45441216000000001</v>
      </c>
    </row>
    <row r="67" spans="1:19" x14ac:dyDescent="0.3">
      <c r="A67" t="s">
        <v>46</v>
      </c>
      <c r="B67" t="s">
        <v>55</v>
      </c>
      <c r="C67">
        <v>325.40561600000001</v>
      </c>
      <c r="D67">
        <v>300.12301300000001</v>
      </c>
      <c r="E67">
        <v>36.396099999999997</v>
      </c>
      <c r="F67">
        <v>36.389299999999999</v>
      </c>
      <c r="G67">
        <v>0.24399999999999999</v>
      </c>
      <c r="H67">
        <v>0.23799999999999999</v>
      </c>
      <c r="J67" t="s">
        <v>0</v>
      </c>
      <c r="K67" t="s">
        <v>49</v>
      </c>
      <c r="L67" t="s">
        <v>50</v>
      </c>
      <c r="M67">
        <v>0</v>
      </c>
      <c r="N67" t="s">
        <v>51</v>
      </c>
      <c r="O67">
        <v>1</v>
      </c>
      <c r="P67" t="s">
        <v>52</v>
      </c>
      <c r="Q67" s="2">
        <v>0.42430555555555555</v>
      </c>
      <c r="R67">
        <f>-0.0005021625*3600</f>
        <v>-1.8077849999999998</v>
      </c>
      <c r="S67">
        <f>-0.000158357*3600</f>
        <v>-0.57008519999999996</v>
      </c>
    </row>
    <row r="68" spans="1:19" x14ac:dyDescent="0.3">
      <c r="A68" t="s">
        <v>46</v>
      </c>
      <c r="B68" t="s">
        <v>55</v>
      </c>
      <c r="C68">
        <v>125.403949</v>
      </c>
      <c r="D68">
        <v>99.876570000000001</v>
      </c>
      <c r="E68">
        <v>36.396500000000003</v>
      </c>
      <c r="F68">
        <v>36.389699999999998</v>
      </c>
      <c r="G68">
        <v>0.24399999999999999</v>
      </c>
      <c r="H68">
        <v>0.23799999999999999</v>
      </c>
      <c r="J68" t="s">
        <v>0</v>
      </c>
      <c r="K68" t="s">
        <v>49</v>
      </c>
      <c r="L68" t="s">
        <v>50</v>
      </c>
      <c r="M68">
        <v>0</v>
      </c>
      <c r="N68" t="s">
        <v>51</v>
      </c>
      <c r="O68">
        <v>1</v>
      </c>
      <c r="P68" t="s">
        <v>52</v>
      </c>
      <c r="Q68" s="2">
        <v>0.42499999999999999</v>
      </c>
      <c r="R68">
        <f>0.0001324487*3600</f>
        <v>0.47681532000000004</v>
      </c>
      <c r="S68">
        <f>0.0010811843*3600</f>
        <v>3.8922634799999996</v>
      </c>
    </row>
    <row r="69" spans="1:19" x14ac:dyDescent="0.3">
      <c r="A69" t="s">
        <v>46</v>
      </c>
      <c r="B69" t="s">
        <v>55</v>
      </c>
      <c r="C69">
        <v>325.405506</v>
      </c>
      <c r="D69">
        <v>300.12290300000001</v>
      </c>
      <c r="E69">
        <v>36.3962</v>
      </c>
      <c r="F69">
        <v>36.389400000000002</v>
      </c>
      <c r="G69">
        <v>0.24399999999999999</v>
      </c>
      <c r="H69">
        <v>0.23799999999999999</v>
      </c>
      <c r="J69" t="s">
        <v>0</v>
      </c>
      <c r="K69" t="s">
        <v>49</v>
      </c>
      <c r="L69" t="s">
        <v>50</v>
      </c>
      <c r="M69">
        <v>0</v>
      </c>
      <c r="N69" t="s">
        <v>51</v>
      </c>
      <c r="O69">
        <v>1</v>
      </c>
      <c r="P69" t="s">
        <v>52</v>
      </c>
      <c r="Q69" s="2">
        <v>0.42499999999999999</v>
      </c>
      <c r="R69">
        <f>0.0000626331*3600</f>
        <v>0.22547916000000001</v>
      </c>
      <c r="S69">
        <f>0.0011089776*3600</f>
        <v>3.9923193599999998</v>
      </c>
    </row>
    <row r="70" spans="1:19" x14ac:dyDescent="0.3">
      <c r="Q70" s="2"/>
    </row>
    <row r="71" spans="1:19" x14ac:dyDescent="0.3">
      <c r="A71" t="s">
        <v>28</v>
      </c>
      <c r="B71">
        <v>18</v>
      </c>
      <c r="C71" t="s">
        <v>29</v>
      </c>
      <c r="D71" s="3">
        <v>0.6</v>
      </c>
      <c r="E71" t="s">
        <v>30</v>
      </c>
      <c r="F71" t="s">
        <v>58</v>
      </c>
      <c r="G71" t="s">
        <v>32</v>
      </c>
      <c r="H71" t="s">
        <v>59</v>
      </c>
    </row>
    <row r="72" spans="1:19" x14ac:dyDescent="0.3">
      <c r="A72" t="s">
        <v>34</v>
      </c>
      <c r="B72" t="s">
        <v>53</v>
      </c>
      <c r="C72" t="s">
        <v>34</v>
      </c>
      <c r="D72" t="s">
        <v>54</v>
      </c>
    </row>
    <row r="73" spans="1:19" x14ac:dyDescent="0.3">
      <c r="A73" t="s">
        <v>37</v>
      </c>
      <c r="B73" t="s">
        <v>38</v>
      </c>
      <c r="C73">
        <v>0.13</v>
      </c>
    </row>
    <row r="75" spans="1:19" x14ac:dyDescent="0.3">
      <c r="A75" t="s">
        <v>28</v>
      </c>
      <c r="B75">
        <v>18</v>
      </c>
      <c r="C75" t="s">
        <v>29</v>
      </c>
      <c r="D75" s="3">
        <v>0.6</v>
      </c>
      <c r="E75" t="s">
        <v>30</v>
      </c>
      <c r="F75" t="s">
        <v>58</v>
      </c>
      <c r="G75" t="s">
        <v>32</v>
      </c>
      <c r="H75" t="s">
        <v>59</v>
      </c>
    </row>
    <row r="76" spans="1:19" x14ac:dyDescent="0.3">
      <c r="A76" t="s">
        <v>34</v>
      </c>
      <c r="B76" t="s">
        <v>53</v>
      </c>
      <c r="C76" t="s">
        <v>34</v>
      </c>
      <c r="D76" t="s">
        <v>54</v>
      </c>
    </row>
    <row r="77" spans="1:19" x14ac:dyDescent="0.3">
      <c r="A77" t="s">
        <v>37</v>
      </c>
      <c r="B77" t="s">
        <v>38</v>
      </c>
      <c r="C77">
        <v>0.13</v>
      </c>
    </row>
    <row r="79" spans="1:19" x14ac:dyDescent="0.3">
      <c r="A79" t="s">
        <v>0</v>
      </c>
      <c r="B79" t="s">
        <v>39</v>
      </c>
      <c r="C79" t="s">
        <v>40</v>
      </c>
      <c r="D79" t="s">
        <v>41</v>
      </c>
      <c r="E79">
        <v>3</v>
      </c>
    </row>
    <row r="80" spans="1:19" x14ac:dyDescent="0.3">
      <c r="A80" t="s">
        <v>0</v>
      </c>
      <c r="B80" t="s">
        <v>42</v>
      </c>
      <c r="C80" t="s">
        <v>43</v>
      </c>
      <c r="D80">
        <v>-186</v>
      </c>
    </row>
    <row r="81" spans="1:19" x14ac:dyDescent="0.3">
      <c r="A81" t="s">
        <v>0</v>
      </c>
      <c r="B81" t="s">
        <v>42</v>
      </c>
      <c r="C81" t="s">
        <v>44</v>
      </c>
      <c r="D81" t="s">
        <v>43</v>
      </c>
      <c r="E81">
        <v>0.9998143558</v>
      </c>
    </row>
    <row r="85" spans="1:19" x14ac:dyDescent="0.3">
      <c r="A85" t="s">
        <v>45</v>
      </c>
      <c r="B85" t="s">
        <v>57</v>
      </c>
    </row>
    <row r="86" spans="1:19" x14ac:dyDescent="0.3">
      <c r="A86" t="s">
        <v>47</v>
      </c>
      <c r="B86" t="s">
        <v>55</v>
      </c>
      <c r="C86">
        <v>124.844981</v>
      </c>
      <c r="D86">
        <v>99.822868</v>
      </c>
      <c r="E86">
        <v>108.5839</v>
      </c>
      <c r="F86">
        <v>108.5634</v>
      </c>
      <c r="G86">
        <v>0.23799999999999999</v>
      </c>
      <c r="H86">
        <v>0.23799999999999999</v>
      </c>
      <c r="J86" t="s">
        <v>0</v>
      </c>
      <c r="K86" t="s">
        <v>49</v>
      </c>
      <c r="L86" t="s">
        <v>50</v>
      </c>
      <c r="M86">
        <v>0</v>
      </c>
      <c r="N86" t="s">
        <v>51</v>
      </c>
      <c r="O86">
        <v>1</v>
      </c>
      <c r="P86" t="s">
        <v>52</v>
      </c>
      <c r="Q86" s="2">
        <v>0.4284722222222222</v>
      </c>
      <c r="R86">
        <f>0.0001273055*3600</f>
        <v>0.45829980000000003</v>
      </c>
      <c r="S86">
        <f>-0.0001295959*3600</f>
        <v>-0.46654523999999997</v>
      </c>
    </row>
    <row r="87" spans="1:19" x14ac:dyDescent="0.3">
      <c r="A87" t="s">
        <v>28</v>
      </c>
      <c r="B87">
        <v>18</v>
      </c>
      <c r="C87" t="s">
        <v>29</v>
      </c>
      <c r="D87" s="3">
        <v>0.6</v>
      </c>
      <c r="E87" t="s">
        <v>30</v>
      </c>
      <c r="F87" t="s">
        <v>58</v>
      </c>
      <c r="G87" t="s">
        <v>32</v>
      </c>
      <c r="H87" t="s">
        <v>59</v>
      </c>
    </row>
    <row r="88" spans="1:19" x14ac:dyDescent="0.3">
      <c r="A88" t="s">
        <v>34</v>
      </c>
      <c r="B88" t="s">
        <v>35</v>
      </c>
      <c r="C88" t="s">
        <v>34</v>
      </c>
      <c r="D88" t="s">
        <v>60</v>
      </c>
    </row>
    <row r="89" spans="1:19" x14ac:dyDescent="0.3">
      <c r="A89" t="s">
        <v>37</v>
      </c>
      <c r="B89" t="s">
        <v>38</v>
      </c>
      <c r="C89">
        <v>0.13</v>
      </c>
    </row>
    <row r="91" spans="1:19" x14ac:dyDescent="0.3">
      <c r="A91" t="s">
        <v>57</v>
      </c>
      <c r="B91" t="s">
        <v>46</v>
      </c>
      <c r="C91">
        <v>124.561533</v>
      </c>
      <c r="D91">
        <v>99.795720000000003</v>
      </c>
      <c r="E91">
        <v>72.189499999999995</v>
      </c>
      <c r="F91">
        <v>72.175799999999995</v>
      </c>
      <c r="G91">
        <v>0.23799999999999999</v>
      </c>
      <c r="H91">
        <v>0.24399999999999999</v>
      </c>
      <c r="J91" t="s">
        <v>0</v>
      </c>
      <c r="K91" t="s">
        <v>49</v>
      </c>
      <c r="L91" t="s">
        <v>50</v>
      </c>
      <c r="M91">
        <v>0</v>
      </c>
      <c r="N91" t="s">
        <v>51</v>
      </c>
      <c r="O91">
        <v>1</v>
      </c>
      <c r="P91" t="s">
        <v>52</v>
      </c>
      <c r="Q91" s="2">
        <v>0.4291666666666667</v>
      </c>
      <c r="R91">
        <f>0.0000089326*3600</f>
        <v>3.2157359999999996E-2</v>
      </c>
      <c r="S91">
        <f>-0.0001916579*3600</f>
        <v>-0.68996844000000002</v>
      </c>
    </row>
    <row r="92" spans="1:19" x14ac:dyDescent="0.3">
      <c r="A92" t="s">
        <v>57</v>
      </c>
      <c r="B92" t="s">
        <v>46</v>
      </c>
      <c r="C92">
        <v>324.56307399999997</v>
      </c>
      <c r="D92">
        <v>300.205173</v>
      </c>
      <c r="E92">
        <v>72.1892</v>
      </c>
      <c r="F92">
        <v>72.1755</v>
      </c>
      <c r="G92">
        <v>0.23799999999999999</v>
      </c>
      <c r="H92">
        <v>0.24399999999999999</v>
      </c>
      <c r="J92" t="s">
        <v>0</v>
      </c>
      <c r="K92" t="s">
        <v>49</v>
      </c>
      <c r="L92" t="s">
        <v>50</v>
      </c>
      <c r="M92">
        <v>0</v>
      </c>
      <c r="N92" t="s">
        <v>51</v>
      </c>
      <c r="O92">
        <v>1</v>
      </c>
      <c r="P92" t="s">
        <v>52</v>
      </c>
      <c r="Q92" s="2">
        <v>0.42986111111111108</v>
      </c>
      <c r="R92">
        <f>-0.0000429068*3600</f>
        <v>-0.15446448000000002</v>
      </c>
      <c r="S92">
        <f>-0.0002250214*3600</f>
        <v>-0.81007704000000003</v>
      </c>
    </row>
    <row r="93" spans="1:19" x14ac:dyDescent="0.3">
      <c r="A93" t="s">
        <v>57</v>
      </c>
      <c r="B93" t="s">
        <v>46</v>
      </c>
      <c r="C93">
        <v>124.561627</v>
      </c>
      <c r="D93">
        <v>99.795025999999993</v>
      </c>
      <c r="E93">
        <v>72.189499999999995</v>
      </c>
      <c r="F93">
        <v>72.175799999999995</v>
      </c>
      <c r="G93">
        <v>0.23799999999999999</v>
      </c>
      <c r="H93">
        <v>0.24399999999999999</v>
      </c>
      <c r="J93" t="s">
        <v>0</v>
      </c>
      <c r="K93" t="s">
        <v>49</v>
      </c>
      <c r="L93" t="s">
        <v>50</v>
      </c>
      <c r="M93">
        <v>0</v>
      </c>
      <c r="N93" t="s">
        <v>51</v>
      </c>
      <c r="O93">
        <v>1</v>
      </c>
      <c r="P93" t="s">
        <v>52</v>
      </c>
      <c r="Q93" s="2">
        <v>0.42986111111111108</v>
      </c>
      <c r="R93">
        <f>0.0002940529*3600</f>
        <v>1.0585904399999999</v>
      </c>
      <c r="S93">
        <f>0.0000004188*3600</f>
        <v>1.50768E-3</v>
      </c>
    </row>
    <row r="94" spans="1:19" x14ac:dyDescent="0.3">
      <c r="A94" t="s">
        <v>57</v>
      </c>
      <c r="B94" t="s">
        <v>46</v>
      </c>
      <c r="C94">
        <v>324.56304999999998</v>
      </c>
      <c r="D94">
        <v>300.20536499999997</v>
      </c>
      <c r="E94">
        <v>72.189400000000006</v>
      </c>
      <c r="F94">
        <v>72.175700000000006</v>
      </c>
      <c r="G94">
        <v>0.23799999999999999</v>
      </c>
      <c r="H94">
        <v>0.24399999999999999</v>
      </c>
      <c r="J94" t="s">
        <v>0</v>
      </c>
      <c r="K94" t="s">
        <v>49</v>
      </c>
      <c r="L94" t="s">
        <v>50</v>
      </c>
      <c r="M94">
        <v>0</v>
      </c>
      <c r="N94" t="s">
        <v>51</v>
      </c>
      <c r="O94">
        <v>1</v>
      </c>
      <c r="P94" t="s">
        <v>52</v>
      </c>
      <c r="Q94" s="2">
        <v>0.43055555555555558</v>
      </c>
      <c r="R94">
        <f>0.0002021391*3600</f>
        <v>0.72770076000000006</v>
      </c>
      <c r="S94">
        <f>-0.0001280554*3600</f>
        <v>-0.46099943999999998</v>
      </c>
    </row>
    <row r="95" spans="1:19" x14ac:dyDescent="0.3">
      <c r="A95" t="s">
        <v>57</v>
      </c>
      <c r="B95" t="s">
        <v>46</v>
      </c>
      <c r="C95">
        <v>124.561772</v>
      </c>
      <c r="D95">
        <v>99.795500000000004</v>
      </c>
      <c r="E95">
        <v>72.189400000000006</v>
      </c>
      <c r="F95">
        <v>72.175700000000006</v>
      </c>
      <c r="G95">
        <v>0.23799999999999999</v>
      </c>
      <c r="H95">
        <v>0.24399999999999999</v>
      </c>
      <c r="J95" t="s">
        <v>0</v>
      </c>
      <c r="K95" t="s">
        <v>49</v>
      </c>
      <c r="L95" t="s">
        <v>50</v>
      </c>
      <c r="M95">
        <v>0</v>
      </c>
      <c r="N95" t="s">
        <v>51</v>
      </c>
      <c r="O95">
        <v>1</v>
      </c>
      <c r="P95" t="s">
        <v>52</v>
      </c>
      <c r="Q95" s="2">
        <v>0.43333333333333335</v>
      </c>
      <c r="R95">
        <f>-0.000281094*3600</f>
        <v>-1.0119384</v>
      </c>
      <c r="S95">
        <f>0.0002754959*3600</f>
        <v>0.9917852399999999</v>
      </c>
    </row>
    <row r="96" spans="1:19" x14ac:dyDescent="0.3">
      <c r="A96" t="s">
        <v>57</v>
      </c>
      <c r="B96" t="s">
        <v>46</v>
      </c>
      <c r="C96">
        <v>324.56321400000002</v>
      </c>
      <c r="D96">
        <v>300.20556900000003</v>
      </c>
      <c r="E96">
        <v>72.189099999999996</v>
      </c>
      <c r="F96">
        <v>72.175299999999993</v>
      </c>
      <c r="G96">
        <v>0.23799999999999999</v>
      </c>
      <c r="H96">
        <v>0.24399999999999999</v>
      </c>
      <c r="J96" t="s">
        <v>0</v>
      </c>
      <c r="K96" t="s">
        <v>49</v>
      </c>
      <c r="L96" t="s">
        <v>50</v>
      </c>
      <c r="M96">
        <v>0</v>
      </c>
      <c r="N96" t="s">
        <v>51</v>
      </c>
      <c r="O96">
        <v>1</v>
      </c>
      <c r="P96" t="s">
        <v>52</v>
      </c>
      <c r="Q96" s="2">
        <v>0.43402777777777773</v>
      </c>
      <c r="R96">
        <f>-0.0001596042*3600</f>
        <v>-0.57457511999999999</v>
      </c>
      <c r="S96">
        <f>0.000274062*3600</f>
        <v>0.98662319999999992</v>
      </c>
    </row>
    <row r="97" spans="1:19" x14ac:dyDescent="0.3">
      <c r="A97" t="s">
        <v>57</v>
      </c>
      <c r="B97" t="s">
        <v>46</v>
      </c>
      <c r="C97">
        <v>124.56194600000001</v>
      </c>
      <c r="D97">
        <v>99.795171999999994</v>
      </c>
      <c r="E97">
        <v>72.189599999999999</v>
      </c>
      <c r="F97">
        <v>72.175899999999999</v>
      </c>
      <c r="G97">
        <v>0.23799999999999999</v>
      </c>
      <c r="H97">
        <v>0.24399999999999999</v>
      </c>
      <c r="J97" t="s">
        <v>0</v>
      </c>
      <c r="K97" t="s">
        <v>49</v>
      </c>
      <c r="L97" t="s">
        <v>50</v>
      </c>
      <c r="M97">
        <v>0</v>
      </c>
      <c r="N97" t="s">
        <v>51</v>
      </c>
      <c r="O97">
        <v>1</v>
      </c>
      <c r="P97" t="s">
        <v>52</v>
      </c>
      <c r="Q97" s="2">
        <v>0.43402777777777773</v>
      </c>
      <c r="R97">
        <f>0.0002266533*3600</f>
        <v>0.81595187999999996</v>
      </c>
      <c r="S97">
        <f>-0.0001802359*3600</f>
        <v>-0.64884923999999999</v>
      </c>
    </row>
    <row r="98" spans="1:19" x14ac:dyDescent="0.3">
      <c r="A98" t="s">
        <v>57</v>
      </c>
      <c r="B98" t="s">
        <v>46</v>
      </c>
      <c r="C98">
        <v>324.56309499999998</v>
      </c>
      <c r="D98">
        <v>300.20530300000001</v>
      </c>
      <c r="E98">
        <v>72.1892</v>
      </c>
      <c r="F98">
        <v>72.1755</v>
      </c>
      <c r="G98">
        <v>0.23799999999999999</v>
      </c>
      <c r="H98">
        <v>0.24399999999999999</v>
      </c>
      <c r="J98" t="s">
        <v>0</v>
      </c>
      <c r="K98" t="s">
        <v>49</v>
      </c>
      <c r="L98" t="s">
        <v>50</v>
      </c>
      <c r="M98">
        <v>0</v>
      </c>
      <c r="N98" t="s">
        <v>51</v>
      </c>
      <c r="O98">
        <v>1</v>
      </c>
      <c r="P98" t="s">
        <v>52</v>
      </c>
      <c r="Q98" s="2">
        <v>0.43402777777777773</v>
      </c>
      <c r="R98">
        <f>0.0002473175*3600</f>
        <v>0.890343</v>
      </c>
      <c r="S98">
        <f>-0.0002438125*3600</f>
        <v>-0.87772499999999998</v>
      </c>
    </row>
    <row r="99" spans="1:19" x14ac:dyDescent="0.3">
      <c r="A99" t="s">
        <v>57</v>
      </c>
      <c r="B99" t="s">
        <v>46</v>
      </c>
      <c r="C99">
        <v>124.561779</v>
      </c>
      <c r="D99">
        <v>99.795226</v>
      </c>
      <c r="E99">
        <v>72.189599999999999</v>
      </c>
      <c r="F99">
        <v>72.175899999999999</v>
      </c>
      <c r="G99">
        <v>0.23799999999999999</v>
      </c>
      <c r="H99">
        <v>0.24399999999999999</v>
      </c>
      <c r="J99" t="s">
        <v>0</v>
      </c>
      <c r="K99" t="s">
        <v>49</v>
      </c>
      <c r="L99" t="s">
        <v>50</v>
      </c>
      <c r="M99">
        <v>0</v>
      </c>
      <c r="N99" t="s">
        <v>51</v>
      </c>
      <c r="O99">
        <v>1</v>
      </c>
      <c r="P99" t="s">
        <v>52</v>
      </c>
      <c r="Q99" s="2">
        <v>0.43402777777777773</v>
      </c>
      <c r="R99">
        <f>-0.0002361939*3600</f>
        <v>-0.85029803999999998</v>
      </c>
      <c r="S99">
        <f>0.0000146567*3600</f>
        <v>5.2764119999999998E-2</v>
      </c>
    </row>
    <row r="100" spans="1:19" x14ac:dyDescent="0.3">
      <c r="A100" t="s">
        <v>57</v>
      </c>
      <c r="B100" t="s">
        <v>46</v>
      </c>
      <c r="C100">
        <v>324.56310000000002</v>
      </c>
      <c r="D100">
        <v>300.20522399999999</v>
      </c>
      <c r="E100">
        <v>72.189300000000003</v>
      </c>
      <c r="F100">
        <v>72.175600000000003</v>
      </c>
      <c r="G100">
        <v>0.23799999999999999</v>
      </c>
      <c r="H100">
        <v>0.24399999999999999</v>
      </c>
      <c r="J100" t="s">
        <v>0</v>
      </c>
      <c r="K100" t="s">
        <v>49</v>
      </c>
      <c r="L100" t="s">
        <v>50</v>
      </c>
      <c r="M100">
        <v>0</v>
      </c>
      <c r="N100" t="s">
        <v>51</v>
      </c>
      <c r="O100">
        <v>1</v>
      </c>
      <c r="P100" t="s">
        <v>52</v>
      </c>
      <c r="Q100" s="2">
        <v>0.43402777777777773</v>
      </c>
      <c r="R100">
        <f>-0.0002708688*3600</f>
        <v>-0.97512768000000005</v>
      </c>
      <c r="S100">
        <f>-0.0000230947*3600</f>
        <v>-8.3140920000000007E-2</v>
      </c>
    </row>
    <row r="101" spans="1:19" x14ac:dyDescent="0.3">
      <c r="A101" t="s">
        <v>57</v>
      </c>
      <c r="B101" t="s">
        <v>56</v>
      </c>
      <c r="C101">
        <v>319.11783500000001</v>
      </c>
      <c r="D101">
        <v>98.933001000000004</v>
      </c>
      <c r="E101">
        <v>12.408799999999999</v>
      </c>
      <c r="F101">
        <v>12.4048</v>
      </c>
      <c r="G101">
        <v>0.23799999999999999</v>
      </c>
      <c r="H101">
        <v>0.24</v>
      </c>
      <c r="J101" t="s">
        <v>0</v>
      </c>
      <c r="K101" t="s">
        <v>49</v>
      </c>
      <c r="L101" t="s">
        <v>50</v>
      </c>
      <c r="M101">
        <v>0</v>
      </c>
      <c r="N101" t="s">
        <v>51</v>
      </c>
      <c r="O101">
        <v>1</v>
      </c>
      <c r="P101" t="s">
        <v>52</v>
      </c>
      <c r="Q101" s="2">
        <v>0.43472222222222223</v>
      </c>
      <c r="R101">
        <f>0.0002661202*3600</f>
        <v>0.95803272000000006</v>
      </c>
      <c r="S101">
        <f>-0.000174082*3600</f>
        <v>-0.62669520000000001</v>
      </c>
    </row>
    <row r="102" spans="1:19" x14ac:dyDescent="0.3">
      <c r="A102" t="s">
        <v>57</v>
      </c>
      <c r="B102" t="s">
        <v>56</v>
      </c>
      <c r="C102">
        <v>119.118655</v>
      </c>
      <c r="D102">
        <v>301.06455</v>
      </c>
      <c r="E102">
        <v>12.4085</v>
      </c>
      <c r="F102">
        <v>12.404500000000001</v>
      </c>
      <c r="G102">
        <v>0.23799999999999999</v>
      </c>
      <c r="H102">
        <v>0.24</v>
      </c>
      <c r="J102" t="s">
        <v>0</v>
      </c>
      <c r="K102" t="s">
        <v>49</v>
      </c>
      <c r="L102" t="s">
        <v>50</v>
      </c>
      <c r="M102">
        <v>0</v>
      </c>
      <c r="N102" t="s">
        <v>51</v>
      </c>
      <c r="O102">
        <v>1</v>
      </c>
      <c r="P102" t="s">
        <v>52</v>
      </c>
      <c r="Q102" s="2">
        <v>0.43472222222222223</v>
      </c>
      <c r="R102">
        <f>0.0001919685*3600</f>
        <v>0.6910866</v>
      </c>
      <c r="S102">
        <f>-0.0001801432*3600</f>
        <v>-0.64851552000000001</v>
      </c>
    </row>
    <row r="103" spans="1:19" x14ac:dyDescent="0.3">
      <c r="A103" t="s">
        <v>57</v>
      </c>
      <c r="B103" t="s">
        <v>56</v>
      </c>
      <c r="C103">
        <v>319.11757</v>
      </c>
      <c r="D103">
        <v>98.933288000000005</v>
      </c>
      <c r="E103">
        <v>12.408799999999999</v>
      </c>
      <c r="F103">
        <v>12.4048</v>
      </c>
      <c r="G103">
        <v>0.23799999999999999</v>
      </c>
      <c r="H103">
        <v>0.24</v>
      </c>
      <c r="J103" t="s">
        <v>0</v>
      </c>
      <c r="K103" t="s">
        <v>49</v>
      </c>
      <c r="L103" t="s">
        <v>50</v>
      </c>
      <c r="M103">
        <v>0</v>
      </c>
      <c r="N103" t="s">
        <v>51</v>
      </c>
      <c r="O103">
        <v>1</v>
      </c>
      <c r="P103" t="s">
        <v>52</v>
      </c>
      <c r="Q103" s="2">
        <v>0.43472222222222223</v>
      </c>
      <c r="R103">
        <f>-0.0003025831*3600</f>
        <v>-1.0892991600000002</v>
      </c>
      <c r="S103">
        <f>-0.00009512*3600</f>
        <v>-0.34243200000000001</v>
      </c>
    </row>
    <row r="104" spans="1:19" x14ac:dyDescent="0.3">
      <c r="A104" t="s">
        <v>57</v>
      </c>
      <c r="B104" t="s">
        <v>56</v>
      </c>
      <c r="C104">
        <v>119.118694</v>
      </c>
      <c r="D104">
        <v>301.064504</v>
      </c>
      <c r="E104">
        <v>12.4086</v>
      </c>
      <c r="F104">
        <v>12.4046</v>
      </c>
      <c r="G104">
        <v>0.23799999999999999</v>
      </c>
      <c r="H104">
        <v>0.24</v>
      </c>
      <c r="J104" t="s">
        <v>0</v>
      </c>
      <c r="K104" t="s">
        <v>49</v>
      </c>
      <c r="L104" t="s">
        <v>50</v>
      </c>
      <c r="M104">
        <v>0</v>
      </c>
      <c r="N104" t="s">
        <v>51</v>
      </c>
      <c r="O104">
        <v>1</v>
      </c>
      <c r="P104" t="s">
        <v>52</v>
      </c>
      <c r="Q104" s="2">
        <v>0.43472222222222223</v>
      </c>
      <c r="R104">
        <f>-0.0001891794*3600</f>
        <v>-0.6810458399999999</v>
      </c>
      <c r="S104">
        <f>-0.0001617342*3600</f>
        <v>-0.58224312</v>
      </c>
    </row>
    <row r="105" spans="1:19" x14ac:dyDescent="0.3">
      <c r="A105" t="s">
        <v>57</v>
      </c>
      <c r="B105" t="s">
        <v>56</v>
      </c>
      <c r="C105">
        <v>319.11794700000002</v>
      </c>
      <c r="D105">
        <v>98.933079000000006</v>
      </c>
      <c r="E105">
        <v>12.4087</v>
      </c>
      <c r="F105">
        <v>12.4047</v>
      </c>
      <c r="G105">
        <v>0.23799999999999999</v>
      </c>
      <c r="H105">
        <v>0.24</v>
      </c>
      <c r="J105" t="s">
        <v>0</v>
      </c>
      <c r="K105" t="s">
        <v>49</v>
      </c>
      <c r="L105" t="s">
        <v>50</v>
      </c>
      <c r="M105">
        <v>0</v>
      </c>
      <c r="N105" t="s">
        <v>51</v>
      </c>
      <c r="O105">
        <v>1</v>
      </c>
      <c r="P105" t="s">
        <v>52</v>
      </c>
      <c r="Q105" s="2">
        <v>0.43472222222222223</v>
      </c>
      <c r="R105">
        <f>-0.0001471847*3600</f>
        <v>-0.52986491999999996</v>
      </c>
      <c r="S105">
        <f>-0.0000641888*3600</f>
        <v>-0.23107968000000001</v>
      </c>
    </row>
    <row r="106" spans="1:19" x14ac:dyDescent="0.3">
      <c r="A106" t="s">
        <v>57</v>
      </c>
      <c r="B106" t="s">
        <v>56</v>
      </c>
      <c r="C106">
        <v>119.118809</v>
      </c>
      <c r="D106">
        <v>301.064457</v>
      </c>
      <c r="E106">
        <v>12.4084</v>
      </c>
      <c r="F106">
        <v>12.404400000000001</v>
      </c>
      <c r="G106">
        <v>0.23799999999999999</v>
      </c>
      <c r="H106">
        <v>0.24</v>
      </c>
      <c r="J106" t="s">
        <v>0</v>
      </c>
      <c r="K106" t="s">
        <v>49</v>
      </c>
      <c r="L106" t="s">
        <v>50</v>
      </c>
      <c r="M106">
        <v>0</v>
      </c>
      <c r="N106" t="s">
        <v>51</v>
      </c>
      <c r="O106">
        <v>1</v>
      </c>
      <c r="P106" t="s">
        <v>52</v>
      </c>
      <c r="Q106" s="2">
        <v>0.43472222222222223</v>
      </c>
      <c r="R106">
        <f>-0.0001686603*3600</f>
        <v>-0.60717708000000004</v>
      </c>
      <c r="S106">
        <f>-0.000044216*3600</f>
        <v>-0.1591776</v>
      </c>
    </row>
    <row r="107" spans="1:19" x14ac:dyDescent="0.3">
      <c r="A107" t="s">
        <v>57</v>
      </c>
      <c r="B107" t="s">
        <v>56</v>
      </c>
      <c r="C107">
        <v>319.11759899999998</v>
      </c>
      <c r="D107">
        <v>98.933189999999996</v>
      </c>
      <c r="E107">
        <v>12.4087</v>
      </c>
      <c r="F107">
        <v>12.4047</v>
      </c>
      <c r="G107">
        <v>0.23799999999999999</v>
      </c>
      <c r="H107">
        <v>0.24</v>
      </c>
      <c r="J107" t="s">
        <v>0</v>
      </c>
      <c r="K107" t="s">
        <v>49</v>
      </c>
      <c r="L107" t="s">
        <v>50</v>
      </c>
      <c r="M107">
        <v>0</v>
      </c>
      <c r="N107" t="s">
        <v>51</v>
      </c>
      <c r="O107">
        <v>1</v>
      </c>
      <c r="P107" t="s">
        <v>52</v>
      </c>
      <c r="Q107" s="2">
        <v>0.43472222222222223</v>
      </c>
      <c r="R107">
        <f>-0.0002293158*3600</f>
        <v>-0.82553688000000003</v>
      </c>
      <c r="S107">
        <f>0.000362744*3600</f>
        <v>1.3058784000000001</v>
      </c>
    </row>
    <row r="108" spans="1:19" x14ac:dyDescent="0.3">
      <c r="A108" t="s">
        <v>57</v>
      </c>
      <c r="B108" t="s">
        <v>56</v>
      </c>
      <c r="C108">
        <v>119.118977</v>
      </c>
      <c r="D108">
        <v>301.06452100000001</v>
      </c>
      <c r="E108">
        <v>12.4084</v>
      </c>
      <c r="F108">
        <v>12.404400000000001</v>
      </c>
      <c r="G108">
        <v>0.23799999999999999</v>
      </c>
      <c r="H108">
        <v>0.24</v>
      </c>
      <c r="J108" t="s">
        <v>0</v>
      </c>
      <c r="K108" t="s">
        <v>49</v>
      </c>
      <c r="L108" t="s">
        <v>50</v>
      </c>
      <c r="M108">
        <v>0</v>
      </c>
      <c r="N108" t="s">
        <v>51</v>
      </c>
      <c r="O108">
        <v>1</v>
      </c>
      <c r="P108" t="s">
        <v>52</v>
      </c>
      <c r="Q108" s="2">
        <v>0.43472222222222223</v>
      </c>
      <c r="R108">
        <f>-0.0001911736*3600</f>
        <v>-0.68822496</v>
      </c>
      <c r="S108">
        <f>0.0003765625*3600</f>
        <v>1.3556250000000001</v>
      </c>
    </row>
    <row r="109" spans="1:19" x14ac:dyDescent="0.3">
      <c r="A109" t="s">
        <v>57</v>
      </c>
      <c r="B109" t="s">
        <v>56</v>
      </c>
      <c r="C109">
        <v>319.11755699999998</v>
      </c>
      <c r="D109">
        <v>98.933149</v>
      </c>
      <c r="E109">
        <v>12.408799999999999</v>
      </c>
      <c r="F109">
        <v>12.4048</v>
      </c>
      <c r="G109">
        <v>0.23799999999999999</v>
      </c>
      <c r="H109">
        <v>0.24</v>
      </c>
      <c r="J109" t="s">
        <v>0</v>
      </c>
      <c r="K109" t="s">
        <v>49</v>
      </c>
      <c r="L109" t="s">
        <v>50</v>
      </c>
      <c r="M109">
        <v>0</v>
      </c>
      <c r="N109" t="s">
        <v>51</v>
      </c>
      <c r="O109">
        <v>1</v>
      </c>
      <c r="P109" t="s">
        <v>52</v>
      </c>
      <c r="Q109" s="2">
        <v>0.43541666666666662</v>
      </c>
      <c r="R109">
        <f>-0.0000436283*3600</f>
        <v>-0.15706187999999999</v>
      </c>
      <c r="S109">
        <f>0.0000716736*3600</f>
        <v>0.25802496000000003</v>
      </c>
    </row>
    <row r="110" spans="1:19" x14ac:dyDescent="0.3">
      <c r="A110" t="s">
        <v>57</v>
      </c>
      <c r="B110" t="s">
        <v>56</v>
      </c>
      <c r="C110">
        <v>119.118843</v>
      </c>
      <c r="D110">
        <v>301.06442299999998</v>
      </c>
      <c r="E110">
        <v>12.4085</v>
      </c>
      <c r="F110">
        <v>12.404500000000001</v>
      </c>
      <c r="G110">
        <v>0.23799999999999999</v>
      </c>
      <c r="H110">
        <v>0.24</v>
      </c>
      <c r="J110" t="s">
        <v>0</v>
      </c>
      <c r="K110" t="s">
        <v>49</v>
      </c>
      <c r="L110" t="s">
        <v>50</v>
      </c>
      <c r="M110">
        <v>0</v>
      </c>
      <c r="N110" t="s">
        <v>51</v>
      </c>
      <c r="O110">
        <v>1</v>
      </c>
      <c r="P110" t="s">
        <v>52</v>
      </c>
      <c r="Q110" s="2">
        <v>0.43541666666666662</v>
      </c>
      <c r="R110">
        <f>-0.0001253093*3600</f>
        <v>-0.45111348000000001</v>
      </c>
      <c r="S110">
        <f>0.0000391997*3600</f>
        <v>0.14111891999999998</v>
      </c>
    </row>
    <row r="111" spans="1:19" x14ac:dyDescent="0.3">
      <c r="A111" t="s">
        <v>57</v>
      </c>
      <c r="B111" t="s">
        <v>61</v>
      </c>
      <c r="C111">
        <v>310.82876099999999</v>
      </c>
      <c r="D111">
        <v>100.168846</v>
      </c>
      <c r="E111">
        <v>72.282600000000002</v>
      </c>
      <c r="F111">
        <v>72.269000000000005</v>
      </c>
      <c r="G111">
        <v>0.23799999999999999</v>
      </c>
      <c r="H111">
        <v>0.24099999999999999</v>
      </c>
      <c r="J111" t="s">
        <v>0</v>
      </c>
      <c r="K111" t="s">
        <v>49</v>
      </c>
      <c r="L111" t="s">
        <v>50</v>
      </c>
      <c r="M111">
        <v>0</v>
      </c>
      <c r="N111" t="s">
        <v>51</v>
      </c>
      <c r="O111">
        <v>1</v>
      </c>
      <c r="P111" t="s">
        <v>52</v>
      </c>
      <c r="Q111" s="2">
        <v>0.43541666666666662</v>
      </c>
      <c r="R111">
        <f>-0.0000939813*3600</f>
        <v>-0.33833268</v>
      </c>
      <c r="S111">
        <f>0.0003120964*3600</f>
        <v>1.1235470400000001</v>
      </c>
    </row>
    <row r="112" spans="1:19" x14ac:dyDescent="0.3">
      <c r="A112" t="s">
        <v>57</v>
      </c>
      <c r="B112" t="s">
        <v>61</v>
      </c>
      <c r="C112">
        <v>110.830414</v>
      </c>
      <c r="D112">
        <v>299.83153399999998</v>
      </c>
      <c r="E112">
        <v>72.282399999999996</v>
      </c>
      <c r="F112">
        <v>72.268799999999999</v>
      </c>
      <c r="G112">
        <v>0.23799999999999999</v>
      </c>
      <c r="H112">
        <v>0.24099999999999999</v>
      </c>
      <c r="J112" t="s">
        <v>0</v>
      </c>
      <c r="K112" t="s">
        <v>49</v>
      </c>
      <c r="L112" t="s">
        <v>50</v>
      </c>
      <c r="M112">
        <v>0</v>
      </c>
      <c r="N112" t="s">
        <v>51</v>
      </c>
      <c r="O112">
        <v>1</v>
      </c>
      <c r="P112" t="s">
        <v>52</v>
      </c>
      <c r="Q112" s="2">
        <v>0.43541666666666662</v>
      </c>
      <c r="R112">
        <f>-0.0001694503*3600</f>
        <v>-0.61002107999999999</v>
      </c>
      <c r="S112">
        <f>0.0002431153*3600</f>
        <v>0.87521508000000003</v>
      </c>
    </row>
    <row r="113" spans="1:19" x14ac:dyDescent="0.3">
      <c r="A113" t="s">
        <v>57</v>
      </c>
      <c r="B113" t="s">
        <v>61</v>
      </c>
      <c r="C113">
        <v>310.82889799999998</v>
      </c>
      <c r="D113">
        <v>100.16903000000001</v>
      </c>
      <c r="E113">
        <v>72.282600000000002</v>
      </c>
      <c r="F113">
        <v>72.269000000000005</v>
      </c>
      <c r="G113">
        <v>0.23799999999999999</v>
      </c>
      <c r="H113">
        <v>0.24099999999999999</v>
      </c>
      <c r="J113" t="s">
        <v>0</v>
      </c>
      <c r="K113" t="s">
        <v>49</v>
      </c>
      <c r="L113" t="s">
        <v>50</v>
      </c>
      <c r="M113">
        <v>0</v>
      </c>
      <c r="N113" t="s">
        <v>51</v>
      </c>
      <c r="O113">
        <v>1</v>
      </c>
      <c r="P113" t="s">
        <v>52</v>
      </c>
      <c r="Q113" s="2">
        <v>0.43541666666666662</v>
      </c>
      <c r="R113">
        <f>0.0002470684*3600</f>
        <v>0.88944624000000005</v>
      </c>
      <c r="S113">
        <f>-0.0004514606*3600</f>
        <v>-1.62525816</v>
      </c>
    </row>
    <row r="114" spans="1:19" x14ac:dyDescent="0.3">
      <c r="A114" t="s">
        <v>57</v>
      </c>
      <c r="B114" t="s">
        <v>61</v>
      </c>
      <c r="C114">
        <v>110.830569</v>
      </c>
      <c r="D114">
        <v>299.83152999999999</v>
      </c>
      <c r="E114">
        <v>72.2821</v>
      </c>
      <c r="F114">
        <v>72.268500000000003</v>
      </c>
      <c r="G114">
        <v>0.23799999999999999</v>
      </c>
      <c r="H114">
        <v>0.24099999999999999</v>
      </c>
      <c r="J114" t="s">
        <v>0</v>
      </c>
      <c r="K114" t="s">
        <v>49</v>
      </c>
      <c r="L114" t="s">
        <v>50</v>
      </c>
      <c r="M114">
        <v>0</v>
      </c>
      <c r="N114" t="s">
        <v>51</v>
      </c>
      <c r="O114">
        <v>1</v>
      </c>
      <c r="P114" t="s">
        <v>52</v>
      </c>
      <c r="Q114" s="2">
        <v>0.43541666666666662</v>
      </c>
      <c r="R114">
        <f>0.0002338164*3600</f>
        <v>0.84173903999999999</v>
      </c>
      <c r="S114">
        <f>-0.0004394161*3600</f>
        <v>-1.58189796</v>
      </c>
    </row>
    <row r="115" spans="1:19" x14ac:dyDescent="0.3">
      <c r="A115" t="s">
        <v>57</v>
      </c>
      <c r="B115" t="s">
        <v>61</v>
      </c>
      <c r="C115">
        <v>310.82872600000002</v>
      </c>
      <c r="D115">
        <v>100.168966</v>
      </c>
      <c r="E115">
        <v>72.282399999999996</v>
      </c>
      <c r="F115">
        <v>72.268799999999999</v>
      </c>
      <c r="G115">
        <v>0.23799999999999999</v>
      </c>
      <c r="H115">
        <v>0.24099999999999999</v>
      </c>
      <c r="J115" t="s">
        <v>0</v>
      </c>
      <c r="K115" t="s">
        <v>49</v>
      </c>
      <c r="L115" t="s">
        <v>50</v>
      </c>
      <c r="M115">
        <v>0</v>
      </c>
      <c r="N115" t="s">
        <v>51</v>
      </c>
      <c r="O115">
        <v>1</v>
      </c>
      <c r="P115" t="s">
        <v>52</v>
      </c>
      <c r="Q115" s="2">
        <v>0.43541666666666662</v>
      </c>
      <c r="R115">
        <f>-0.0000578041*3600</f>
        <v>-0.20809475999999999</v>
      </c>
      <c r="S115">
        <f>0.0003258514*3600</f>
        <v>1.17306504</v>
      </c>
    </row>
    <row r="116" spans="1:19" x14ac:dyDescent="0.3">
      <c r="A116" t="s">
        <v>57</v>
      </c>
      <c r="B116" t="s">
        <v>61</v>
      </c>
      <c r="C116">
        <v>110.830651</v>
      </c>
      <c r="D116">
        <v>299.83151600000002</v>
      </c>
      <c r="E116">
        <v>72.2821</v>
      </c>
      <c r="F116">
        <v>72.268500000000003</v>
      </c>
      <c r="G116">
        <v>0.23799999999999999</v>
      </c>
      <c r="H116">
        <v>0.24099999999999999</v>
      </c>
      <c r="J116" t="s">
        <v>0</v>
      </c>
      <c r="K116" t="s">
        <v>49</v>
      </c>
      <c r="L116" t="s">
        <v>50</v>
      </c>
      <c r="M116">
        <v>0</v>
      </c>
      <c r="N116" t="s">
        <v>51</v>
      </c>
      <c r="O116">
        <v>1</v>
      </c>
      <c r="P116" t="s">
        <v>52</v>
      </c>
      <c r="Q116" s="2">
        <v>0.43541666666666662</v>
      </c>
      <c r="R116">
        <f>-0.0000745492*3600</f>
        <v>-0.26837711999999997</v>
      </c>
      <c r="S116">
        <f>0.0003536902*3600</f>
        <v>1.2732847199999999</v>
      </c>
    </row>
    <row r="117" spans="1:19" x14ac:dyDescent="0.3">
      <c r="A117" t="s">
        <v>57</v>
      </c>
      <c r="B117" t="s">
        <v>61</v>
      </c>
      <c r="C117">
        <v>310.82850999999999</v>
      </c>
      <c r="D117">
        <v>100.16857299999999</v>
      </c>
      <c r="E117">
        <v>72.282399999999996</v>
      </c>
      <c r="F117">
        <v>72.268799999999999</v>
      </c>
      <c r="G117">
        <v>0.23799999999999999</v>
      </c>
      <c r="H117">
        <v>0.24099999999999999</v>
      </c>
      <c r="J117" t="s">
        <v>0</v>
      </c>
      <c r="K117" t="s">
        <v>49</v>
      </c>
      <c r="L117" t="s">
        <v>50</v>
      </c>
      <c r="M117">
        <v>0</v>
      </c>
      <c r="N117" t="s">
        <v>51</v>
      </c>
      <c r="O117">
        <v>1</v>
      </c>
      <c r="P117" t="s">
        <v>52</v>
      </c>
      <c r="Q117" s="2">
        <v>0.43611111111111112</v>
      </c>
      <c r="R117">
        <f>-0.0000488617*3600</f>
        <v>-0.17590212</v>
      </c>
      <c r="S117">
        <f>0.0000713787*3600</f>
        <v>0.25696332</v>
      </c>
    </row>
    <row r="118" spans="1:19" x14ac:dyDescent="0.3">
      <c r="A118" t="s">
        <v>57</v>
      </c>
      <c r="B118" t="s">
        <v>61</v>
      </c>
      <c r="C118">
        <v>110.83049699999999</v>
      </c>
      <c r="D118">
        <v>299.831414</v>
      </c>
      <c r="E118">
        <v>72.282300000000006</v>
      </c>
      <c r="F118">
        <v>72.268699999999995</v>
      </c>
      <c r="G118">
        <v>0.23799999999999999</v>
      </c>
      <c r="H118">
        <v>0.24099999999999999</v>
      </c>
      <c r="J118" t="s">
        <v>0</v>
      </c>
      <c r="K118" t="s">
        <v>49</v>
      </c>
      <c r="L118" t="s">
        <v>50</v>
      </c>
      <c r="M118">
        <v>0</v>
      </c>
      <c r="N118" t="s">
        <v>51</v>
      </c>
      <c r="O118">
        <v>1</v>
      </c>
      <c r="P118" t="s">
        <v>52</v>
      </c>
      <c r="Q118" s="2">
        <v>0.43611111111111112</v>
      </c>
      <c r="R118">
        <f>-0.0001994771*3600</f>
        <v>-0.71811755999999993</v>
      </c>
      <c r="S118">
        <f>0.0000547441*3600</f>
        <v>0.19707876000000002</v>
      </c>
    </row>
    <row r="119" spans="1:19" x14ac:dyDescent="0.3">
      <c r="A119" t="s">
        <v>57</v>
      </c>
      <c r="B119" t="s">
        <v>61</v>
      </c>
      <c r="C119">
        <v>310.82870700000001</v>
      </c>
      <c r="D119">
        <v>100.169179</v>
      </c>
      <c r="E119">
        <v>72.282600000000002</v>
      </c>
      <c r="F119">
        <v>72.269000000000005</v>
      </c>
      <c r="G119">
        <v>0.23799999999999999</v>
      </c>
      <c r="H119">
        <v>0.24099999999999999</v>
      </c>
      <c r="J119" t="s">
        <v>0</v>
      </c>
      <c r="K119" t="s">
        <v>49</v>
      </c>
      <c r="L119" t="s">
        <v>50</v>
      </c>
      <c r="M119">
        <v>0</v>
      </c>
      <c r="N119" t="s">
        <v>51</v>
      </c>
      <c r="O119">
        <v>1</v>
      </c>
      <c r="P119" t="s">
        <v>52</v>
      </c>
      <c r="Q119" s="2">
        <v>0.43611111111111112</v>
      </c>
      <c r="R119">
        <f>-0.0003188812*3600</f>
        <v>-1.14797232</v>
      </c>
      <c r="S119">
        <f>-0.0000465435*3600</f>
        <v>-0.1675566</v>
      </c>
    </row>
    <row r="120" spans="1:19" x14ac:dyDescent="0.3">
      <c r="A120" t="s">
        <v>57</v>
      </c>
      <c r="B120" t="s">
        <v>61</v>
      </c>
      <c r="C120">
        <v>110.83048599999999</v>
      </c>
      <c r="D120">
        <v>299.83151700000002</v>
      </c>
      <c r="E120">
        <v>72.282200000000003</v>
      </c>
      <c r="F120">
        <v>72.268600000000006</v>
      </c>
      <c r="G120">
        <v>0.23799999999999999</v>
      </c>
      <c r="H120">
        <v>0.24099999999999999</v>
      </c>
      <c r="J120" t="s">
        <v>0</v>
      </c>
      <c r="K120" t="s">
        <v>49</v>
      </c>
      <c r="L120" t="s">
        <v>50</v>
      </c>
      <c r="M120">
        <v>0</v>
      </c>
      <c r="N120" t="s">
        <v>51</v>
      </c>
      <c r="O120">
        <v>1</v>
      </c>
      <c r="P120" t="s">
        <v>52</v>
      </c>
      <c r="Q120" s="2">
        <v>0.43611111111111112</v>
      </c>
      <c r="R120">
        <f>-0.0002723794*3600</f>
        <v>-0.98056583999999991</v>
      </c>
      <c r="S120">
        <f>-0.000066368*3600</f>
        <v>-0.23892479999999999</v>
      </c>
    </row>
    <row r="121" spans="1:19" x14ac:dyDescent="0.3">
      <c r="A121" t="s">
        <v>57</v>
      </c>
      <c r="B121" t="s">
        <v>55</v>
      </c>
      <c r="C121">
        <v>124.843912</v>
      </c>
      <c r="D121">
        <v>99.823082999999997</v>
      </c>
      <c r="E121">
        <v>108.5838</v>
      </c>
      <c r="F121">
        <v>108.5633</v>
      </c>
      <c r="G121">
        <v>0.23799999999999999</v>
      </c>
      <c r="H121">
        <v>0.23799999999999999</v>
      </c>
      <c r="J121" t="s">
        <v>0</v>
      </c>
      <c r="K121" t="s">
        <v>49</v>
      </c>
      <c r="L121" t="s">
        <v>50</v>
      </c>
      <c r="M121">
        <v>0</v>
      </c>
      <c r="N121" t="s">
        <v>51</v>
      </c>
      <c r="O121">
        <v>1</v>
      </c>
      <c r="P121" t="s">
        <v>52</v>
      </c>
      <c r="Q121" s="2">
        <v>0.43611111111111112</v>
      </c>
      <c r="R121">
        <f>-0.0002337592*3600</f>
        <v>-0.84153312000000002</v>
      </c>
      <c r="S121">
        <f>-0.0000010481*3600</f>
        <v>-3.7731599999999998E-3</v>
      </c>
    </row>
    <row r="122" spans="1:19" x14ac:dyDescent="0.3">
      <c r="A122" t="s">
        <v>57</v>
      </c>
      <c r="B122" t="s">
        <v>55</v>
      </c>
      <c r="C122">
        <v>324.84566899999999</v>
      </c>
      <c r="D122">
        <v>300.177999</v>
      </c>
      <c r="E122">
        <v>108.58369999999999</v>
      </c>
      <c r="F122">
        <v>108.56319999999999</v>
      </c>
      <c r="G122">
        <v>0.23799999999999999</v>
      </c>
      <c r="H122">
        <v>0.23799999999999999</v>
      </c>
      <c r="J122" t="s">
        <v>0</v>
      </c>
      <c r="K122" t="s">
        <v>49</v>
      </c>
      <c r="L122" t="s">
        <v>50</v>
      </c>
      <c r="M122">
        <v>0</v>
      </c>
      <c r="N122" t="s">
        <v>51</v>
      </c>
      <c r="O122">
        <v>1</v>
      </c>
      <c r="P122" t="s">
        <v>52</v>
      </c>
      <c r="Q122" s="2">
        <v>0.43611111111111112</v>
      </c>
      <c r="R122">
        <f>-0.0002010063*3600</f>
        <v>-0.72362267999999996</v>
      </c>
      <c r="S122">
        <f>0.0000140782*3600</f>
        <v>5.0681520000000001E-2</v>
      </c>
    </row>
    <row r="123" spans="1:19" x14ac:dyDescent="0.3">
      <c r="A123" t="s">
        <v>57</v>
      </c>
      <c r="B123" t="s">
        <v>55</v>
      </c>
      <c r="C123">
        <v>124.843982</v>
      </c>
      <c r="D123">
        <v>99.823391999999998</v>
      </c>
      <c r="E123">
        <v>108.5839</v>
      </c>
      <c r="F123">
        <v>108.5634</v>
      </c>
      <c r="G123">
        <v>0.23799999999999999</v>
      </c>
      <c r="H123">
        <v>0.23799999999999999</v>
      </c>
      <c r="J123" t="s">
        <v>0</v>
      </c>
      <c r="K123" t="s">
        <v>49</v>
      </c>
      <c r="L123" t="s">
        <v>50</v>
      </c>
      <c r="M123">
        <v>0</v>
      </c>
      <c r="N123" t="s">
        <v>51</v>
      </c>
      <c r="O123">
        <v>1</v>
      </c>
      <c r="P123" t="s">
        <v>52</v>
      </c>
      <c r="Q123" s="2">
        <v>0.43611111111111112</v>
      </c>
      <c r="R123">
        <f>-0.0003351188*3600</f>
        <v>-1.20642768</v>
      </c>
      <c r="S123">
        <f>0.0000260609*3600</f>
        <v>9.3819239999999998E-2</v>
      </c>
    </row>
    <row r="124" spans="1:19" x14ac:dyDescent="0.3">
      <c r="A124" t="s">
        <v>57</v>
      </c>
      <c r="B124" t="s">
        <v>55</v>
      </c>
      <c r="C124">
        <v>324.84616199999999</v>
      </c>
      <c r="D124">
        <v>300.17804899999999</v>
      </c>
      <c r="E124">
        <v>108.5838</v>
      </c>
      <c r="F124">
        <v>108.5633</v>
      </c>
      <c r="G124">
        <v>0.23799999999999999</v>
      </c>
      <c r="H124">
        <v>0.23799999999999999</v>
      </c>
      <c r="J124" t="s">
        <v>0</v>
      </c>
      <c r="K124" t="s">
        <v>49</v>
      </c>
      <c r="L124" t="s">
        <v>50</v>
      </c>
      <c r="M124">
        <v>0</v>
      </c>
      <c r="N124" t="s">
        <v>51</v>
      </c>
      <c r="O124">
        <v>1</v>
      </c>
      <c r="P124" t="s">
        <v>52</v>
      </c>
      <c r="Q124" s="2">
        <v>0.43611111111111112</v>
      </c>
      <c r="R124">
        <f>-0.0003269362*3600</f>
        <v>-1.1769703200000001</v>
      </c>
      <c r="S124">
        <f>0.0000588603*3600</f>
        <v>0.21189708000000002</v>
      </c>
    </row>
    <row r="125" spans="1:19" x14ac:dyDescent="0.3">
      <c r="A125" t="s">
        <v>57</v>
      </c>
      <c r="B125" t="s">
        <v>55</v>
      </c>
      <c r="C125">
        <v>124.843796</v>
      </c>
      <c r="D125">
        <v>99.823482999999996</v>
      </c>
      <c r="E125">
        <v>108.5838</v>
      </c>
      <c r="F125">
        <v>108.5633</v>
      </c>
      <c r="G125">
        <v>0.23799999999999999</v>
      </c>
      <c r="H125">
        <v>0.23799999999999999</v>
      </c>
      <c r="J125" t="s">
        <v>0</v>
      </c>
      <c r="K125" t="s">
        <v>49</v>
      </c>
      <c r="L125" t="s">
        <v>50</v>
      </c>
      <c r="M125">
        <v>0</v>
      </c>
      <c r="N125" t="s">
        <v>51</v>
      </c>
      <c r="O125">
        <v>1</v>
      </c>
      <c r="P125" t="s">
        <v>52</v>
      </c>
      <c r="Q125" s="2">
        <v>0.4368055555555555</v>
      </c>
      <c r="R125">
        <f>0.0003088401*3600</f>
        <v>1.11182436</v>
      </c>
      <c r="S125">
        <f>-0.0002410721*3600</f>
        <v>-0.86785955999999997</v>
      </c>
    </row>
    <row r="126" spans="1:19" x14ac:dyDescent="0.3">
      <c r="A126" t="s">
        <v>57</v>
      </c>
      <c r="B126" t="s">
        <v>55</v>
      </c>
      <c r="C126">
        <v>324.84586300000001</v>
      </c>
      <c r="D126">
        <v>300.17786000000001</v>
      </c>
      <c r="E126">
        <v>108.5834</v>
      </c>
      <c r="F126">
        <v>108.5629</v>
      </c>
      <c r="G126">
        <v>0.23799999999999999</v>
      </c>
      <c r="H126">
        <v>0.23799999999999999</v>
      </c>
      <c r="J126" t="s">
        <v>0</v>
      </c>
      <c r="K126" t="s">
        <v>49</v>
      </c>
      <c r="L126" t="s">
        <v>50</v>
      </c>
      <c r="M126">
        <v>0</v>
      </c>
      <c r="N126" t="s">
        <v>51</v>
      </c>
      <c r="O126">
        <v>1</v>
      </c>
      <c r="P126" t="s">
        <v>52</v>
      </c>
      <c r="Q126" s="2">
        <v>0.4368055555555555</v>
      </c>
      <c r="R126">
        <f>0.0002056752*3600</f>
        <v>0.7404307200000001</v>
      </c>
      <c r="S126">
        <f>-0.0003199933*3600</f>
        <v>-1.1519758800000002</v>
      </c>
    </row>
    <row r="127" spans="1:19" x14ac:dyDescent="0.3">
      <c r="A127" t="s">
        <v>57</v>
      </c>
      <c r="B127" t="s">
        <v>55</v>
      </c>
      <c r="C127">
        <v>124.843689</v>
      </c>
      <c r="D127">
        <v>99.823437999999996</v>
      </c>
      <c r="E127">
        <v>108.5838</v>
      </c>
      <c r="F127">
        <v>108.5633</v>
      </c>
      <c r="G127">
        <v>0.23799999999999999</v>
      </c>
      <c r="H127">
        <v>0.23799999999999999</v>
      </c>
      <c r="J127" t="s">
        <v>0</v>
      </c>
      <c r="K127" t="s">
        <v>49</v>
      </c>
      <c r="L127" t="s">
        <v>50</v>
      </c>
      <c r="M127">
        <v>0</v>
      </c>
      <c r="N127" t="s">
        <v>51</v>
      </c>
      <c r="O127">
        <v>1</v>
      </c>
      <c r="P127" t="s">
        <v>52</v>
      </c>
      <c r="Q127" s="2">
        <v>0.4368055555555555</v>
      </c>
      <c r="R127">
        <f>-0.0003856141*3600</f>
        <v>-1.38821076</v>
      </c>
      <c r="S127">
        <f>-0.0000197916*3600</f>
        <v>-7.1249759999999995E-2</v>
      </c>
    </row>
    <row r="128" spans="1:19" x14ac:dyDescent="0.3">
      <c r="A128" t="s">
        <v>57</v>
      </c>
      <c r="B128" t="s">
        <v>55</v>
      </c>
      <c r="C128">
        <v>324.845979</v>
      </c>
      <c r="D128">
        <v>300.17773999999997</v>
      </c>
      <c r="E128">
        <v>108.5836</v>
      </c>
      <c r="F128">
        <v>108.56310000000001</v>
      </c>
      <c r="G128">
        <v>0.23799999999999999</v>
      </c>
      <c r="H128">
        <v>0.23799999999999999</v>
      </c>
      <c r="J128" t="s">
        <v>0</v>
      </c>
      <c r="K128" t="s">
        <v>49</v>
      </c>
      <c r="L128" t="s">
        <v>50</v>
      </c>
      <c r="M128">
        <v>0</v>
      </c>
      <c r="N128" t="s">
        <v>51</v>
      </c>
      <c r="O128">
        <v>1</v>
      </c>
      <c r="P128" t="s">
        <v>52</v>
      </c>
      <c r="Q128" s="2">
        <v>0.4368055555555555</v>
      </c>
      <c r="R128">
        <f>-0.000224599*3600</f>
        <v>-0.80855639999999995</v>
      </c>
      <c r="S128">
        <f>-0.0000745155*3600</f>
        <v>-0.26825579999999999</v>
      </c>
    </row>
    <row r="129" spans="1:19" x14ac:dyDescent="0.3">
      <c r="A129" t="s">
        <v>57</v>
      </c>
      <c r="B129" t="s">
        <v>55</v>
      </c>
      <c r="C129">
        <v>124.84395000000001</v>
      </c>
      <c r="D129">
        <v>99.823429000000004</v>
      </c>
      <c r="E129">
        <v>108.5839</v>
      </c>
      <c r="F129">
        <v>108.5634</v>
      </c>
      <c r="G129">
        <v>0.23799999999999999</v>
      </c>
      <c r="H129">
        <v>0.23799999999999999</v>
      </c>
      <c r="J129" t="s">
        <v>0</v>
      </c>
      <c r="K129" t="s">
        <v>49</v>
      </c>
      <c r="L129" t="s">
        <v>50</v>
      </c>
      <c r="M129">
        <v>0</v>
      </c>
      <c r="N129" t="s">
        <v>51</v>
      </c>
      <c r="O129">
        <v>1</v>
      </c>
      <c r="P129" t="s">
        <v>52</v>
      </c>
      <c r="Q129" s="2">
        <v>0.4368055555555555</v>
      </c>
      <c r="R129">
        <f>-0.0001370901*3600</f>
        <v>-0.49352436000000005</v>
      </c>
      <c r="S129">
        <f>-0.0000296483*3600</f>
        <v>-0.10673387999999999</v>
      </c>
    </row>
    <row r="130" spans="1:19" x14ac:dyDescent="0.3">
      <c r="A130" t="s">
        <v>57</v>
      </c>
      <c r="B130" t="s">
        <v>55</v>
      </c>
      <c r="C130">
        <v>324.84565700000002</v>
      </c>
      <c r="D130">
        <v>300.17825699999997</v>
      </c>
      <c r="E130">
        <v>108.5836</v>
      </c>
      <c r="F130">
        <v>108.56310000000001</v>
      </c>
      <c r="G130">
        <v>0.23799999999999999</v>
      </c>
      <c r="H130">
        <v>0.23799999999999999</v>
      </c>
      <c r="J130" t="s">
        <v>0</v>
      </c>
      <c r="K130" t="s">
        <v>49</v>
      </c>
      <c r="L130" t="s">
        <v>50</v>
      </c>
      <c r="M130">
        <v>0</v>
      </c>
      <c r="N130" t="s">
        <v>51</v>
      </c>
      <c r="O130">
        <v>1</v>
      </c>
      <c r="P130" t="s">
        <v>52</v>
      </c>
      <c r="Q130" s="2">
        <v>0.4368055555555555</v>
      </c>
      <c r="R130">
        <f>-0.0001323962*3600</f>
        <v>-0.47662631999999999</v>
      </c>
      <c r="S130">
        <f>-0.0000207509*3600</f>
        <v>-7.4703240000000004E-2</v>
      </c>
    </row>
    <row r="131" spans="1:19" x14ac:dyDescent="0.3">
      <c r="Q131" s="2"/>
    </row>
    <row r="132" spans="1:19" x14ac:dyDescent="0.3">
      <c r="A132" t="s">
        <v>0</v>
      </c>
      <c r="B132" t="s">
        <v>39</v>
      </c>
      <c r="C132" t="s">
        <v>40</v>
      </c>
      <c r="D132" t="s">
        <v>41</v>
      </c>
      <c r="E132">
        <v>3</v>
      </c>
    </row>
    <row r="133" spans="1:19" x14ac:dyDescent="0.3">
      <c r="A133" t="s">
        <v>0</v>
      </c>
      <c r="B133" t="s">
        <v>42</v>
      </c>
      <c r="C133" t="s">
        <v>43</v>
      </c>
      <c r="D133">
        <v>-186</v>
      </c>
    </row>
    <row r="134" spans="1:19" x14ac:dyDescent="0.3">
      <c r="A134" t="s">
        <v>0</v>
      </c>
      <c r="B134" t="s">
        <v>42</v>
      </c>
      <c r="C134" t="s">
        <v>44</v>
      </c>
      <c r="D134" t="s">
        <v>43</v>
      </c>
      <c r="E134">
        <v>0.99981427850000004</v>
      </c>
    </row>
    <row r="138" spans="1:19" x14ac:dyDescent="0.3">
      <c r="A138" t="s">
        <v>45</v>
      </c>
      <c r="B138" t="s">
        <v>56</v>
      </c>
    </row>
    <row r="139" spans="1:19" x14ac:dyDescent="0.3">
      <c r="A139" t="s">
        <v>47</v>
      </c>
      <c r="B139" t="s">
        <v>55</v>
      </c>
      <c r="C139">
        <v>124.25836099999999</v>
      </c>
      <c r="D139">
        <v>99.950528000000006</v>
      </c>
      <c r="E139">
        <v>120.94589999999999</v>
      </c>
      <c r="F139">
        <v>120.9234</v>
      </c>
      <c r="G139">
        <v>0.24</v>
      </c>
      <c r="H139">
        <v>0.23799999999999999</v>
      </c>
      <c r="J139" t="s">
        <v>0</v>
      </c>
      <c r="K139" t="s">
        <v>49</v>
      </c>
      <c r="L139" t="s">
        <v>50</v>
      </c>
      <c r="M139">
        <v>0</v>
      </c>
      <c r="N139" t="s">
        <v>51</v>
      </c>
      <c r="O139">
        <v>1</v>
      </c>
      <c r="P139" t="s">
        <v>52</v>
      </c>
      <c r="Q139" s="2">
        <v>0.43958333333333338</v>
      </c>
      <c r="R139">
        <f>-0.0002826734*3600</f>
        <v>-1.0176242400000002</v>
      </c>
      <c r="S139">
        <f>0.0002222649*3600</f>
        <v>0.80015364</v>
      </c>
    </row>
    <row r="140" spans="1:19" x14ac:dyDescent="0.3">
      <c r="A140" t="s">
        <v>28</v>
      </c>
      <c r="B140">
        <v>18</v>
      </c>
      <c r="C140" t="s">
        <v>29</v>
      </c>
      <c r="D140" s="3">
        <v>0.6</v>
      </c>
      <c r="E140" t="s">
        <v>30</v>
      </c>
      <c r="F140" t="s">
        <v>58</v>
      </c>
      <c r="G140" t="s">
        <v>32</v>
      </c>
      <c r="H140" t="s">
        <v>59</v>
      </c>
    </row>
    <row r="141" spans="1:19" x14ac:dyDescent="0.3">
      <c r="A141" t="s">
        <v>34</v>
      </c>
      <c r="B141" t="s">
        <v>35</v>
      </c>
      <c r="C141" t="s">
        <v>34</v>
      </c>
      <c r="D141" t="s">
        <v>62</v>
      </c>
    </row>
    <row r="142" spans="1:19" x14ac:dyDescent="0.3">
      <c r="A142" t="s">
        <v>37</v>
      </c>
      <c r="B142" t="s">
        <v>38</v>
      </c>
      <c r="C142">
        <v>0.13</v>
      </c>
    </row>
    <row r="144" spans="1:19" x14ac:dyDescent="0.3">
      <c r="A144" t="s">
        <v>56</v>
      </c>
      <c r="B144" t="s">
        <v>46</v>
      </c>
      <c r="C144">
        <v>123.763594</v>
      </c>
      <c r="D144">
        <v>99.981347999999997</v>
      </c>
      <c r="E144">
        <v>84.557900000000004</v>
      </c>
      <c r="F144">
        <v>84.542199999999994</v>
      </c>
      <c r="G144">
        <v>0.24</v>
      </c>
      <c r="H144">
        <v>0.24399999999999999</v>
      </c>
      <c r="J144" t="s">
        <v>0</v>
      </c>
      <c r="K144" t="s">
        <v>49</v>
      </c>
      <c r="L144" t="s">
        <v>50</v>
      </c>
      <c r="M144">
        <v>0</v>
      </c>
      <c r="N144" t="s">
        <v>51</v>
      </c>
      <c r="O144">
        <v>1</v>
      </c>
      <c r="P144" t="s">
        <v>52</v>
      </c>
      <c r="Q144" s="2">
        <v>0.43958333333333338</v>
      </c>
      <c r="R144">
        <f>0.0001144779*3600</f>
        <v>0.41212044000000003</v>
      </c>
      <c r="S144">
        <f>-0.0001046778*3600</f>
        <v>-0.37684008000000002</v>
      </c>
    </row>
    <row r="145" spans="1:19" x14ac:dyDescent="0.3">
      <c r="A145" t="s">
        <v>56</v>
      </c>
      <c r="B145" t="s">
        <v>46</v>
      </c>
      <c r="C145">
        <v>323.76464700000002</v>
      </c>
      <c r="D145">
        <v>300.017944</v>
      </c>
      <c r="E145">
        <v>84.557500000000005</v>
      </c>
      <c r="F145">
        <v>84.541799999999995</v>
      </c>
      <c r="G145">
        <v>0.24</v>
      </c>
      <c r="H145">
        <v>0.24399999999999999</v>
      </c>
      <c r="J145" t="s">
        <v>0</v>
      </c>
      <c r="K145" t="s">
        <v>49</v>
      </c>
      <c r="L145" t="s">
        <v>50</v>
      </c>
      <c r="M145">
        <v>0</v>
      </c>
      <c r="N145" t="s">
        <v>51</v>
      </c>
      <c r="O145">
        <v>1</v>
      </c>
      <c r="P145" t="s">
        <v>52</v>
      </c>
      <c r="Q145" s="2">
        <v>0.44027777777777777</v>
      </c>
      <c r="R145">
        <f>-0.0000561362*3600</f>
        <v>-0.20209031999999999</v>
      </c>
      <c r="S145">
        <f>-0.0000962286*3600</f>
        <v>-0.34642296</v>
      </c>
    </row>
    <row r="146" spans="1:19" x14ac:dyDescent="0.3">
      <c r="A146" t="s">
        <v>56</v>
      </c>
      <c r="B146" t="s">
        <v>46</v>
      </c>
      <c r="C146">
        <v>123.763176</v>
      </c>
      <c r="D146">
        <v>99.982641000000001</v>
      </c>
      <c r="E146">
        <v>84.558000000000007</v>
      </c>
      <c r="F146">
        <v>84.542299999999997</v>
      </c>
      <c r="G146">
        <v>0.24</v>
      </c>
      <c r="H146">
        <v>0.24399999999999999</v>
      </c>
      <c r="J146" t="s">
        <v>0</v>
      </c>
      <c r="K146" t="s">
        <v>49</v>
      </c>
      <c r="L146" t="s">
        <v>50</v>
      </c>
      <c r="M146">
        <v>0</v>
      </c>
      <c r="N146" t="s">
        <v>51</v>
      </c>
      <c r="O146">
        <v>1</v>
      </c>
      <c r="P146" t="s">
        <v>52</v>
      </c>
      <c r="Q146" s="2">
        <v>0.44027777777777777</v>
      </c>
      <c r="R146">
        <f>-0.0001179343*3600</f>
        <v>-0.42456347999999999</v>
      </c>
      <c r="S146">
        <f>0.0005574393*3600</f>
        <v>2.0067814799999999</v>
      </c>
    </row>
    <row r="147" spans="1:19" x14ac:dyDescent="0.3">
      <c r="A147" t="s">
        <v>56</v>
      </c>
      <c r="B147" t="s">
        <v>46</v>
      </c>
      <c r="C147">
        <v>323.76458000000002</v>
      </c>
      <c r="D147">
        <v>300.01811700000002</v>
      </c>
      <c r="E147">
        <v>84.557699999999997</v>
      </c>
      <c r="F147">
        <v>84.542000000000002</v>
      </c>
      <c r="G147">
        <v>0.24</v>
      </c>
      <c r="H147">
        <v>0.24399999999999999</v>
      </c>
      <c r="J147" t="s">
        <v>0</v>
      </c>
      <c r="K147" t="s">
        <v>49</v>
      </c>
      <c r="L147" t="s">
        <v>50</v>
      </c>
      <c r="M147">
        <v>0</v>
      </c>
      <c r="N147" t="s">
        <v>51</v>
      </c>
      <c r="O147">
        <v>1</v>
      </c>
      <c r="P147" t="s">
        <v>52</v>
      </c>
      <c r="Q147" s="2">
        <v>0.44166666666666665</v>
      </c>
      <c r="R147">
        <f>-0.0006494082*3600</f>
        <v>-2.3378695200000004</v>
      </c>
      <c r="S147">
        <f>0.0004563318*3600</f>
        <v>1.6427944799999998</v>
      </c>
    </row>
    <row r="148" spans="1:19" x14ac:dyDescent="0.3">
      <c r="A148" t="s">
        <v>56</v>
      </c>
      <c r="B148" t="s">
        <v>46</v>
      </c>
      <c r="C148">
        <v>123.76334900000001</v>
      </c>
      <c r="D148">
        <v>99.982432000000003</v>
      </c>
      <c r="E148">
        <v>84.557900000000004</v>
      </c>
      <c r="F148">
        <v>84.542199999999994</v>
      </c>
      <c r="G148">
        <v>0.24</v>
      </c>
      <c r="H148">
        <v>0.24399999999999999</v>
      </c>
      <c r="J148" t="s">
        <v>0</v>
      </c>
      <c r="K148" t="s">
        <v>49</v>
      </c>
      <c r="L148" t="s">
        <v>50</v>
      </c>
      <c r="M148">
        <v>0</v>
      </c>
      <c r="N148" t="s">
        <v>51</v>
      </c>
      <c r="O148">
        <v>1</v>
      </c>
      <c r="P148" t="s">
        <v>52</v>
      </c>
      <c r="Q148" s="2">
        <v>0.44166666666666665</v>
      </c>
      <c r="R148">
        <f>-0.0006483493*3600</f>
        <v>-2.3340574799999998</v>
      </c>
      <c r="S148">
        <f>0.0004213078*3600</f>
        <v>1.5167080799999999</v>
      </c>
    </row>
    <row r="149" spans="1:19" x14ac:dyDescent="0.3">
      <c r="A149" t="s">
        <v>56</v>
      </c>
      <c r="B149" t="s">
        <v>46</v>
      </c>
      <c r="C149">
        <v>323.76504699999998</v>
      </c>
      <c r="D149">
        <v>300.01822700000002</v>
      </c>
      <c r="E149">
        <v>84.557599999999994</v>
      </c>
      <c r="F149">
        <v>84.541899999999998</v>
      </c>
      <c r="G149">
        <v>0.24</v>
      </c>
      <c r="H149">
        <v>0.24399999999999999</v>
      </c>
      <c r="J149" t="s">
        <v>0</v>
      </c>
      <c r="K149" t="s">
        <v>49</v>
      </c>
      <c r="L149" t="s">
        <v>50</v>
      </c>
      <c r="M149">
        <v>0</v>
      </c>
      <c r="N149" t="s">
        <v>51</v>
      </c>
      <c r="O149">
        <v>1</v>
      </c>
      <c r="P149" t="s">
        <v>52</v>
      </c>
      <c r="Q149" s="2">
        <v>0.44513888888888892</v>
      </c>
      <c r="R149">
        <f>-0.0005641736*3600</f>
        <v>-2.0310249600000003</v>
      </c>
      <c r="S149">
        <f>0.000391923*3600</f>
        <v>1.4109228</v>
      </c>
    </row>
    <row r="150" spans="1:19" x14ac:dyDescent="0.3">
      <c r="A150" t="s">
        <v>56</v>
      </c>
      <c r="B150" t="s">
        <v>46</v>
      </c>
      <c r="C150">
        <v>123.763165</v>
      </c>
      <c r="D150">
        <v>99.982603999999995</v>
      </c>
      <c r="E150">
        <v>84.558000000000007</v>
      </c>
      <c r="F150">
        <v>84.542299999999997</v>
      </c>
      <c r="G150">
        <v>0.24</v>
      </c>
      <c r="H150">
        <v>0.24399999999999999</v>
      </c>
      <c r="J150" t="s">
        <v>0</v>
      </c>
      <c r="K150" t="s">
        <v>49</v>
      </c>
      <c r="L150" t="s">
        <v>50</v>
      </c>
      <c r="M150">
        <v>0</v>
      </c>
      <c r="N150" t="s">
        <v>51</v>
      </c>
      <c r="O150">
        <v>1</v>
      </c>
      <c r="P150" t="s">
        <v>52</v>
      </c>
      <c r="Q150" s="2">
        <v>0.44513888888888892</v>
      </c>
      <c r="R150">
        <f>-0.0000456875*3600</f>
        <v>-0.16447500000000001</v>
      </c>
      <c r="S150">
        <f>0.0004280649*3600</f>
        <v>1.54103364</v>
      </c>
    </row>
    <row r="151" spans="1:19" x14ac:dyDescent="0.3">
      <c r="A151" t="s">
        <v>56</v>
      </c>
      <c r="B151" t="s">
        <v>46</v>
      </c>
      <c r="C151">
        <v>323.76505400000002</v>
      </c>
      <c r="D151">
        <v>300.01807700000001</v>
      </c>
      <c r="E151">
        <v>84.557699999999997</v>
      </c>
      <c r="F151">
        <v>84.542000000000002</v>
      </c>
      <c r="G151">
        <v>0.24</v>
      </c>
      <c r="H151">
        <v>0.24399999999999999</v>
      </c>
      <c r="J151" t="s">
        <v>0</v>
      </c>
      <c r="K151" t="s">
        <v>49</v>
      </c>
      <c r="L151" t="s">
        <v>50</v>
      </c>
      <c r="M151">
        <v>0</v>
      </c>
      <c r="N151" t="s">
        <v>51</v>
      </c>
      <c r="O151">
        <v>1</v>
      </c>
      <c r="P151" t="s">
        <v>52</v>
      </c>
      <c r="Q151" s="2">
        <v>0.44513888888888892</v>
      </c>
      <c r="R151">
        <f>-0.0000451191*3600</f>
        <v>-0.16242876000000001</v>
      </c>
      <c r="S151">
        <f>0.0004492023*3600</f>
        <v>1.61712828</v>
      </c>
    </row>
    <row r="152" spans="1:19" x14ac:dyDescent="0.3">
      <c r="A152" t="s">
        <v>56</v>
      </c>
      <c r="B152" t="s">
        <v>46</v>
      </c>
      <c r="C152">
        <v>123.762981</v>
      </c>
      <c r="D152">
        <v>99.982535999999996</v>
      </c>
      <c r="E152">
        <v>84.557900000000004</v>
      </c>
      <c r="F152">
        <v>84.542199999999994</v>
      </c>
      <c r="G152">
        <v>0.24</v>
      </c>
      <c r="H152">
        <v>0.24399999999999999</v>
      </c>
      <c r="J152" t="s">
        <v>0</v>
      </c>
      <c r="K152" t="s">
        <v>49</v>
      </c>
      <c r="L152" t="s">
        <v>50</v>
      </c>
      <c r="M152">
        <v>0</v>
      </c>
      <c r="N152" t="s">
        <v>51</v>
      </c>
      <c r="O152">
        <v>1</v>
      </c>
      <c r="P152" t="s">
        <v>52</v>
      </c>
      <c r="Q152" s="2">
        <v>0.44513888888888892</v>
      </c>
      <c r="R152">
        <f>0.0000537577*3600</f>
        <v>0.19352772000000001</v>
      </c>
      <c r="S152">
        <f>0.0004749974*3600</f>
        <v>1.70999064</v>
      </c>
    </row>
    <row r="153" spans="1:19" x14ac:dyDescent="0.3">
      <c r="A153" t="s">
        <v>56</v>
      </c>
      <c r="B153" t="s">
        <v>46</v>
      </c>
      <c r="C153">
        <v>323.76517999999999</v>
      </c>
      <c r="D153">
        <v>300.01847400000003</v>
      </c>
      <c r="E153">
        <v>84.557699999999997</v>
      </c>
      <c r="F153">
        <v>84.542000000000002</v>
      </c>
      <c r="G153">
        <v>0.24</v>
      </c>
      <c r="H153">
        <v>0.24399999999999999</v>
      </c>
      <c r="J153" t="s">
        <v>0</v>
      </c>
      <c r="K153" t="s">
        <v>49</v>
      </c>
      <c r="L153" t="s">
        <v>50</v>
      </c>
      <c r="M153">
        <v>0</v>
      </c>
      <c r="N153" t="s">
        <v>51</v>
      </c>
      <c r="O153">
        <v>1</v>
      </c>
      <c r="P153" t="s">
        <v>52</v>
      </c>
      <c r="Q153" s="2">
        <v>0.44513888888888892</v>
      </c>
      <c r="R153">
        <f>-0.0001488868*3600</f>
        <v>-0.53599247999999999</v>
      </c>
      <c r="S153">
        <f>-0.0000221558*3600</f>
        <v>-7.9760879999999992E-2</v>
      </c>
    </row>
    <row r="154" spans="1:19" x14ac:dyDescent="0.3">
      <c r="A154" t="s">
        <v>56</v>
      </c>
      <c r="B154" t="s">
        <v>57</v>
      </c>
      <c r="C154">
        <v>119.117373</v>
      </c>
      <c r="D154">
        <v>101.070954</v>
      </c>
      <c r="E154">
        <v>12.4092</v>
      </c>
      <c r="F154">
        <v>12.405200000000001</v>
      </c>
      <c r="G154">
        <v>0.24</v>
      </c>
      <c r="H154">
        <v>0.23799999999999999</v>
      </c>
      <c r="J154" t="s">
        <v>0</v>
      </c>
      <c r="K154" t="s">
        <v>49</v>
      </c>
      <c r="L154" t="s">
        <v>50</v>
      </c>
      <c r="M154">
        <v>0</v>
      </c>
      <c r="N154" t="s">
        <v>51</v>
      </c>
      <c r="O154">
        <v>1</v>
      </c>
      <c r="P154" t="s">
        <v>52</v>
      </c>
      <c r="Q154" s="2">
        <v>0.44513888888888892</v>
      </c>
      <c r="R154">
        <f>-0.0000349002*3600</f>
        <v>-0.12564072000000001</v>
      </c>
      <c r="S154">
        <f>-0.0000873329*3600</f>
        <v>-0.31439844</v>
      </c>
    </row>
    <row r="155" spans="1:19" x14ac:dyDescent="0.3">
      <c r="A155" t="s">
        <v>56</v>
      </c>
      <c r="B155" t="s">
        <v>57</v>
      </c>
      <c r="C155">
        <v>319.11745300000001</v>
      </c>
      <c r="D155">
        <v>298.92602699999998</v>
      </c>
      <c r="E155">
        <v>12.409000000000001</v>
      </c>
      <c r="F155">
        <v>12.404999999999999</v>
      </c>
      <c r="G155">
        <v>0.24</v>
      </c>
      <c r="H155">
        <v>0.23799999999999999</v>
      </c>
      <c r="J155" t="s">
        <v>0</v>
      </c>
      <c r="K155" t="s">
        <v>49</v>
      </c>
      <c r="L155" t="s">
        <v>50</v>
      </c>
      <c r="M155">
        <v>0</v>
      </c>
      <c r="N155" t="s">
        <v>51</v>
      </c>
      <c r="O155">
        <v>1</v>
      </c>
      <c r="P155" t="s">
        <v>52</v>
      </c>
      <c r="Q155" s="2">
        <v>0.44513888888888892</v>
      </c>
      <c r="R155">
        <f>-0.0000294793*3600</f>
        <v>-0.10612548000000001</v>
      </c>
      <c r="S155">
        <f>-0.0000602275*3600</f>
        <v>-0.21681899999999998</v>
      </c>
    </row>
    <row r="156" spans="1:19" x14ac:dyDescent="0.3">
      <c r="A156" t="s">
        <v>56</v>
      </c>
      <c r="B156" t="s">
        <v>57</v>
      </c>
      <c r="C156">
        <v>119.11686899999999</v>
      </c>
      <c r="D156">
        <v>101.07146</v>
      </c>
      <c r="E156">
        <v>12.4091</v>
      </c>
      <c r="F156">
        <v>12.405099999999999</v>
      </c>
      <c r="G156">
        <v>0.24</v>
      </c>
      <c r="H156">
        <v>0.23799999999999999</v>
      </c>
      <c r="J156" t="s">
        <v>0</v>
      </c>
      <c r="K156" t="s">
        <v>49</v>
      </c>
      <c r="L156" t="s">
        <v>50</v>
      </c>
      <c r="M156">
        <v>0</v>
      </c>
      <c r="N156" t="s">
        <v>51</v>
      </c>
      <c r="O156">
        <v>1</v>
      </c>
      <c r="P156" t="s">
        <v>52</v>
      </c>
      <c r="Q156" s="2">
        <v>0.4458333333333333</v>
      </c>
      <c r="R156">
        <f>-0.0001260186*3600</f>
        <v>-0.45366696000000001</v>
      </c>
      <c r="S156">
        <f>0.0001702306*3600</f>
        <v>0.61283016000000001</v>
      </c>
    </row>
    <row r="157" spans="1:19" x14ac:dyDescent="0.3">
      <c r="A157" t="s">
        <v>56</v>
      </c>
      <c r="B157" t="s">
        <v>57</v>
      </c>
      <c r="C157">
        <v>319.11753299999998</v>
      </c>
      <c r="D157">
        <v>298.925997</v>
      </c>
      <c r="E157">
        <v>12.408799999999999</v>
      </c>
      <c r="F157">
        <v>12.4048</v>
      </c>
      <c r="G157">
        <v>0.24</v>
      </c>
      <c r="H157">
        <v>0.23799999999999999</v>
      </c>
      <c r="J157" t="s">
        <v>0</v>
      </c>
      <c r="K157" t="s">
        <v>49</v>
      </c>
      <c r="L157" t="s">
        <v>50</v>
      </c>
      <c r="M157">
        <v>0</v>
      </c>
      <c r="N157" t="s">
        <v>51</v>
      </c>
      <c r="O157">
        <v>1</v>
      </c>
      <c r="P157" t="s">
        <v>52</v>
      </c>
      <c r="Q157" s="2">
        <v>0.4458333333333333</v>
      </c>
      <c r="R157">
        <f>-0.0000728213*3600</f>
        <v>-0.26215667999999998</v>
      </c>
      <c r="S157">
        <f>0.0002018059*3600</f>
        <v>0.72650124000000005</v>
      </c>
    </row>
    <row r="158" spans="1:19" x14ac:dyDescent="0.3">
      <c r="A158" t="s">
        <v>56</v>
      </c>
      <c r="B158" t="s">
        <v>57</v>
      </c>
      <c r="C158">
        <v>119.116677</v>
      </c>
      <c r="D158">
        <v>101.071558</v>
      </c>
      <c r="E158">
        <v>12.409000000000001</v>
      </c>
      <c r="F158">
        <v>12.404999999999999</v>
      </c>
      <c r="G158">
        <v>0.24</v>
      </c>
      <c r="H158">
        <v>0.23799999999999999</v>
      </c>
      <c r="J158" t="s">
        <v>0</v>
      </c>
      <c r="K158" t="s">
        <v>49</v>
      </c>
      <c r="L158" t="s">
        <v>50</v>
      </c>
      <c r="M158">
        <v>0</v>
      </c>
      <c r="N158" t="s">
        <v>51</v>
      </c>
      <c r="O158">
        <v>1</v>
      </c>
      <c r="P158" t="s">
        <v>52</v>
      </c>
      <c r="Q158" s="2">
        <v>0.4458333333333333</v>
      </c>
      <c r="R158">
        <f>-0.0001273616*3600</f>
        <v>-0.45850176000000004</v>
      </c>
      <c r="S158">
        <f>0.0001719695*3600</f>
        <v>0.61909019999999992</v>
      </c>
    </row>
    <row r="159" spans="1:19" x14ac:dyDescent="0.3">
      <c r="A159" t="s">
        <v>56</v>
      </c>
      <c r="B159" t="s">
        <v>57</v>
      </c>
      <c r="C159">
        <v>319.11773099999999</v>
      </c>
      <c r="D159">
        <v>298.92587099999997</v>
      </c>
      <c r="E159">
        <v>12.408899999999999</v>
      </c>
      <c r="F159">
        <v>12.4049</v>
      </c>
      <c r="G159">
        <v>0.24</v>
      </c>
      <c r="H159">
        <v>0.23799999999999999</v>
      </c>
      <c r="J159" t="s">
        <v>0</v>
      </c>
      <c r="K159" t="s">
        <v>49</v>
      </c>
      <c r="L159" t="s">
        <v>50</v>
      </c>
      <c r="M159">
        <v>0</v>
      </c>
      <c r="N159" t="s">
        <v>51</v>
      </c>
      <c r="O159">
        <v>1</v>
      </c>
      <c r="P159" t="s">
        <v>52</v>
      </c>
      <c r="Q159" s="2">
        <v>0.4458333333333333</v>
      </c>
      <c r="R159">
        <f>-0.0001334477*3600</f>
        <v>-0.48041171999999999</v>
      </c>
      <c r="S159">
        <f>0.0000222072*3600</f>
        <v>7.9945920000000004E-2</v>
      </c>
    </row>
    <row r="160" spans="1:19" x14ac:dyDescent="0.3">
      <c r="A160" t="s">
        <v>56</v>
      </c>
      <c r="B160" t="s">
        <v>57</v>
      </c>
      <c r="C160">
        <v>119.116996</v>
      </c>
      <c r="D160">
        <v>101.071489</v>
      </c>
      <c r="E160">
        <v>12.4091</v>
      </c>
      <c r="F160">
        <v>12.405099999999999</v>
      </c>
      <c r="G160">
        <v>0.24</v>
      </c>
      <c r="H160">
        <v>0.23799999999999999</v>
      </c>
      <c r="J160" t="s">
        <v>0</v>
      </c>
      <c r="K160" t="s">
        <v>49</v>
      </c>
      <c r="L160" t="s">
        <v>50</v>
      </c>
      <c r="M160">
        <v>0</v>
      </c>
      <c r="N160" t="s">
        <v>51</v>
      </c>
      <c r="O160">
        <v>1</v>
      </c>
      <c r="P160" t="s">
        <v>52</v>
      </c>
      <c r="Q160" s="2">
        <v>0.4458333333333333</v>
      </c>
      <c r="R160">
        <f>-0.000204604*3600</f>
        <v>-0.73657439999999996</v>
      </c>
      <c r="S160">
        <f>0.0000238301*3600</f>
        <v>8.5788360000000008E-2</v>
      </c>
    </row>
    <row r="161" spans="1:19" x14ac:dyDescent="0.3">
      <c r="A161" t="s">
        <v>56</v>
      </c>
      <c r="B161" t="s">
        <v>57</v>
      </c>
      <c r="C161">
        <v>319.11750899999998</v>
      </c>
      <c r="D161">
        <v>298.92587300000002</v>
      </c>
      <c r="E161">
        <v>12.408899999999999</v>
      </c>
      <c r="F161">
        <v>12.4049</v>
      </c>
      <c r="G161">
        <v>0.24</v>
      </c>
      <c r="H161">
        <v>0.23799999999999999</v>
      </c>
      <c r="J161" t="s">
        <v>0</v>
      </c>
      <c r="K161" t="s">
        <v>49</v>
      </c>
      <c r="L161" t="s">
        <v>50</v>
      </c>
      <c r="M161">
        <v>0</v>
      </c>
      <c r="N161" t="s">
        <v>51</v>
      </c>
      <c r="O161">
        <v>1</v>
      </c>
      <c r="P161" t="s">
        <v>52</v>
      </c>
      <c r="Q161" s="2">
        <v>0.4458333333333333</v>
      </c>
      <c r="R161">
        <f>-0.0001909412*3600</f>
        <v>-0.68738831999999994</v>
      </c>
      <c r="S161">
        <f>-0.0000001462*3600</f>
        <v>-5.2632000000000004E-4</v>
      </c>
    </row>
    <row r="162" spans="1:19" x14ac:dyDescent="0.3">
      <c r="A162" t="s">
        <v>56</v>
      </c>
      <c r="B162" t="s">
        <v>57</v>
      </c>
      <c r="C162">
        <v>119.11685300000001</v>
      </c>
      <c r="D162">
        <v>101.071527</v>
      </c>
      <c r="E162">
        <v>12.409000000000001</v>
      </c>
      <c r="F162">
        <v>12.404999999999999</v>
      </c>
      <c r="G162">
        <v>0.24</v>
      </c>
      <c r="H162">
        <v>0.23799999999999999</v>
      </c>
      <c r="J162" t="s">
        <v>0</v>
      </c>
      <c r="K162" t="s">
        <v>49</v>
      </c>
      <c r="L162" t="s">
        <v>50</v>
      </c>
      <c r="M162">
        <v>0</v>
      </c>
      <c r="N162" t="s">
        <v>51</v>
      </c>
      <c r="O162">
        <v>1</v>
      </c>
      <c r="P162" t="s">
        <v>52</v>
      </c>
      <c r="Q162" s="2">
        <v>0.4465277777777778</v>
      </c>
      <c r="R162">
        <f>-0.0000202261*3600</f>
        <v>-7.2813959999999997E-2</v>
      </c>
      <c r="S162">
        <f>0.0002410419*3600</f>
        <v>0.86775084000000002</v>
      </c>
    </row>
    <row r="163" spans="1:19" x14ac:dyDescent="0.3">
      <c r="A163" t="s">
        <v>56</v>
      </c>
      <c r="B163" t="s">
        <v>57</v>
      </c>
      <c r="C163">
        <v>319.11776099999997</v>
      </c>
      <c r="D163">
        <v>298.92589099999998</v>
      </c>
      <c r="E163">
        <v>12.408899999999999</v>
      </c>
      <c r="F163">
        <v>12.4049</v>
      </c>
      <c r="G163">
        <v>0.24</v>
      </c>
      <c r="H163">
        <v>0.23799999999999999</v>
      </c>
      <c r="J163" t="s">
        <v>0</v>
      </c>
      <c r="K163" t="s">
        <v>49</v>
      </c>
      <c r="L163" t="s">
        <v>50</v>
      </c>
      <c r="M163">
        <v>0</v>
      </c>
      <c r="N163" t="s">
        <v>51</v>
      </c>
      <c r="O163">
        <v>1</v>
      </c>
      <c r="P163" t="s">
        <v>52</v>
      </c>
      <c r="Q163" s="2">
        <v>0.4465277777777778</v>
      </c>
      <c r="R163">
        <f>0.0000193179*3600</f>
        <v>6.9544439999999999E-2</v>
      </c>
      <c r="S163">
        <f>0.0002612135*3600</f>
        <v>0.9403686</v>
      </c>
    </row>
    <row r="164" spans="1:19" x14ac:dyDescent="0.3">
      <c r="A164" t="s">
        <v>56</v>
      </c>
      <c r="B164" t="s">
        <v>61</v>
      </c>
      <c r="C164">
        <v>309.119103</v>
      </c>
      <c r="D164">
        <v>100.424064</v>
      </c>
      <c r="E164">
        <v>60.002800000000001</v>
      </c>
      <c r="F164">
        <v>59.990299999999998</v>
      </c>
      <c r="G164">
        <v>0.24</v>
      </c>
      <c r="H164">
        <v>0.24099999999999999</v>
      </c>
      <c r="J164" t="s">
        <v>0</v>
      </c>
      <c r="K164" t="s">
        <v>49</v>
      </c>
      <c r="L164" t="s">
        <v>50</v>
      </c>
      <c r="M164">
        <v>0</v>
      </c>
      <c r="N164" t="s">
        <v>51</v>
      </c>
      <c r="O164">
        <v>1</v>
      </c>
      <c r="P164" t="s">
        <v>52</v>
      </c>
      <c r="Q164" s="2">
        <v>0.4465277777777778</v>
      </c>
      <c r="R164">
        <f>0.0000207679*3600</f>
        <v>7.4764440000000001E-2</v>
      </c>
      <c r="S164">
        <f>0.0000322303*3600</f>
        <v>0.11602908000000001</v>
      </c>
    </row>
    <row r="165" spans="1:19" x14ac:dyDescent="0.3">
      <c r="A165" t="s">
        <v>56</v>
      </c>
      <c r="B165" t="s">
        <v>61</v>
      </c>
      <c r="C165">
        <v>109.12106</v>
      </c>
      <c r="D165">
        <v>299.57533799999999</v>
      </c>
      <c r="E165">
        <v>60.002699999999997</v>
      </c>
      <c r="F165">
        <v>59.990200000000002</v>
      </c>
      <c r="G165">
        <v>0.24</v>
      </c>
      <c r="H165">
        <v>0.24099999999999999</v>
      </c>
      <c r="J165" t="s">
        <v>0</v>
      </c>
      <c r="K165" t="s">
        <v>49</v>
      </c>
      <c r="L165" t="s">
        <v>50</v>
      </c>
      <c r="M165">
        <v>0</v>
      </c>
      <c r="N165" t="s">
        <v>51</v>
      </c>
      <c r="O165">
        <v>1</v>
      </c>
      <c r="P165" t="s">
        <v>52</v>
      </c>
      <c r="Q165" s="2">
        <v>0.4465277777777778</v>
      </c>
      <c r="R165">
        <f>-0.0006104605*3600</f>
        <v>-2.1976578</v>
      </c>
      <c r="S165">
        <f>0.0002491867*3600</f>
        <v>0.89707212000000003</v>
      </c>
    </row>
    <row r="166" spans="1:19" x14ac:dyDescent="0.3">
      <c r="A166" t="s">
        <v>56</v>
      </c>
      <c r="B166" t="s">
        <v>61</v>
      </c>
      <c r="C166">
        <v>309.11903599999999</v>
      </c>
      <c r="D166">
        <v>100.424077</v>
      </c>
      <c r="E166">
        <v>60.002600000000001</v>
      </c>
      <c r="F166">
        <v>59.990099999999998</v>
      </c>
      <c r="G166">
        <v>0.24</v>
      </c>
      <c r="H166">
        <v>0.24099999999999999</v>
      </c>
      <c r="J166" t="s">
        <v>0</v>
      </c>
      <c r="K166" t="s">
        <v>49</v>
      </c>
      <c r="L166" t="s">
        <v>50</v>
      </c>
      <c r="M166">
        <v>0</v>
      </c>
      <c r="N166" t="s">
        <v>51</v>
      </c>
      <c r="O166">
        <v>1</v>
      </c>
      <c r="P166" t="s">
        <v>52</v>
      </c>
      <c r="Q166" s="2">
        <v>0.4465277777777778</v>
      </c>
      <c r="R166">
        <f>-0.0006189976*3600</f>
        <v>-2.2283913600000003</v>
      </c>
      <c r="S166">
        <f>0.0002845281*3600</f>
        <v>1.02430116</v>
      </c>
    </row>
    <row r="167" spans="1:19" x14ac:dyDescent="0.3">
      <c r="A167" t="s">
        <v>56</v>
      </c>
      <c r="B167" t="s">
        <v>61</v>
      </c>
      <c r="C167">
        <v>109.12159</v>
      </c>
      <c r="D167">
        <v>299.57583</v>
      </c>
      <c r="E167">
        <v>60.002200000000002</v>
      </c>
      <c r="F167">
        <v>59.989699999999999</v>
      </c>
      <c r="G167">
        <v>0.24</v>
      </c>
      <c r="H167">
        <v>0.24099999999999999</v>
      </c>
      <c r="J167" t="s">
        <v>0</v>
      </c>
      <c r="K167" t="s">
        <v>49</v>
      </c>
      <c r="L167" t="s">
        <v>50</v>
      </c>
      <c r="M167">
        <v>0</v>
      </c>
      <c r="N167" t="s">
        <v>51</v>
      </c>
      <c r="O167">
        <v>1</v>
      </c>
      <c r="P167" t="s">
        <v>52</v>
      </c>
      <c r="Q167" s="2">
        <v>0.4465277777777778</v>
      </c>
      <c r="R167">
        <f>-0.0004960266*3600</f>
        <v>-1.7856957599999999</v>
      </c>
      <c r="S167">
        <f>0.0002464236*3600</f>
        <v>0.88712495999999996</v>
      </c>
    </row>
    <row r="168" spans="1:19" x14ac:dyDescent="0.3">
      <c r="A168" t="s">
        <v>56</v>
      </c>
      <c r="B168" t="s">
        <v>61</v>
      </c>
      <c r="C168">
        <v>309.11924800000003</v>
      </c>
      <c r="D168">
        <v>100.424149</v>
      </c>
      <c r="E168">
        <v>60.002800000000001</v>
      </c>
      <c r="F168">
        <v>59.990299999999998</v>
      </c>
      <c r="G168">
        <v>0.24</v>
      </c>
      <c r="H168">
        <v>0.24099999999999999</v>
      </c>
      <c r="J168" t="s">
        <v>0</v>
      </c>
      <c r="K168" t="s">
        <v>49</v>
      </c>
      <c r="L168" t="s">
        <v>50</v>
      </c>
      <c r="M168">
        <v>0</v>
      </c>
      <c r="N168" t="s">
        <v>51</v>
      </c>
      <c r="O168">
        <v>1</v>
      </c>
      <c r="P168" t="s">
        <v>52</v>
      </c>
      <c r="Q168" s="2">
        <v>0.4465277777777778</v>
      </c>
      <c r="R168">
        <f>0.0000384394*3600</f>
        <v>0.13838184000000001</v>
      </c>
      <c r="S168">
        <f>0.0005301205*3600</f>
        <v>1.9084337999999998</v>
      </c>
    </row>
    <row r="169" spans="1:19" x14ac:dyDescent="0.3">
      <c r="A169" t="s">
        <v>56</v>
      </c>
      <c r="B169" t="s">
        <v>61</v>
      </c>
      <c r="C169">
        <v>109.121117</v>
      </c>
      <c r="D169">
        <v>299.57562200000001</v>
      </c>
      <c r="E169">
        <v>60.002499999999998</v>
      </c>
      <c r="F169">
        <v>59.99</v>
      </c>
      <c r="G169">
        <v>0.24</v>
      </c>
      <c r="H169">
        <v>0.24099999999999999</v>
      </c>
      <c r="J169" t="s">
        <v>0</v>
      </c>
      <c r="K169" t="s">
        <v>49</v>
      </c>
      <c r="L169" t="s">
        <v>50</v>
      </c>
      <c r="M169">
        <v>0</v>
      </c>
      <c r="N169" t="s">
        <v>51</v>
      </c>
      <c r="O169">
        <v>1</v>
      </c>
      <c r="P169" t="s">
        <v>52</v>
      </c>
      <c r="Q169" s="2">
        <v>0.4465277777777778</v>
      </c>
      <c r="R169">
        <f>0.0000227273*3600</f>
        <v>8.1818279999999993E-2</v>
      </c>
      <c r="S169">
        <f>0.0005487024*3600</f>
        <v>1.9753286400000001</v>
      </c>
    </row>
    <row r="170" spans="1:19" x14ac:dyDescent="0.3">
      <c r="A170" t="s">
        <v>56</v>
      </c>
      <c r="B170" t="s">
        <v>61</v>
      </c>
      <c r="C170">
        <v>309.11938600000002</v>
      </c>
      <c r="D170">
        <v>100.424015</v>
      </c>
      <c r="E170">
        <v>60.002699999999997</v>
      </c>
      <c r="F170">
        <v>59.990200000000002</v>
      </c>
      <c r="G170">
        <v>0.24</v>
      </c>
      <c r="H170">
        <v>0.24099999999999999</v>
      </c>
      <c r="J170" t="s">
        <v>0</v>
      </c>
      <c r="K170" t="s">
        <v>49</v>
      </c>
      <c r="L170" t="s">
        <v>50</v>
      </c>
      <c r="M170">
        <v>0</v>
      </c>
      <c r="N170" t="s">
        <v>51</v>
      </c>
      <c r="O170">
        <v>1</v>
      </c>
      <c r="P170" t="s">
        <v>52</v>
      </c>
      <c r="Q170" s="2">
        <v>0.4465277777777778</v>
      </c>
      <c r="R170">
        <f>0.0001645687*3600</f>
        <v>0.59244732</v>
      </c>
      <c r="S170">
        <f>0.0004129349*3600</f>
        <v>1.48656564</v>
      </c>
    </row>
    <row r="171" spans="1:19" x14ac:dyDescent="0.3">
      <c r="A171" t="s">
        <v>56</v>
      </c>
      <c r="B171" t="s">
        <v>61</v>
      </c>
      <c r="C171">
        <v>109.12087099999999</v>
      </c>
      <c r="D171">
        <v>299.57560699999999</v>
      </c>
      <c r="E171">
        <v>60.002600000000001</v>
      </c>
      <c r="F171">
        <v>59.990099999999998</v>
      </c>
      <c r="G171">
        <v>0.24</v>
      </c>
      <c r="H171">
        <v>0.24099999999999999</v>
      </c>
      <c r="J171" t="s">
        <v>0</v>
      </c>
      <c r="K171" t="s">
        <v>49</v>
      </c>
      <c r="L171" t="s">
        <v>50</v>
      </c>
      <c r="M171">
        <v>0</v>
      </c>
      <c r="N171" t="s">
        <v>51</v>
      </c>
      <c r="O171">
        <v>1</v>
      </c>
      <c r="P171" t="s">
        <v>52</v>
      </c>
      <c r="Q171" s="2">
        <v>0.4465277777777778</v>
      </c>
      <c r="R171">
        <f>-0.0004267314*3600</f>
        <v>-1.5362330399999999</v>
      </c>
      <c r="S171">
        <f>0.0006403059*3600</f>
        <v>2.3051012399999999</v>
      </c>
    </row>
    <row r="172" spans="1:19" x14ac:dyDescent="0.3">
      <c r="A172" t="s">
        <v>56</v>
      </c>
      <c r="B172" t="s">
        <v>61</v>
      </c>
      <c r="C172">
        <v>309.119103</v>
      </c>
      <c r="D172">
        <v>100.42410700000001</v>
      </c>
      <c r="E172">
        <v>60.002600000000001</v>
      </c>
      <c r="F172">
        <v>59.990099999999998</v>
      </c>
      <c r="G172">
        <v>0.24</v>
      </c>
      <c r="H172">
        <v>0.24099999999999999</v>
      </c>
      <c r="J172" t="s">
        <v>0</v>
      </c>
      <c r="K172" t="s">
        <v>49</v>
      </c>
      <c r="L172" t="s">
        <v>50</v>
      </c>
      <c r="M172">
        <v>0</v>
      </c>
      <c r="N172" t="s">
        <v>51</v>
      </c>
      <c r="O172">
        <v>1</v>
      </c>
      <c r="P172" t="s">
        <v>52</v>
      </c>
      <c r="Q172" s="2">
        <v>0.44722222222222219</v>
      </c>
      <c r="R172">
        <f>-0.0006123058*3600</f>
        <v>-2.2043008799999999</v>
      </c>
      <c r="S172">
        <f>0.0005813736*3600</f>
        <v>2.0929449600000001</v>
      </c>
    </row>
    <row r="173" spans="1:19" x14ac:dyDescent="0.3">
      <c r="A173" t="s">
        <v>56</v>
      </c>
      <c r="B173" t="s">
        <v>61</v>
      </c>
      <c r="C173">
        <v>109.12112</v>
      </c>
      <c r="D173">
        <v>299.575469</v>
      </c>
      <c r="E173">
        <v>60.002400000000002</v>
      </c>
      <c r="F173">
        <v>59.989899999999999</v>
      </c>
      <c r="G173">
        <v>0.24</v>
      </c>
      <c r="H173">
        <v>0.24099999999999999</v>
      </c>
      <c r="J173" t="s">
        <v>0</v>
      </c>
      <c r="K173" t="s">
        <v>49</v>
      </c>
      <c r="L173" t="s">
        <v>50</v>
      </c>
      <c r="M173">
        <v>0</v>
      </c>
      <c r="N173" t="s">
        <v>51</v>
      </c>
      <c r="O173">
        <v>1</v>
      </c>
      <c r="P173" t="s">
        <v>52</v>
      </c>
      <c r="Q173" s="2">
        <v>0.44722222222222219</v>
      </c>
      <c r="R173">
        <f>-0.0005697749*3600</f>
        <v>-2.05118964</v>
      </c>
      <c r="S173">
        <f>0.000551392*3600</f>
        <v>1.9850112000000002</v>
      </c>
    </row>
    <row r="174" spans="1:19" x14ac:dyDescent="0.3">
      <c r="A174" t="s">
        <v>56</v>
      </c>
      <c r="B174" t="s">
        <v>63</v>
      </c>
      <c r="C174">
        <v>308.00125600000001</v>
      </c>
      <c r="D174">
        <v>100.38100900000001</v>
      </c>
      <c r="E174">
        <v>92.552400000000006</v>
      </c>
      <c r="F174">
        <v>92.533600000000007</v>
      </c>
      <c r="G174">
        <v>0.24</v>
      </c>
      <c r="H174">
        <v>0.23499999999999999</v>
      </c>
      <c r="J174" t="s">
        <v>0</v>
      </c>
      <c r="K174" t="s">
        <v>49</v>
      </c>
      <c r="L174" t="s">
        <v>50</v>
      </c>
      <c r="M174">
        <v>0</v>
      </c>
      <c r="N174" t="s">
        <v>51</v>
      </c>
      <c r="O174">
        <v>1</v>
      </c>
      <c r="P174" t="s">
        <v>52</v>
      </c>
      <c r="Q174" s="2">
        <v>0.44722222222222219</v>
      </c>
      <c r="R174">
        <f>0.0001437691*3600</f>
        <v>0.51756876000000007</v>
      </c>
      <c r="S174">
        <f>0.0005476186*3600</f>
        <v>1.9714269600000001</v>
      </c>
    </row>
    <row r="175" spans="1:19" x14ac:dyDescent="0.3">
      <c r="A175" t="s">
        <v>56</v>
      </c>
      <c r="B175" t="s">
        <v>63</v>
      </c>
      <c r="C175">
        <v>108.003203</v>
      </c>
      <c r="D175">
        <v>299.61928599999999</v>
      </c>
      <c r="E175">
        <v>92.552300000000002</v>
      </c>
      <c r="F175">
        <v>92.533500000000004</v>
      </c>
      <c r="G175">
        <v>0.24</v>
      </c>
      <c r="H175">
        <v>0.23499999999999999</v>
      </c>
      <c r="J175" t="s">
        <v>0</v>
      </c>
      <c r="K175" t="s">
        <v>49</v>
      </c>
      <c r="L175" t="s">
        <v>50</v>
      </c>
      <c r="M175">
        <v>0</v>
      </c>
      <c r="N175" t="s">
        <v>51</v>
      </c>
      <c r="O175">
        <v>1</v>
      </c>
      <c r="P175" t="s">
        <v>52</v>
      </c>
      <c r="Q175" s="2">
        <v>0.44722222222222219</v>
      </c>
      <c r="R175">
        <f>0.0000415572*3600</f>
        <v>0.14960592</v>
      </c>
      <c r="S175">
        <f>0.0004627277*3600</f>
        <v>1.66581972</v>
      </c>
    </row>
    <row r="176" spans="1:19" x14ac:dyDescent="0.3">
      <c r="A176" t="s">
        <v>56</v>
      </c>
      <c r="B176" t="s">
        <v>63</v>
      </c>
      <c r="C176">
        <v>308.00071300000002</v>
      </c>
      <c r="D176">
        <v>100.381598</v>
      </c>
      <c r="E176">
        <v>92.552599999999998</v>
      </c>
      <c r="F176">
        <v>92.533799999999999</v>
      </c>
      <c r="G176">
        <v>0.24</v>
      </c>
      <c r="H176">
        <v>0.23499999999999999</v>
      </c>
      <c r="J176" t="s">
        <v>0</v>
      </c>
      <c r="K176" t="s">
        <v>49</v>
      </c>
      <c r="L176" t="s">
        <v>50</v>
      </c>
      <c r="M176">
        <v>0</v>
      </c>
      <c r="N176" t="s">
        <v>51</v>
      </c>
      <c r="O176">
        <v>1</v>
      </c>
      <c r="P176" t="s">
        <v>52</v>
      </c>
      <c r="Q176" s="2">
        <v>0.44722222222222219</v>
      </c>
      <c r="R176">
        <f>0.0000558957*3600</f>
        <v>0.20122451999999999</v>
      </c>
      <c r="S176">
        <f>0.0003661724*3600</f>
        <v>1.3182206399999998</v>
      </c>
    </row>
    <row r="177" spans="1:19" x14ac:dyDescent="0.3">
      <c r="A177" t="s">
        <v>56</v>
      </c>
      <c r="B177" t="s">
        <v>63</v>
      </c>
      <c r="C177">
        <v>108.00280600000001</v>
      </c>
      <c r="D177">
        <v>299.61982</v>
      </c>
      <c r="E177">
        <v>92.552199999999999</v>
      </c>
      <c r="F177">
        <v>92.5334</v>
      </c>
      <c r="G177">
        <v>0.24</v>
      </c>
      <c r="H177">
        <v>0.23499999999999999</v>
      </c>
      <c r="J177" t="s">
        <v>0</v>
      </c>
      <c r="K177" t="s">
        <v>49</v>
      </c>
      <c r="L177" t="s">
        <v>50</v>
      </c>
      <c r="M177">
        <v>0</v>
      </c>
      <c r="N177" t="s">
        <v>51</v>
      </c>
      <c r="O177">
        <v>1</v>
      </c>
      <c r="P177" t="s">
        <v>52</v>
      </c>
      <c r="Q177" s="2">
        <v>0.44722222222222219</v>
      </c>
      <c r="R177">
        <f>-0.0001918744*3600</f>
        <v>-0.69074784</v>
      </c>
      <c r="S177">
        <f>-0.0001942945*3600</f>
        <v>-0.69946019999999998</v>
      </c>
    </row>
    <row r="178" spans="1:19" x14ac:dyDescent="0.3">
      <c r="A178" t="s">
        <v>56</v>
      </c>
      <c r="B178" t="s">
        <v>63</v>
      </c>
      <c r="C178">
        <v>308.00083599999999</v>
      </c>
      <c r="D178">
        <v>100.381764</v>
      </c>
      <c r="E178">
        <v>92.552499999999995</v>
      </c>
      <c r="F178">
        <v>92.533600000000007</v>
      </c>
      <c r="G178">
        <v>0.24</v>
      </c>
      <c r="H178">
        <v>0.23499999999999999</v>
      </c>
      <c r="J178" t="s">
        <v>0</v>
      </c>
      <c r="K178" t="s">
        <v>49</v>
      </c>
      <c r="L178" t="s">
        <v>50</v>
      </c>
      <c r="M178">
        <v>0</v>
      </c>
      <c r="N178" t="s">
        <v>51</v>
      </c>
      <c r="O178">
        <v>1</v>
      </c>
      <c r="P178" t="s">
        <v>52</v>
      </c>
      <c r="Q178" s="2">
        <v>0.44722222222222219</v>
      </c>
      <c r="R178">
        <f>-0.0000892925*3600</f>
        <v>-0.32145300000000004</v>
      </c>
      <c r="S178">
        <f>-0.0001731838*3600</f>
        <v>-0.62346167999999991</v>
      </c>
    </row>
    <row r="179" spans="1:19" x14ac:dyDescent="0.3">
      <c r="A179" t="s">
        <v>56</v>
      </c>
      <c r="B179" t="s">
        <v>63</v>
      </c>
      <c r="C179">
        <v>108.002915</v>
      </c>
      <c r="D179">
        <v>299.61989699999998</v>
      </c>
      <c r="E179">
        <v>92.552300000000002</v>
      </c>
      <c r="F179">
        <v>92.533500000000004</v>
      </c>
      <c r="G179">
        <v>0.24</v>
      </c>
      <c r="H179">
        <v>0.23499999999999999</v>
      </c>
      <c r="J179" t="s">
        <v>0</v>
      </c>
      <c r="K179" t="s">
        <v>49</v>
      </c>
      <c r="L179" t="s">
        <v>50</v>
      </c>
      <c r="M179">
        <v>0</v>
      </c>
      <c r="N179" t="s">
        <v>51</v>
      </c>
      <c r="O179">
        <v>1</v>
      </c>
      <c r="P179" t="s">
        <v>52</v>
      </c>
      <c r="Q179" s="2">
        <v>0.44722222222222219</v>
      </c>
      <c r="R179">
        <f>-0.0000458564*3600</f>
        <v>-0.16508303999999999</v>
      </c>
      <c r="S179">
        <f>-0.000213434*3600</f>
        <v>-0.7683624</v>
      </c>
    </row>
    <row r="180" spans="1:19" x14ac:dyDescent="0.3">
      <c r="A180" t="s">
        <v>56</v>
      </c>
      <c r="B180" t="s">
        <v>63</v>
      </c>
      <c r="C180">
        <v>308.000629</v>
      </c>
      <c r="D180">
        <v>100.38154</v>
      </c>
      <c r="E180">
        <v>92.552599999999998</v>
      </c>
      <c r="F180">
        <v>92.533799999999999</v>
      </c>
      <c r="G180">
        <v>0.24</v>
      </c>
      <c r="H180">
        <v>0.23499999999999999</v>
      </c>
      <c r="J180" t="s">
        <v>0</v>
      </c>
      <c r="K180" t="s">
        <v>49</v>
      </c>
      <c r="L180" t="s">
        <v>50</v>
      </c>
      <c r="M180">
        <v>0</v>
      </c>
      <c r="N180" t="s">
        <v>51</v>
      </c>
      <c r="O180">
        <v>1</v>
      </c>
      <c r="P180" t="s">
        <v>52</v>
      </c>
      <c r="Q180" s="2">
        <v>0.44722222222222219</v>
      </c>
      <c r="R180">
        <f>-0.0001967588*3600</f>
        <v>-0.70833168000000002</v>
      </c>
      <c r="S180">
        <f>0.0002735393*3600</f>
        <v>0.98474147999999995</v>
      </c>
    </row>
    <row r="181" spans="1:19" x14ac:dyDescent="0.3">
      <c r="A181" t="s">
        <v>56</v>
      </c>
      <c r="B181" t="s">
        <v>63</v>
      </c>
      <c r="C181">
        <v>108.003334</v>
      </c>
      <c r="D181">
        <v>299.61971399999999</v>
      </c>
      <c r="E181">
        <v>92.552400000000006</v>
      </c>
      <c r="F181">
        <v>92.533600000000007</v>
      </c>
      <c r="G181">
        <v>0.24</v>
      </c>
      <c r="H181">
        <v>0.23499999999999999</v>
      </c>
      <c r="J181" t="s">
        <v>0</v>
      </c>
      <c r="K181" t="s">
        <v>49</v>
      </c>
      <c r="L181" t="s">
        <v>50</v>
      </c>
      <c r="M181">
        <v>0</v>
      </c>
      <c r="N181" t="s">
        <v>51</v>
      </c>
      <c r="O181">
        <v>1</v>
      </c>
      <c r="P181" t="s">
        <v>52</v>
      </c>
      <c r="Q181" s="2">
        <v>0.44791666666666669</v>
      </c>
      <c r="R181">
        <f>-0.0001934693*3600</f>
        <v>-0.69648947999999999</v>
      </c>
      <c r="S181">
        <f>0.0002674046*3600</f>
        <v>0.96265655999999999</v>
      </c>
    </row>
    <row r="182" spans="1:19" x14ac:dyDescent="0.3">
      <c r="A182" t="s">
        <v>56</v>
      </c>
      <c r="B182" t="s">
        <v>63</v>
      </c>
      <c r="C182">
        <v>308.00081399999999</v>
      </c>
      <c r="D182">
        <v>100.381348</v>
      </c>
      <c r="E182">
        <v>92.552700000000002</v>
      </c>
      <c r="F182">
        <v>92.533900000000003</v>
      </c>
      <c r="G182">
        <v>0.24</v>
      </c>
      <c r="H182">
        <v>0.23499999999999999</v>
      </c>
      <c r="J182" t="s">
        <v>0</v>
      </c>
      <c r="K182" t="s">
        <v>49</v>
      </c>
      <c r="L182" t="s">
        <v>50</v>
      </c>
      <c r="M182">
        <v>0</v>
      </c>
      <c r="N182" t="s">
        <v>51</v>
      </c>
      <c r="O182">
        <v>1</v>
      </c>
      <c r="P182" t="s">
        <v>52</v>
      </c>
      <c r="Q182" s="2">
        <v>0.44791666666666669</v>
      </c>
      <c r="R182">
        <f>-0.0001609389*3600</f>
        <v>-0.57938003999999999</v>
      </c>
      <c r="S182">
        <f>0.0002230536*3600</f>
        <v>0.80299295999999998</v>
      </c>
    </row>
    <row r="183" spans="1:19" x14ac:dyDescent="0.3">
      <c r="A183" t="s">
        <v>56</v>
      </c>
      <c r="B183" t="s">
        <v>63</v>
      </c>
      <c r="C183">
        <v>108.003264</v>
      </c>
      <c r="D183">
        <v>299.619576</v>
      </c>
      <c r="E183">
        <v>92.552300000000002</v>
      </c>
      <c r="F183">
        <v>92.533500000000004</v>
      </c>
      <c r="G183">
        <v>0.24</v>
      </c>
      <c r="H183">
        <v>0.23499999999999999</v>
      </c>
      <c r="J183" t="s">
        <v>0</v>
      </c>
      <c r="K183" t="s">
        <v>49</v>
      </c>
      <c r="L183" t="s">
        <v>50</v>
      </c>
      <c r="M183">
        <v>0</v>
      </c>
      <c r="N183" t="s">
        <v>51</v>
      </c>
      <c r="O183">
        <v>1</v>
      </c>
      <c r="P183" t="s">
        <v>52</v>
      </c>
      <c r="Q183" s="2">
        <v>0.44791666666666669</v>
      </c>
      <c r="R183">
        <f>-0.0000906325*3600</f>
        <v>-0.32627700000000004</v>
      </c>
      <c r="S183">
        <f>0.0000995009*3600</f>
        <v>0.35820323999999998</v>
      </c>
    </row>
    <row r="184" spans="1:19" x14ac:dyDescent="0.3">
      <c r="A184" t="s">
        <v>56</v>
      </c>
      <c r="B184" t="s">
        <v>64</v>
      </c>
      <c r="C184">
        <v>308.90789799999999</v>
      </c>
      <c r="D184">
        <v>100.359909</v>
      </c>
      <c r="E184">
        <v>104.5046</v>
      </c>
      <c r="F184">
        <v>104.4836</v>
      </c>
      <c r="G184">
        <v>0.24</v>
      </c>
      <c r="H184">
        <v>0.24099999999999999</v>
      </c>
      <c r="J184" t="s">
        <v>0</v>
      </c>
      <c r="K184" t="s">
        <v>49</v>
      </c>
      <c r="L184" t="s">
        <v>50</v>
      </c>
      <c r="M184">
        <v>0</v>
      </c>
      <c r="N184" t="s">
        <v>51</v>
      </c>
      <c r="O184">
        <v>1</v>
      </c>
      <c r="P184" t="s">
        <v>52</v>
      </c>
      <c r="Q184" s="2">
        <v>0.44791666666666669</v>
      </c>
      <c r="R184">
        <f>-0.0002032099*3600</f>
        <v>-0.73155563999999995</v>
      </c>
      <c r="S184">
        <f>0.0000186749*3600</f>
        <v>6.7229639999999993E-2</v>
      </c>
    </row>
    <row r="185" spans="1:19" x14ac:dyDescent="0.3">
      <c r="A185" t="s">
        <v>56</v>
      </c>
      <c r="B185" t="s">
        <v>64</v>
      </c>
      <c r="C185">
        <v>108.910455</v>
      </c>
      <c r="D185">
        <v>299.64010400000001</v>
      </c>
      <c r="E185">
        <v>104.5043</v>
      </c>
      <c r="F185">
        <v>104.4833</v>
      </c>
      <c r="G185">
        <v>0.24</v>
      </c>
      <c r="H185">
        <v>0.24099999999999999</v>
      </c>
      <c r="J185" t="s">
        <v>0</v>
      </c>
      <c r="K185" t="s">
        <v>49</v>
      </c>
      <c r="L185" t="s">
        <v>50</v>
      </c>
      <c r="M185">
        <v>0</v>
      </c>
      <c r="N185" t="s">
        <v>51</v>
      </c>
      <c r="O185">
        <v>1</v>
      </c>
      <c r="P185" t="s">
        <v>52</v>
      </c>
      <c r="Q185" s="2">
        <v>0.44791666666666669</v>
      </c>
      <c r="R185">
        <f>-0.0001088094*3600</f>
        <v>-0.39171383999999998</v>
      </c>
      <c r="S185">
        <f>0.0000505127*3600</f>
        <v>0.18184572000000002</v>
      </c>
    </row>
    <row r="186" spans="1:19" x14ac:dyDescent="0.3">
      <c r="A186" t="s">
        <v>56</v>
      </c>
      <c r="B186" t="s">
        <v>64</v>
      </c>
      <c r="C186">
        <v>308.90876300000002</v>
      </c>
      <c r="D186">
        <v>100.36030599999999</v>
      </c>
      <c r="E186">
        <v>104.50449999999999</v>
      </c>
      <c r="F186">
        <v>104.48350000000001</v>
      </c>
      <c r="G186">
        <v>0.24</v>
      </c>
      <c r="H186">
        <v>0.24099999999999999</v>
      </c>
      <c r="J186" t="s">
        <v>0</v>
      </c>
      <c r="K186" t="s">
        <v>49</v>
      </c>
      <c r="L186" t="s">
        <v>50</v>
      </c>
      <c r="M186">
        <v>0</v>
      </c>
      <c r="N186" t="s">
        <v>51</v>
      </c>
      <c r="O186">
        <v>1</v>
      </c>
      <c r="P186" t="s">
        <v>52</v>
      </c>
      <c r="Q186" s="2">
        <v>0.44791666666666669</v>
      </c>
      <c r="R186">
        <f>0.0000133187*3600</f>
        <v>4.7947320000000002E-2</v>
      </c>
      <c r="S186">
        <f>0.0004733299*3600</f>
        <v>1.70398764</v>
      </c>
    </row>
    <row r="187" spans="1:19" x14ac:dyDescent="0.3">
      <c r="A187" t="s">
        <v>56</v>
      </c>
      <c r="B187" t="s">
        <v>64</v>
      </c>
      <c r="C187">
        <v>108.910422</v>
      </c>
      <c r="D187">
        <v>299.640964</v>
      </c>
      <c r="E187">
        <v>104.5043</v>
      </c>
      <c r="F187">
        <v>104.4833</v>
      </c>
      <c r="G187">
        <v>0.24</v>
      </c>
      <c r="H187">
        <v>0.24099999999999999</v>
      </c>
      <c r="J187" t="s">
        <v>0</v>
      </c>
      <c r="K187" t="s">
        <v>49</v>
      </c>
      <c r="L187" t="s">
        <v>50</v>
      </c>
      <c r="M187">
        <v>0</v>
      </c>
      <c r="N187" t="s">
        <v>51</v>
      </c>
      <c r="O187">
        <v>1</v>
      </c>
      <c r="P187" t="s">
        <v>52</v>
      </c>
      <c r="Q187" s="2">
        <v>0.44791666666666669</v>
      </c>
      <c r="R187">
        <f>-0.0001549302*3600</f>
        <v>-0.55774871999999998</v>
      </c>
      <c r="S187">
        <f>0.0003315886*3600</f>
        <v>1.19371896</v>
      </c>
    </row>
    <row r="188" spans="1:19" x14ac:dyDescent="0.3">
      <c r="A188" t="s">
        <v>56</v>
      </c>
      <c r="B188" t="s">
        <v>64</v>
      </c>
      <c r="C188">
        <v>308.90863300000001</v>
      </c>
      <c r="D188">
        <v>100.359877</v>
      </c>
      <c r="E188">
        <v>104.5046</v>
      </c>
      <c r="F188">
        <v>104.4836</v>
      </c>
      <c r="G188">
        <v>0.24</v>
      </c>
      <c r="H188">
        <v>0.24099999999999999</v>
      </c>
      <c r="J188" t="s">
        <v>0</v>
      </c>
      <c r="K188" t="s">
        <v>49</v>
      </c>
      <c r="L188" t="s">
        <v>50</v>
      </c>
      <c r="M188">
        <v>0</v>
      </c>
      <c r="N188" t="s">
        <v>51</v>
      </c>
      <c r="O188">
        <v>1</v>
      </c>
      <c r="P188" t="s">
        <v>52</v>
      </c>
      <c r="Q188" s="2">
        <v>0.44791666666666669</v>
      </c>
      <c r="R188">
        <f>-0.000320247*3600</f>
        <v>-1.1528891999999999</v>
      </c>
      <c r="S188">
        <f>0.0001557848*3600</f>
        <v>0.56082528000000009</v>
      </c>
    </row>
    <row r="189" spans="1:19" x14ac:dyDescent="0.3">
      <c r="A189" t="s">
        <v>56</v>
      </c>
      <c r="B189" t="s">
        <v>64</v>
      </c>
      <c r="C189">
        <v>108.910104</v>
      </c>
      <c r="D189">
        <v>299.64083699999998</v>
      </c>
      <c r="E189">
        <v>104.5043</v>
      </c>
      <c r="F189">
        <v>104.4833</v>
      </c>
      <c r="G189">
        <v>0.24</v>
      </c>
      <c r="H189">
        <v>0.24099999999999999</v>
      </c>
      <c r="J189" t="s">
        <v>0</v>
      </c>
      <c r="K189" t="s">
        <v>49</v>
      </c>
      <c r="L189" t="s">
        <v>50</v>
      </c>
      <c r="M189">
        <v>0</v>
      </c>
      <c r="N189" t="s">
        <v>51</v>
      </c>
      <c r="O189">
        <v>1</v>
      </c>
      <c r="P189" t="s">
        <v>52</v>
      </c>
      <c r="Q189" s="2">
        <v>0.44791666666666669</v>
      </c>
      <c r="R189">
        <f>-0.0006006496*3600</f>
        <v>-2.1623385599999998</v>
      </c>
      <c r="S189">
        <f>0.0003043599*3600</f>
        <v>1.09569564</v>
      </c>
    </row>
    <row r="190" spans="1:19" x14ac:dyDescent="0.3">
      <c r="A190" t="s">
        <v>56</v>
      </c>
      <c r="B190" t="s">
        <v>64</v>
      </c>
      <c r="C190">
        <v>308.90858800000001</v>
      </c>
      <c r="D190">
        <v>100.360461</v>
      </c>
      <c r="E190">
        <v>104.5047</v>
      </c>
      <c r="F190">
        <v>104.4837</v>
      </c>
      <c r="G190">
        <v>0.24</v>
      </c>
      <c r="H190">
        <v>0.24099999999999999</v>
      </c>
      <c r="J190" t="s">
        <v>0</v>
      </c>
      <c r="K190" t="s">
        <v>49</v>
      </c>
      <c r="L190" t="s">
        <v>50</v>
      </c>
      <c r="M190">
        <v>0</v>
      </c>
      <c r="N190" t="s">
        <v>51</v>
      </c>
      <c r="O190">
        <v>1</v>
      </c>
      <c r="P190" t="s">
        <v>52</v>
      </c>
      <c r="Q190" s="2">
        <v>0.44791666666666669</v>
      </c>
      <c r="R190">
        <f>-0.0005753178*3600</f>
        <v>-2.0711440800000003</v>
      </c>
      <c r="S190">
        <f>0.0003324347*3600</f>
        <v>1.1967649200000001</v>
      </c>
    </row>
    <row r="191" spans="1:19" x14ac:dyDescent="0.3">
      <c r="A191" t="s">
        <v>56</v>
      </c>
      <c r="B191" t="s">
        <v>64</v>
      </c>
      <c r="C191">
        <v>108.910389</v>
      </c>
      <c r="D191">
        <v>299.64050200000003</v>
      </c>
      <c r="E191">
        <v>104.5044</v>
      </c>
      <c r="F191">
        <v>104.4834</v>
      </c>
      <c r="G191">
        <v>0.24</v>
      </c>
      <c r="H191">
        <v>0.24099999999999999</v>
      </c>
      <c r="J191" t="s">
        <v>0</v>
      </c>
      <c r="K191" t="s">
        <v>49</v>
      </c>
      <c r="L191" t="s">
        <v>50</v>
      </c>
      <c r="M191">
        <v>0</v>
      </c>
      <c r="N191" t="s">
        <v>51</v>
      </c>
      <c r="O191">
        <v>1</v>
      </c>
      <c r="P191" t="s">
        <v>52</v>
      </c>
      <c r="Q191" s="2">
        <v>0.44861111111111113</v>
      </c>
      <c r="R191">
        <f>-0.000598697*3600</f>
        <v>-2.1553092</v>
      </c>
      <c r="S191">
        <f>0.0003466194*3600</f>
        <v>1.2478298400000001</v>
      </c>
    </row>
    <row r="192" spans="1:19" x14ac:dyDescent="0.3">
      <c r="A192" t="s">
        <v>56</v>
      </c>
      <c r="B192" t="s">
        <v>64</v>
      </c>
      <c r="C192">
        <v>308.90861799999999</v>
      </c>
      <c r="D192">
        <v>100.359998</v>
      </c>
      <c r="E192">
        <v>104.50449999999999</v>
      </c>
      <c r="F192">
        <v>104.48350000000001</v>
      </c>
      <c r="G192">
        <v>0.24</v>
      </c>
      <c r="H192">
        <v>0.24099999999999999</v>
      </c>
      <c r="J192" t="s">
        <v>0</v>
      </c>
      <c r="K192" t="s">
        <v>49</v>
      </c>
      <c r="L192" t="s">
        <v>50</v>
      </c>
      <c r="M192">
        <v>0</v>
      </c>
      <c r="N192" t="s">
        <v>51</v>
      </c>
      <c r="O192">
        <v>1</v>
      </c>
      <c r="P192" t="s">
        <v>52</v>
      </c>
      <c r="Q192" s="2">
        <v>0.44861111111111113</v>
      </c>
      <c r="R192">
        <f>0.0000482792*3600</f>
        <v>0.17380511999999998</v>
      </c>
      <c r="S192">
        <f>0.0005155544*3600</f>
        <v>1.8559958400000001</v>
      </c>
    </row>
    <row r="193" spans="1:19" x14ac:dyDescent="0.3">
      <c r="A193" t="s">
        <v>56</v>
      </c>
      <c r="B193" t="s">
        <v>64</v>
      </c>
      <c r="C193">
        <v>108.910428</v>
      </c>
      <c r="D193">
        <v>299.64058899999998</v>
      </c>
      <c r="E193">
        <v>104.5043</v>
      </c>
      <c r="F193">
        <v>104.4833</v>
      </c>
      <c r="G193">
        <v>0.24</v>
      </c>
      <c r="H193">
        <v>0.24099999999999999</v>
      </c>
      <c r="J193" t="s">
        <v>0</v>
      </c>
      <c r="K193" t="s">
        <v>49</v>
      </c>
      <c r="L193" t="s">
        <v>50</v>
      </c>
      <c r="M193">
        <v>0</v>
      </c>
      <c r="N193" t="s">
        <v>51</v>
      </c>
      <c r="O193">
        <v>1</v>
      </c>
      <c r="P193" t="s">
        <v>52</v>
      </c>
      <c r="Q193" s="2">
        <v>0.44861111111111113</v>
      </c>
      <c r="R193">
        <f>0.0000276072*3600</f>
        <v>9.9385920000000003E-2</v>
      </c>
      <c r="S193">
        <f>0.0004391993*3600</f>
        <v>1.5811174799999999</v>
      </c>
    </row>
    <row r="194" spans="1:19" x14ac:dyDescent="0.3">
      <c r="A194" t="s">
        <v>56</v>
      </c>
      <c r="B194" t="s">
        <v>55</v>
      </c>
      <c r="C194">
        <v>124.257707</v>
      </c>
      <c r="D194">
        <v>99.950889000000004</v>
      </c>
      <c r="E194">
        <v>120.946</v>
      </c>
      <c r="F194">
        <v>120.9235</v>
      </c>
      <c r="G194">
        <v>0.24</v>
      </c>
      <c r="H194">
        <v>0.23799999999999999</v>
      </c>
      <c r="J194" t="s">
        <v>0</v>
      </c>
      <c r="K194" t="s">
        <v>49</v>
      </c>
      <c r="L194" t="s">
        <v>50</v>
      </c>
      <c r="M194">
        <v>0</v>
      </c>
      <c r="N194" t="s">
        <v>51</v>
      </c>
      <c r="O194">
        <v>1</v>
      </c>
      <c r="P194" t="s">
        <v>52</v>
      </c>
      <c r="Q194" s="2">
        <v>0.44861111111111113</v>
      </c>
      <c r="R194">
        <f>0.0000634496*3600</f>
        <v>0.22841855999999999</v>
      </c>
      <c r="S194">
        <f>0.0003939506*3600</f>
        <v>1.41822216</v>
      </c>
    </row>
    <row r="195" spans="1:19" x14ac:dyDescent="0.3">
      <c r="A195" t="s">
        <v>56</v>
      </c>
      <c r="B195" t="s">
        <v>55</v>
      </c>
      <c r="C195">
        <v>324.25889699999999</v>
      </c>
      <c r="D195">
        <v>300.05002200000001</v>
      </c>
      <c r="E195">
        <v>120.94580000000001</v>
      </c>
      <c r="F195">
        <v>120.9233</v>
      </c>
      <c r="G195">
        <v>0.24</v>
      </c>
      <c r="H195">
        <v>0.23799999999999999</v>
      </c>
      <c r="J195" t="s">
        <v>0</v>
      </c>
      <c r="K195" t="s">
        <v>49</v>
      </c>
      <c r="L195" t="s">
        <v>50</v>
      </c>
      <c r="M195">
        <v>0</v>
      </c>
      <c r="N195" t="s">
        <v>51</v>
      </c>
      <c r="O195">
        <v>1</v>
      </c>
      <c r="P195" t="s">
        <v>52</v>
      </c>
      <c r="Q195" s="2">
        <v>0.44861111111111113</v>
      </c>
      <c r="R195">
        <f>-0.0005297648*3600</f>
        <v>-1.90715328</v>
      </c>
      <c r="S195">
        <f>0.000521555*3600</f>
        <v>1.8775980000000001</v>
      </c>
    </row>
    <row r="196" spans="1:19" x14ac:dyDescent="0.3">
      <c r="A196" t="s">
        <v>56</v>
      </c>
      <c r="B196" t="s">
        <v>55</v>
      </c>
      <c r="C196">
        <v>124.257024</v>
      </c>
      <c r="D196">
        <v>99.951599000000002</v>
      </c>
      <c r="E196">
        <v>120.94589999999999</v>
      </c>
      <c r="F196">
        <v>120.9234</v>
      </c>
      <c r="G196">
        <v>0.24</v>
      </c>
      <c r="H196">
        <v>0.23799999999999999</v>
      </c>
      <c r="J196" t="s">
        <v>0</v>
      </c>
      <c r="K196" t="s">
        <v>49</v>
      </c>
      <c r="L196" t="s">
        <v>50</v>
      </c>
      <c r="M196">
        <v>0</v>
      </c>
      <c r="N196" t="s">
        <v>51</v>
      </c>
      <c r="O196">
        <v>1</v>
      </c>
      <c r="P196" t="s">
        <v>52</v>
      </c>
      <c r="Q196" s="2">
        <v>0.44861111111111113</v>
      </c>
      <c r="R196">
        <f>-0.0004532272*3600</f>
        <v>-1.6316179200000001</v>
      </c>
      <c r="S196">
        <f>0.0006960861*3600</f>
        <v>2.5059099599999999</v>
      </c>
    </row>
    <row r="197" spans="1:19" x14ac:dyDescent="0.3">
      <c r="A197" t="s">
        <v>56</v>
      </c>
      <c r="B197" t="s">
        <v>55</v>
      </c>
      <c r="C197">
        <v>324.25841000000003</v>
      </c>
      <c r="D197">
        <v>300.05007000000001</v>
      </c>
      <c r="E197">
        <v>120.9457</v>
      </c>
      <c r="F197">
        <v>120.92319999999999</v>
      </c>
      <c r="G197">
        <v>0.24</v>
      </c>
      <c r="H197">
        <v>0.23799999999999999</v>
      </c>
      <c r="J197" t="s">
        <v>0</v>
      </c>
      <c r="K197" t="s">
        <v>49</v>
      </c>
      <c r="L197" t="s">
        <v>50</v>
      </c>
      <c r="M197">
        <v>0</v>
      </c>
      <c r="N197" t="s">
        <v>51</v>
      </c>
      <c r="O197">
        <v>1</v>
      </c>
      <c r="P197" t="s">
        <v>52</v>
      </c>
      <c r="Q197" s="2">
        <v>0.44861111111111113</v>
      </c>
      <c r="R197">
        <f>-0.0005122938*3600</f>
        <v>-1.8442576799999999</v>
      </c>
      <c r="S197">
        <f>0.0005641901*3600</f>
        <v>2.0310843599999999</v>
      </c>
    </row>
    <row r="198" spans="1:19" x14ac:dyDescent="0.3">
      <c r="A198" t="s">
        <v>56</v>
      </c>
      <c r="B198" t="s">
        <v>55</v>
      </c>
      <c r="C198">
        <v>124.25702099999999</v>
      </c>
      <c r="D198">
        <v>99.951306000000002</v>
      </c>
      <c r="E198">
        <v>120.946</v>
      </c>
      <c r="F198">
        <v>120.9235</v>
      </c>
      <c r="G198">
        <v>0.24</v>
      </c>
      <c r="H198">
        <v>0.23799999999999999</v>
      </c>
      <c r="J198" t="s">
        <v>0</v>
      </c>
      <c r="K198" t="s">
        <v>49</v>
      </c>
      <c r="L198" t="s">
        <v>50</v>
      </c>
      <c r="M198">
        <v>0</v>
      </c>
      <c r="N198" t="s">
        <v>51</v>
      </c>
      <c r="O198">
        <v>1</v>
      </c>
      <c r="P198" t="s">
        <v>52</v>
      </c>
      <c r="Q198" s="2">
        <v>0.44861111111111113</v>
      </c>
      <c r="R198">
        <f>0.0001764108*3600</f>
        <v>0.63507888000000001</v>
      </c>
      <c r="S198">
        <f>0.0005070306*3600</f>
        <v>1.8253101599999999</v>
      </c>
    </row>
    <row r="199" spans="1:19" x14ac:dyDescent="0.3">
      <c r="A199" t="s">
        <v>56</v>
      </c>
      <c r="B199" t="s">
        <v>55</v>
      </c>
      <c r="C199">
        <v>324.25849599999998</v>
      </c>
      <c r="D199">
        <v>300.05010900000002</v>
      </c>
      <c r="E199">
        <v>120.94589999999999</v>
      </c>
      <c r="F199">
        <v>120.9234</v>
      </c>
      <c r="G199">
        <v>0.24</v>
      </c>
      <c r="H199">
        <v>0.23799999999999999</v>
      </c>
      <c r="J199" t="s">
        <v>0</v>
      </c>
      <c r="K199" t="s">
        <v>49</v>
      </c>
      <c r="L199" t="s">
        <v>50</v>
      </c>
      <c r="M199">
        <v>0</v>
      </c>
      <c r="N199" t="s">
        <v>51</v>
      </c>
      <c r="O199">
        <v>1</v>
      </c>
      <c r="P199" t="s">
        <v>52</v>
      </c>
      <c r="Q199" s="2">
        <v>0.44930555555555557</v>
      </c>
      <c r="R199">
        <f>0.0000992461*3600</f>
        <v>0.35728596000000001</v>
      </c>
      <c r="S199">
        <f>0.0003355833*3600</f>
        <v>1.20809988</v>
      </c>
    </row>
    <row r="200" spans="1:19" x14ac:dyDescent="0.3">
      <c r="A200" t="s">
        <v>56</v>
      </c>
      <c r="B200" t="s">
        <v>55</v>
      </c>
      <c r="C200">
        <v>124.256861</v>
      </c>
      <c r="D200">
        <v>99.951243000000005</v>
      </c>
      <c r="E200">
        <v>120.94589999999999</v>
      </c>
      <c r="F200">
        <v>120.9234</v>
      </c>
      <c r="G200">
        <v>0.24</v>
      </c>
      <c r="H200">
        <v>0.23799999999999999</v>
      </c>
      <c r="J200" t="s">
        <v>0</v>
      </c>
      <c r="K200" t="s">
        <v>49</v>
      </c>
      <c r="L200" t="s">
        <v>50</v>
      </c>
      <c r="M200">
        <v>0</v>
      </c>
      <c r="N200" t="s">
        <v>51</v>
      </c>
      <c r="O200">
        <v>1</v>
      </c>
      <c r="P200" t="s">
        <v>52</v>
      </c>
      <c r="Q200" s="2">
        <v>0.44930555555555557</v>
      </c>
      <c r="R200">
        <f>0.0001497548*3600</f>
        <v>0.53911727999999992</v>
      </c>
      <c r="S200">
        <f>0.0003374493*3600</f>
        <v>1.21481748</v>
      </c>
    </row>
    <row r="201" spans="1:19" x14ac:dyDescent="0.3">
      <c r="A201" t="s">
        <v>56</v>
      </c>
      <c r="B201" t="s">
        <v>55</v>
      </c>
      <c r="C201">
        <v>324.25879400000002</v>
      </c>
      <c r="D201">
        <v>300.05011200000001</v>
      </c>
      <c r="E201">
        <v>120.94589999999999</v>
      </c>
      <c r="F201">
        <v>120.9234</v>
      </c>
      <c r="G201">
        <v>0.24</v>
      </c>
      <c r="H201">
        <v>0.23799999999999999</v>
      </c>
      <c r="J201" t="s">
        <v>0</v>
      </c>
      <c r="K201" t="s">
        <v>49</v>
      </c>
      <c r="L201" t="s">
        <v>50</v>
      </c>
      <c r="M201">
        <v>0</v>
      </c>
      <c r="N201" t="s">
        <v>51</v>
      </c>
      <c r="O201">
        <v>1</v>
      </c>
      <c r="P201" t="s">
        <v>52</v>
      </c>
      <c r="Q201" s="2">
        <v>0.44930555555555557</v>
      </c>
      <c r="R201">
        <f>-0.0001991239*3600</f>
        <v>-0.71684604000000007</v>
      </c>
      <c r="S201">
        <f>-0.0002142557*3600</f>
        <v>-0.77132051999999995</v>
      </c>
    </row>
    <row r="202" spans="1:19" x14ac:dyDescent="0.3">
      <c r="A202" t="s">
        <v>56</v>
      </c>
      <c r="B202" t="s">
        <v>55</v>
      </c>
      <c r="C202">
        <v>124.257441</v>
      </c>
      <c r="D202">
        <v>99.951172</v>
      </c>
      <c r="E202">
        <v>120.9461</v>
      </c>
      <c r="F202">
        <v>120.92359999999999</v>
      </c>
      <c r="G202">
        <v>0.24</v>
      </c>
      <c r="H202">
        <v>0.23799999999999999</v>
      </c>
      <c r="J202" t="s">
        <v>0</v>
      </c>
      <c r="K202" t="s">
        <v>49</v>
      </c>
      <c r="L202" t="s">
        <v>50</v>
      </c>
      <c r="M202">
        <v>0</v>
      </c>
      <c r="N202" t="s">
        <v>51</v>
      </c>
      <c r="O202">
        <v>1</v>
      </c>
      <c r="P202" t="s">
        <v>52</v>
      </c>
      <c r="Q202" s="2">
        <v>0.44930555555555557</v>
      </c>
      <c r="R202">
        <f>-0.0001918938*3600</f>
        <v>-0.69081767999999999</v>
      </c>
      <c r="S202">
        <f>-0.000259026*3600</f>
        <v>-0.93249359999999992</v>
      </c>
    </row>
    <row r="203" spans="1:19" x14ac:dyDescent="0.3">
      <c r="A203" t="s">
        <v>56</v>
      </c>
      <c r="B203" t="s">
        <v>55</v>
      </c>
      <c r="C203">
        <v>324.25886200000002</v>
      </c>
      <c r="D203">
        <v>300.05025699999999</v>
      </c>
      <c r="E203">
        <v>120.9457</v>
      </c>
      <c r="F203">
        <v>120.92319999999999</v>
      </c>
      <c r="G203">
        <v>0.24</v>
      </c>
      <c r="H203">
        <v>0.23799999999999999</v>
      </c>
      <c r="J203" t="s">
        <v>0</v>
      </c>
      <c r="K203" t="s">
        <v>49</v>
      </c>
      <c r="L203" t="s">
        <v>50</v>
      </c>
      <c r="M203">
        <v>0</v>
      </c>
      <c r="N203" t="s">
        <v>51</v>
      </c>
      <c r="O203">
        <v>1</v>
      </c>
      <c r="P203" t="s">
        <v>52</v>
      </c>
      <c r="Q203" s="2">
        <v>0.44930555555555557</v>
      </c>
      <c r="R203">
        <f>-0.0002082781*3600</f>
        <v>-0.74980116000000008</v>
      </c>
      <c r="S203">
        <f>-0.0002941729*3600</f>
        <v>-1.0590224400000001</v>
      </c>
    </row>
    <row r="204" spans="1:19" x14ac:dyDescent="0.3">
      <c r="Q204" s="2"/>
    </row>
    <row r="205" spans="1:19" x14ac:dyDescent="0.3">
      <c r="A205" t="s">
        <v>0</v>
      </c>
      <c r="B205" t="s">
        <v>39</v>
      </c>
      <c r="C205" t="s">
        <v>40</v>
      </c>
      <c r="D205" t="s">
        <v>41</v>
      </c>
      <c r="E205">
        <v>3</v>
      </c>
    </row>
    <row r="206" spans="1:19" x14ac:dyDescent="0.3">
      <c r="A206" t="s">
        <v>0</v>
      </c>
      <c r="B206" t="s">
        <v>42</v>
      </c>
      <c r="C206" t="s">
        <v>43</v>
      </c>
      <c r="D206">
        <v>-186</v>
      </c>
    </row>
    <row r="207" spans="1:19" x14ac:dyDescent="0.3">
      <c r="A207" t="s">
        <v>0</v>
      </c>
      <c r="B207" t="s">
        <v>42</v>
      </c>
      <c r="C207" t="s">
        <v>44</v>
      </c>
      <c r="D207" t="s">
        <v>43</v>
      </c>
      <c r="E207">
        <v>0.99981413460000002</v>
      </c>
    </row>
    <row r="211" spans="1:19" x14ac:dyDescent="0.3">
      <c r="A211" t="s">
        <v>45</v>
      </c>
      <c r="B211" t="s">
        <v>61</v>
      </c>
    </row>
    <row r="212" spans="1:19" x14ac:dyDescent="0.3">
      <c r="A212" t="s">
        <v>47</v>
      </c>
      <c r="B212" t="s">
        <v>57</v>
      </c>
      <c r="C212">
        <v>110.83073</v>
      </c>
      <c r="D212">
        <v>99.830634000000003</v>
      </c>
      <c r="E212">
        <v>72.281499999999994</v>
      </c>
      <c r="F212">
        <v>72.267799999999994</v>
      </c>
      <c r="G212">
        <v>0.24099999999999999</v>
      </c>
      <c r="H212">
        <v>0.23799999999999999</v>
      </c>
      <c r="J212" t="s">
        <v>0</v>
      </c>
      <c r="K212" t="s">
        <v>49</v>
      </c>
      <c r="L212" t="s">
        <v>50</v>
      </c>
      <c r="M212">
        <v>0</v>
      </c>
      <c r="N212" t="s">
        <v>51</v>
      </c>
      <c r="O212">
        <v>1</v>
      </c>
      <c r="P212" t="s">
        <v>52</v>
      </c>
      <c r="Q212" s="2">
        <v>0.45277777777777778</v>
      </c>
      <c r="R212">
        <f>-0.0000983484*3600</f>
        <v>-0.35405424000000002</v>
      </c>
      <c r="S212">
        <f>0.0001996428*3600</f>
        <v>0.71871408000000003</v>
      </c>
    </row>
    <row r="213" spans="1:19" x14ac:dyDescent="0.3">
      <c r="A213" t="s">
        <v>28</v>
      </c>
      <c r="B213">
        <v>18</v>
      </c>
      <c r="C213" t="s">
        <v>29</v>
      </c>
      <c r="D213" s="3">
        <v>0.6</v>
      </c>
      <c r="E213" t="s">
        <v>30</v>
      </c>
      <c r="F213" t="s">
        <v>58</v>
      </c>
      <c r="G213" t="s">
        <v>32</v>
      </c>
      <c r="H213" t="s">
        <v>59</v>
      </c>
    </row>
    <row r="214" spans="1:19" x14ac:dyDescent="0.3">
      <c r="A214" t="s">
        <v>34</v>
      </c>
      <c r="B214" t="s">
        <v>35</v>
      </c>
      <c r="C214" t="s">
        <v>34</v>
      </c>
      <c r="D214" t="s">
        <v>65</v>
      </c>
    </row>
    <row r="215" spans="1:19" x14ac:dyDescent="0.3">
      <c r="A215" t="s">
        <v>37</v>
      </c>
      <c r="B215" t="s">
        <v>38</v>
      </c>
      <c r="C215">
        <v>0.13</v>
      </c>
    </row>
    <row r="217" spans="1:19" x14ac:dyDescent="0.3">
      <c r="A217" t="s">
        <v>61</v>
      </c>
      <c r="B217" t="s">
        <v>57</v>
      </c>
      <c r="C217">
        <v>110.830054</v>
      </c>
      <c r="D217">
        <v>99.830791000000005</v>
      </c>
      <c r="E217">
        <v>72.281700000000001</v>
      </c>
      <c r="F217">
        <v>72.268000000000001</v>
      </c>
      <c r="G217">
        <v>0.24099999999999999</v>
      </c>
      <c r="H217">
        <v>0.23799999999999999</v>
      </c>
      <c r="J217" t="s">
        <v>0</v>
      </c>
      <c r="K217" t="s">
        <v>49</v>
      </c>
      <c r="L217" t="s">
        <v>50</v>
      </c>
      <c r="M217">
        <v>0</v>
      </c>
      <c r="N217" t="s">
        <v>51</v>
      </c>
      <c r="O217">
        <v>1</v>
      </c>
      <c r="P217" t="s">
        <v>52</v>
      </c>
      <c r="Q217" s="2">
        <v>0.45277777777777778</v>
      </c>
      <c r="R217">
        <f>-0.0004047962*3600</f>
        <v>-1.45726632</v>
      </c>
      <c r="S217">
        <f>0.0000844002*3600</f>
        <v>0.30384072000000001</v>
      </c>
    </row>
    <row r="218" spans="1:19" x14ac:dyDescent="0.3">
      <c r="A218" t="s">
        <v>61</v>
      </c>
      <c r="B218" t="s">
        <v>57</v>
      </c>
      <c r="C218">
        <v>310.83056599999998</v>
      </c>
      <c r="D218">
        <v>300.16885100000002</v>
      </c>
      <c r="E218">
        <v>72.281599999999997</v>
      </c>
      <c r="F218">
        <v>72.267899999999997</v>
      </c>
      <c r="G218">
        <v>0.24099999999999999</v>
      </c>
      <c r="H218">
        <v>0.23799999999999999</v>
      </c>
      <c r="J218" t="s">
        <v>0</v>
      </c>
      <c r="K218" t="s">
        <v>49</v>
      </c>
      <c r="L218" t="s">
        <v>50</v>
      </c>
      <c r="M218">
        <v>0</v>
      </c>
      <c r="N218" t="s">
        <v>51</v>
      </c>
      <c r="O218">
        <v>1</v>
      </c>
      <c r="P218" t="s">
        <v>52</v>
      </c>
      <c r="Q218" s="2">
        <v>0.45347222222222222</v>
      </c>
      <c r="R218">
        <f>-0.0003241221*3600</f>
        <v>-1.1668395600000001</v>
      </c>
      <c r="S218">
        <f>0.0001419562*3600</f>
        <v>0.51104232000000005</v>
      </c>
    </row>
    <row r="219" spans="1:19" x14ac:dyDescent="0.3">
      <c r="A219" t="s">
        <v>61</v>
      </c>
      <c r="B219" t="s">
        <v>57</v>
      </c>
      <c r="C219">
        <v>110.830071</v>
      </c>
      <c r="D219">
        <v>99.831171999999995</v>
      </c>
      <c r="E219">
        <v>72.281700000000001</v>
      </c>
      <c r="F219">
        <v>72.268000000000001</v>
      </c>
      <c r="G219">
        <v>0.24099999999999999</v>
      </c>
      <c r="H219">
        <v>0.23799999999999999</v>
      </c>
      <c r="J219" t="s">
        <v>0</v>
      </c>
      <c r="K219" t="s">
        <v>49</v>
      </c>
      <c r="L219" t="s">
        <v>50</v>
      </c>
      <c r="M219">
        <v>0</v>
      </c>
      <c r="N219" t="s">
        <v>51</v>
      </c>
      <c r="O219">
        <v>1</v>
      </c>
      <c r="P219" t="s">
        <v>52</v>
      </c>
      <c r="Q219" s="2">
        <v>0.45416666666666666</v>
      </c>
      <c r="R219">
        <f>0.0003954137*3600</f>
        <v>1.4234893200000001</v>
      </c>
      <c r="S219">
        <f>0.0010089794*3600</f>
        <v>3.63232584</v>
      </c>
    </row>
    <row r="220" spans="1:19" x14ac:dyDescent="0.3">
      <c r="A220" t="s">
        <v>61</v>
      </c>
      <c r="B220" t="s">
        <v>57</v>
      </c>
      <c r="C220">
        <v>310.83023900000001</v>
      </c>
      <c r="D220">
        <v>300.169308</v>
      </c>
      <c r="E220">
        <v>72.281700000000001</v>
      </c>
      <c r="F220">
        <v>72.268000000000001</v>
      </c>
      <c r="G220">
        <v>0.24099999999999999</v>
      </c>
      <c r="H220">
        <v>0.23799999999999999</v>
      </c>
      <c r="J220" t="s">
        <v>0</v>
      </c>
      <c r="K220" t="s">
        <v>49</v>
      </c>
      <c r="L220" t="s">
        <v>50</v>
      </c>
      <c r="M220">
        <v>0</v>
      </c>
      <c r="N220" t="s">
        <v>51</v>
      </c>
      <c r="O220">
        <v>1</v>
      </c>
      <c r="P220" t="s">
        <v>52</v>
      </c>
      <c r="Q220" s="2">
        <v>0.45416666666666666</v>
      </c>
      <c r="R220">
        <f>0.0003723049*3600</f>
        <v>1.34029764</v>
      </c>
      <c r="S220">
        <f>0.0010598445*3600</f>
        <v>3.8154402000000003</v>
      </c>
    </row>
    <row r="221" spans="1:19" x14ac:dyDescent="0.3">
      <c r="A221" t="s">
        <v>61</v>
      </c>
      <c r="B221" t="s">
        <v>57</v>
      </c>
      <c r="C221">
        <v>110.83027199999999</v>
      </c>
      <c r="D221">
        <v>99.830538000000004</v>
      </c>
      <c r="E221">
        <v>72.281899999999993</v>
      </c>
      <c r="F221">
        <v>72.268199999999993</v>
      </c>
      <c r="G221">
        <v>0.24099999999999999</v>
      </c>
      <c r="H221">
        <v>0.23799999999999999</v>
      </c>
      <c r="J221" t="s">
        <v>0</v>
      </c>
      <c r="K221" t="s">
        <v>49</v>
      </c>
      <c r="L221" t="s">
        <v>50</v>
      </c>
      <c r="M221">
        <v>0</v>
      </c>
      <c r="N221" t="s">
        <v>51</v>
      </c>
      <c r="O221">
        <v>1</v>
      </c>
      <c r="P221" t="s">
        <v>52</v>
      </c>
      <c r="Q221" s="2">
        <v>0.45416666666666666</v>
      </c>
      <c r="R221">
        <f>-0.0002685806*3600</f>
        <v>-0.96689016000000005</v>
      </c>
      <c r="S221">
        <f>0.0002332639*3600</f>
        <v>0.83975003999999998</v>
      </c>
    </row>
    <row r="222" spans="1:19" x14ac:dyDescent="0.3">
      <c r="A222" t="s">
        <v>61</v>
      </c>
      <c r="B222" t="s">
        <v>57</v>
      </c>
      <c r="C222">
        <v>310.83090900000002</v>
      </c>
      <c r="D222">
        <v>300.16901300000001</v>
      </c>
      <c r="E222">
        <v>72.281599999999997</v>
      </c>
      <c r="F222">
        <v>72.267899999999997</v>
      </c>
      <c r="G222">
        <v>0.24099999999999999</v>
      </c>
      <c r="H222">
        <v>0.23799999999999999</v>
      </c>
      <c r="J222" t="s">
        <v>0</v>
      </c>
      <c r="K222" t="s">
        <v>49</v>
      </c>
      <c r="L222" t="s">
        <v>50</v>
      </c>
      <c r="M222">
        <v>0</v>
      </c>
      <c r="N222" t="s">
        <v>51</v>
      </c>
      <c r="O222">
        <v>1</v>
      </c>
      <c r="P222" t="s">
        <v>52</v>
      </c>
      <c r="Q222" s="2">
        <v>0.45416666666666666</v>
      </c>
      <c r="R222">
        <f>-0.00031366*3600</f>
        <v>-1.129176</v>
      </c>
      <c r="S222">
        <f>0.0000929383*3600</f>
        <v>0.33457787999999999</v>
      </c>
    </row>
    <row r="223" spans="1:19" x14ac:dyDescent="0.3">
      <c r="A223" t="s">
        <v>61</v>
      </c>
      <c r="B223" t="s">
        <v>57</v>
      </c>
      <c r="C223">
        <v>110.830213</v>
      </c>
      <c r="D223">
        <v>99.830755999999994</v>
      </c>
      <c r="E223">
        <v>72.281800000000004</v>
      </c>
      <c r="F223">
        <v>72.268100000000004</v>
      </c>
      <c r="G223">
        <v>0.24099999999999999</v>
      </c>
      <c r="H223">
        <v>0.23799999999999999</v>
      </c>
      <c r="J223" t="s">
        <v>0</v>
      </c>
      <c r="K223" t="s">
        <v>49</v>
      </c>
      <c r="L223" t="s">
        <v>50</v>
      </c>
      <c r="M223">
        <v>0</v>
      </c>
      <c r="N223" t="s">
        <v>51</v>
      </c>
      <c r="O223">
        <v>1</v>
      </c>
      <c r="P223" t="s">
        <v>52</v>
      </c>
      <c r="Q223" s="2">
        <v>0.4548611111111111</v>
      </c>
      <c r="R223">
        <f>0.000327082*3600</f>
        <v>1.1774952000000001</v>
      </c>
      <c r="S223">
        <f>0.0003161828*3600</f>
        <v>1.1382580799999999</v>
      </c>
    </row>
    <row r="224" spans="1:19" x14ac:dyDescent="0.3">
      <c r="A224" t="s">
        <v>61</v>
      </c>
      <c r="B224" t="s">
        <v>57</v>
      </c>
      <c r="C224">
        <v>310.83050100000003</v>
      </c>
      <c r="D224">
        <v>300.16923300000002</v>
      </c>
      <c r="E224">
        <v>72.281499999999994</v>
      </c>
      <c r="F224">
        <v>72.267799999999994</v>
      </c>
      <c r="G224">
        <v>0.24099999999999999</v>
      </c>
      <c r="H224">
        <v>0.23799999999999999</v>
      </c>
      <c r="J224" t="s">
        <v>0</v>
      </c>
      <c r="K224" t="s">
        <v>49</v>
      </c>
      <c r="L224" t="s">
        <v>50</v>
      </c>
      <c r="M224">
        <v>0</v>
      </c>
      <c r="N224" t="s">
        <v>51</v>
      </c>
      <c r="O224">
        <v>1</v>
      </c>
      <c r="P224" t="s">
        <v>52</v>
      </c>
      <c r="Q224" s="2">
        <v>0.4548611111111111</v>
      </c>
      <c r="R224">
        <f>0.000277533*3600</f>
        <v>0.99911879999999997</v>
      </c>
      <c r="S224">
        <f>0.0002798729*3600</f>
        <v>1.0075424399999999</v>
      </c>
    </row>
    <row r="225" spans="1:19" x14ac:dyDescent="0.3">
      <c r="A225" t="s">
        <v>61</v>
      </c>
      <c r="B225" t="s">
        <v>57</v>
      </c>
      <c r="C225">
        <v>110.829797</v>
      </c>
      <c r="D225">
        <v>99.830494999999999</v>
      </c>
      <c r="E225">
        <v>72.281700000000001</v>
      </c>
      <c r="F225">
        <v>72.268000000000001</v>
      </c>
      <c r="G225">
        <v>0.24099999999999999</v>
      </c>
      <c r="H225">
        <v>0.23799999999999999</v>
      </c>
      <c r="J225" t="s">
        <v>0</v>
      </c>
      <c r="K225" t="s">
        <v>49</v>
      </c>
      <c r="L225" t="s">
        <v>50</v>
      </c>
      <c r="M225">
        <v>0</v>
      </c>
      <c r="N225" t="s">
        <v>51</v>
      </c>
      <c r="O225">
        <v>1</v>
      </c>
      <c r="P225" t="s">
        <v>52</v>
      </c>
      <c r="Q225" s="2">
        <v>0.46249999999999997</v>
      </c>
      <c r="R225">
        <f>-0.0006855365*3600</f>
        <v>-2.4679313999999999</v>
      </c>
      <c r="S225">
        <f>0.0004218803*3600</f>
        <v>1.51876908</v>
      </c>
    </row>
    <row r="226" spans="1:19" x14ac:dyDescent="0.3">
      <c r="A226" t="s">
        <v>61</v>
      </c>
      <c r="B226" t="s">
        <v>57</v>
      </c>
      <c r="C226">
        <v>310.83099299999998</v>
      </c>
      <c r="D226">
        <v>300.16891199999998</v>
      </c>
      <c r="E226">
        <v>72.281700000000001</v>
      </c>
      <c r="F226">
        <v>72.268000000000001</v>
      </c>
      <c r="G226">
        <v>0.24099999999999999</v>
      </c>
      <c r="H226">
        <v>0.23799999999999999</v>
      </c>
      <c r="J226" t="s">
        <v>0</v>
      </c>
      <c r="K226" t="s">
        <v>49</v>
      </c>
      <c r="L226" t="s">
        <v>50</v>
      </c>
      <c r="M226">
        <v>0</v>
      </c>
      <c r="N226" t="s">
        <v>51</v>
      </c>
      <c r="O226">
        <v>1</v>
      </c>
      <c r="P226" t="s">
        <v>52</v>
      </c>
      <c r="Q226" s="2">
        <v>0.46249999999999997</v>
      </c>
      <c r="R226">
        <f>-0.0007600487*3600</f>
        <v>-2.7361753199999996</v>
      </c>
      <c r="S226">
        <f>0.0004743286*3600</f>
        <v>1.7075829599999999</v>
      </c>
    </row>
    <row r="227" spans="1:19" x14ac:dyDescent="0.3">
      <c r="A227" t="s">
        <v>61</v>
      </c>
      <c r="B227" t="s">
        <v>56</v>
      </c>
      <c r="C227">
        <v>109.12157000000001</v>
      </c>
      <c r="D227">
        <v>99.574828999999994</v>
      </c>
      <c r="E227">
        <v>60.0017</v>
      </c>
      <c r="F227">
        <v>59.989199999999997</v>
      </c>
      <c r="G227">
        <v>0.24099999999999999</v>
      </c>
      <c r="H227">
        <v>0.24</v>
      </c>
      <c r="J227" t="s">
        <v>0</v>
      </c>
      <c r="K227" t="s">
        <v>49</v>
      </c>
      <c r="L227" t="s">
        <v>50</v>
      </c>
      <c r="M227">
        <v>0</v>
      </c>
      <c r="N227" t="s">
        <v>51</v>
      </c>
      <c r="O227">
        <v>1</v>
      </c>
      <c r="P227" t="s">
        <v>52</v>
      </c>
      <c r="Q227" s="2">
        <v>0.46249999999999997</v>
      </c>
      <c r="R227">
        <f>0.0004369622*3600</f>
        <v>1.5730639200000001</v>
      </c>
      <c r="S227">
        <f>0.0005489323*3600</f>
        <v>1.9761562800000001</v>
      </c>
    </row>
    <row r="228" spans="1:19" x14ac:dyDescent="0.3">
      <c r="A228" t="s">
        <v>61</v>
      </c>
      <c r="B228" t="s">
        <v>56</v>
      </c>
      <c r="C228">
        <v>309.121624</v>
      </c>
      <c r="D228">
        <v>300.424691</v>
      </c>
      <c r="E228">
        <v>60.001300000000001</v>
      </c>
      <c r="F228">
        <v>59.988799999999998</v>
      </c>
      <c r="G228">
        <v>0.24099999999999999</v>
      </c>
      <c r="H228">
        <v>0.24</v>
      </c>
      <c r="J228" t="s">
        <v>0</v>
      </c>
      <c r="K228" t="s">
        <v>49</v>
      </c>
      <c r="L228" t="s">
        <v>50</v>
      </c>
      <c r="M228">
        <v>0</v>
      </c>
      <c r="N228" t="s">
        <v>51</v>
      </c>
      <c r="O228">
        <v>1</v>
      </c>
      <c r="P228" t="s">
        <v>52</v>
      </c>
      <c r="Q228" s="2">
        <v>0.46249999999999997</v>
      </c>
      <c r="R228">
        <f>0.0003095103*3600</f>
        <v>1.1142370799999999</v>
      </c>
      <c r="S228">
        <f>0.0005297915*3600</f>
        <v>1.9072494</v>
      </c>
    </row>
    <row r="229" spans="1:19" x14ac:dyDescent="0.3">
      <c r="A229" t="s">
        <v>61</v>
      </c>
      <c r="B229" t="s">
        <v>56</v>
      </c>
      <c r="C229">
        <v>109.120867</v>
      </c>
      <c r="D229">
        <v>99.575151000000005</v>
      </c>
      <c r="E229">
        <v>60.0017</v>
      </c>
      <c r="F229">
        <v>59.989199999999997</v>
      </c>
      <c r="G229">
        <v>0.24099999999999999</v>
      </c>
      <c r="H229">
        <v>0.24</v>
      </c>
      <c r="J229" t="s">
        <v>0</v>
      </c>
      <c r="K229" t="s">
        <v>49</v>
      </c>
      <c r="L229" t="s">
        <v>50</v>
      </c>
      <c r="M229">
        <v>0</v>
      </c>
      <c r="N229" t="s">
        <v>51</v>
      </c>
      <c r="O229">
        <v>1</v>
      </c>
      <c r="P229" t="s">
        <v>52</v>
      </c>
      <c r="Q229" s="2">
        <v>0.46249999999999997</v>
      </c>
      <c r="R229">
        <f>-0.0007264168*3600</f>
        <v>-2.6151004799999997</v>
      </c>
      <c r="S229">
        <f>0.000388952*3600</f>
        <v>1.4002272</v>
      </c>
    </row>
    <row r="230" spans="1:19" x14ac:dyDescent="0.3">
      <c r="A230" t="s">
        <v>61</v>
      </c>
      <c r="B230" t="s">
        <v>56</v>
      </c>
      <c r="C230">
        <v>309.12138800000002</v>
      </c>
      <c r="D230">
        <v>300.42488700000001</v>
      </c>
      <c r="E230">
        <v>60.0015</v>
      </c>
      <c r="F230">
        <v>59.988999999999997</v>
      </c>
      <c r="G230">
        <v>0.24099999999999999</v>
      </c>
      <c r="H230">
        <v>0.24</v>
      </c>
      <c r="J230" t="s">
        <v>0</v>
      </c>
      <c r="K230" t="s">
        <v>49</v>
      </c>
      <c r="L230" t="s">
        <v>50</v>
      </c>
      <c r="M230">
        <v>0</v>
      </c>
      <c r="N230" t="s">
        <v>51</v>
      </c>
      <c r="O230">
        <v>1</v>
      </c>
      <c r="P230" t="s">
        <v>52</v>
      </c>
      <c r="Q230" s="2">
        <v>0.46249999999999997</v>
      </c>
      <c r="R230">
        <f>-0.0007864447*3600</f>
        <v>-2.8312009200000001</v>
      </c>
      <c r="S230">
        <f>0.00036193*3600</f>
        <v>1.302948</v>
      </c>
    </row>
    <row r="231" spans="1:19" x14ac:dyDescent="0.3">
      <c r="A231" t="s">
        <v>61</v>
      </c>
      <c r="B231" t="s">
        <v>56</v>
      </c>
      <c r="C231">
        <v>109.120727</v>
      </c>
      <c r="D231">
        <v>99.574748999999997</v>
      </c>
      <c r="E231">
        <v>60.0017</v>
      </c>
      <c r="F231">
        <v>59.989199999999997</v>
      </c>
      <c r="G231">
        <v>0.24099999999999999</v>
      </c>
      <c r="H231">
        <v>0.24</v>
      </c>
      <c r="J231" t="s">
        <v>0</v>
      </c>
      <c r="K231" t="s">
        <v>49</v>
      </c>
      <c r="L231" t="s">
        <v>50</v>
      </c>
      <c r="M231">
        <v>0</v>
      </c>
      <c r="N231" t="s">
        <v>51</v>
      </c>
      <c r="O231">
        <v>1</v>
      </c>
      <c r="P231" t="s">
        <v>52</v>
      </c>
      <c r="Q231" s="2">
        <v>0.46249999999999997</v>
      </c>
      <c r="R231">
        <f>0.0005524143*3600</f>
        <v>1.98869148</v>
      </c>
      <c r="S231">
        <f>0.0009429039*3600</f>
        <v>3.3944540400000003</v>
      </c>
    </row>
    <row r="232" spans="1:19" x14ac:dyDescent="0.3">
      <c r="A232" t="s">
        <v>61</v>
      </c>
      <c r="B232" t="s">
        <v>56</v>
      </c>
      <c r="C232">
        <v>309.12151899999998</v>
      </c>
      <c r="D232">
        <v>300.42501399999998</v>
      </c>
      <c r="E232">
        <v>60.001399999999997</v>
      </c>
      <c r="F232">
        <v>59.988900000000001</v>
      </c>
      <c r="G232">
        <v>0.24099999999999999</v>
      </c>
      <c r="H232">
        <v>0.24</v>
      </c>
      <c r="J232" t="s">
        <v>0</v>
      </c>
      <c r="K232" t="s">
        <v>49</v>
      </c>
      <c r="L232" t="s">
        <v>50</v>
      </c>
      <c r="M232">
        <v>0</v>
      </c>
      <c r="N232" t="s">
        <v>51</v>
      </c>
      <c r="O232">
        <v>1</v>
      </c>
      <c r="P232" t="s">
        <v>52</v>
      </c>
      <c r="Q232" s="2">
        <v>0.46249999999999997</v>
      </c>
      <c r="R232">
        <f>0.0005228451*3600</f>
        <v>1.88224236</v>
      </c>
      <c r="S232">
        <f>0.0010335862*3600</f>
        <v>3.7209103200000002</v>
      </c>
    </row>
    <row r="233" spans="1:19" x14ac:dyDescent="0.3">
      <c r="A233" t="s">
        <v>61</v>
      </c>
      <c r="B233" t="s">
        <v>56</v>
      </c>
      <c r="C233">
        <v>109.120805</v>
      </c>
      <c r="D233">
        <v>99.574804999999998</v>
      </c>
      <c r="E233">
        <v>60.001600000000003</v>
      </c>
      <c r="F233">
        <v>59.989100000000001</v>
      </c>
      <c r="G233">
        <v>0.24099999999999999</v>
      </c>
      <c r="H233">
        <v>0.24</v>
      </c>
      <c r="J233" t="s">
        <v>0</v>
      </c>
      <c r="K233" t="s">
        <v>49</v>
      </c>
      <c r="L233" t="s">
        <v>50</v>
      </c>
      <c r="M233">
        <v>0</v>
      </c>
      <c r="N233" t="s">
        <v>51</v>
      </c>
      <c r="O233">
        <v>1</v>
      </c>
      <c r="P233" t="s">
        <v>52</v>
      </c>
      <c r="Q233" s="2">
        <v>0.46319444444444446</v>
      </c>
      <c r="R233">
        <f>-0.0002161777*3600</f>
        <v>-0.77823972000000008</v>
      </c>
      <c r="S233">
        <f>0.0000955579*3600</f>
        <v>0.34400844000000003</v>
      </c>
    </row>
    <row r="234" spans="1:19" x14ac:dyDescent="0.3">
      <c r="A234" t="s">
        <v>61</v>
      </c>
      <c r="B234" t="s">
        <v>56</v>
      </c>
      <c r="C234">
        <v>309.12144499999999</v>
      </c>
      <c r="D234">
        <v>300.42490400000003</v>
      </c>
      <c r="E234">
        <v>60.001399999999997</v>
      </c>
      <c r="F234">
        <v>59.988900000000001</v>
      </c>
      <c r="G234">
        <v>0.24099999999999999</v>
      </c>
      <c r="H234">
        <v>0.24</v>
      </c>
      <c r="J234" t="s">
        <v>0</v>
      </c>
      <c r="K234" t="s">
        <v>49</v>
      </c>
      <c r="L234" t="s">
        <v>50</v>
      </c>
      <c r="M234">
        <v>0</v>
      </c>
      <c r="N234" t="s">
        <v>51</v>
      </c>
      <c r="O234">
        <v>1</v>
      </c>
      <c r="P234" t="s">
        <v>52</v>
      </c>
      <c r="Q234" s="2">
        <v>0.46319444444444446</v>
      </c>
      <c r="R234">
        <f>-0.0002322227*3600</f>
        <v>-0.83600171999999995</v>
      </c>
      <c r="S234">
        <f>0.0002210014*3600</f>
        <v>0.79560503999999999</v>
      </c>
    </row>
    <row r="235" spans="1:19" x14ac:dyDescent="0.3">
      <c r="A235" t="s">
        <v>61</v>
      </c>
      <c r="B235" t="s">
        <v>56</v>
      </c>
      <c r="C235">
        <v>109.121291</v>
      </c>
      <c r="D235">
        <v>99.574382999999997</v>
      </c>
      <c r="E235">
        <v>60.0015</v>
      </c>
      <c r="F235">
        <v>59.988999999999997</v>
      </c>
      <c r="G235">
        <v>0.24099999999999999</v>
      </c>
      <c r="H235">
        <v>0.24</v>
      </c>
      <c r="J235" t="s">
        <v>0</v>
      </c>
      <c r="K235" t="s">
        <v>49</v>
      </c>
      <c r="L235" t="s">
        <v>50</v>
      </c>
      <c r="M235">
        <v>0</v>
      </c>
      <c r="N235" t="s">
        <v>51</v>
      </c>
      <c r="O235">
        <v>1</v>
      </c>
      <c r="P235" t="s">
        <v>52</v>
      </c>
      <c r="Q235" s="2">
        <v>0.46319444444444446</v>
      </c>
      <c r="R235">
        <f>0.0005230451*3600</f>
        <v>1.8829623600000001</v>
      </c>
      <c r="S235">
        <f>0.0010813593*3600</f>
        <v>3.8928934799999997</v>
      </c>
    </row>
    <row r="236" spans="1:19" x14ac:dyDescent="0.3">
      <c r="A236" t="s">
        <v>61</v>
      </c>
      <c r="B236" t="s">
        <v>56</v>
      </c>
      <c r="C236">
        <v>309.12167699999998</v>
      </c>
      <c r="D236">
        <v>300.42504300000002</v>
      </c>
      <c r="E236">
        <v>60.001399999999997</v>
      </c>
      <c r="F236">
        <v>59.988900000000001</v>
      </c>
      <c r="G236">
        <v>0.24099999999999999</v>
      </c>
      <c r="H236">
        <v>0.24</v>
      </c>
      <c r="J236" t="s">
        <v>0</v>
      </c>
      <c r="K236" t="s">
        <v>49</v>
      </c>
      <c r="L236" t="s">
        <v>50</v>
      </c>
      <c r="M236">
        <v>0</v>
      </c>
      <c r="N236" t="s">
        <v>51</v>
      </c>
      <c r="O236">
        <v>1</v>
      </c>
      <c r="P236" t="s">
        <v>52</v>
      </c>
      <c r="Q236" s="2">
        <v>0.46319444444444446</v>
      </c>
      <c r="R236">
        <f>0.0005806739*3600</f>
        <v>2.0904260399999997</v>
      </c>
      <c r="S236">
        <f>0.0010408793*3600</f>
        <v>3.7471654800000005</v>
      </c>
    </row>
    <row r="237" spans="1:19" x14ac:dyDescent="0.3">
      <c r="A237" t="s">
        <v>61</v>
      </c>
      <c r="B237" t="s">
        <v>63</v>
      </c>
      <c r="C237">
        <v>305.94194700000003</v>
      </c>
      <c r="D237">
        <v>100.294597</v>
      </c>
      <c r="E237">
        <v>32.5764</v>
      </c>
      <c r="F237">
        <v>32.57</v>
      </c>
      <c r="G237">
        <v>0.24099999999999999</v>
      </c>
      <c r="H237">
        <v>0.23499999999999999</v>
      </c>
      <c r="J237" t="s">
        <v>0</v>
      </c>
      <c r="K237" t="s">
        <v>49</v>
      </c>
      <c r="L237" t="s">
        <v>50</v>
      </c>
      <c r="M237">
        <v>0</v>
      </c>
      <c r="N237" t="s">
        <v>51</v>
      </c>
      <c r="O237">
        <v>1</v>
      </c>
      <c r="P237" t="s">
        <v>52</v>
      </c>
      <c r="Q237" s="2">
        <v>0.46319444444444446</v>
      </c>
      <c r="R237">
        <f>-0.0002731272*3600</f>
        <v>-0.9832579199999999</v>
      </c>
      <c r="S237">
        <f>0.0000979145*3600</f>
        <v>0.35249220000000003</v>
      </c>
    </row>
    <row r="238" spans="1:19" x14ac:dyDescent="0.3">
      <c r="A238" t="s">
        <v>61</v>
      </c>
      <c r="B238" t="s">
        <v>63</v>
      </c>
      <c r="C238">
        <v>105.94246</v>
      </c>
      <c r="D238">
        <v>299.70382999999998</v>
      </c>
      <c r="E238">
        <v>32.576300000000003</v>
      </c>
      <c r="F238">
        <v>32.569899999999997</v>
      </c>
      <c r="G238">
        <v>0.24099999999999999</v>
      </c>
      <c r="H238">
        <v>0.23499999999999999</v>
      </c>
      <c r="J238" t="s">
        <v>0</v>
      </c>
      <c r="K238" t="s">
        <v>49</v>
      </c>
      <c r="L238" t="s">
        <v>50</v>
      </c>
      <c r="M238">
        <v>0</v>
      </c>
      <c r="N238" t="s">
        <v>51</v>
      </c>
      <c r="O238">
        <v>1</v>
      </c>
      <c r="P238" t="s">
        <v>52</v>
      </c>
      <c r="Q238" s="2">
        <v>0.46319444444444446</v>
      </c>
      <c r="R238">
        <f>-0.0002780756*3600</f>
        <v>-1.0010721600000001</v>
      </c>
      <c r="S238">
        <f>0.0000611379*3600</f>
        <v>0.22009644</v>
      </c>
    </row>
    <row r="239" spans="1:19" x14ac:dyDescent="0.3">
      <c r="A239" t="s">
        <v>61</v>
      </c>
      <c r="B239" t="s">
        <v>63</v>
      </c>
      <c r="C239">
        <v>305.941956</v>
      </c>
      <c r="D239">
        <v>100.294719</v>
      </c>
      <c r="E239">
        <v>32.576300000000003</v>
      </c>
      <c r="F239">
        <v>32.569899999999997</v>
      </c>
      <c r="G239">
        <v>0.24099999999999999</v>
      </c>
      <c r="H239">
        <v>0.23499999999999999</v>
      </c>
      <c r="J239" t="s">
        <v>0</v>
      </c>
      <c r="K239" t="s">
        <v>49</v>
      </c>
      <c r="L239" t="s">
        <v>50</v>
      </c>
      <c r="M239">
        <v>0</v>
      </c>
      <c r="N239" t="s">
        <v>51</v>
      </c>
      <c r="O239">
        <v>1</v>
      </c>
      <c r="P239" t="s">
        <v>52</v>
      </c>
      <c r="Q239" s="2">
        <v>0.46388888888888885</v>
      </c>
      <c r="R239">
        <f>0.0002815323*3600</f>
        <v>1.0135162800000002</v>
      </c>
      <c r="S239">
        <f>0.0004569765*3600</f>
        <v>1.6451154000000001</v>
      </c>
    </row>
    <row r="240" spans="1:19" x14ac:dyDescent="0.3">
      <c r="A240" t="s">
        <v>61</v>
      </c>
      <c r="B240" t="s">
        <v>63</v>
      </c>
      <c r="C240">
        <v>105.942531</v>
      </c>
      <c r="D240">
        <v>299.704005</v>
      </c>
      <c r="E240">
        <v>32.5762</v>
      </c>
      <c r="F240">
        <v>32.569800000000001</v>
      </c>
      <c r="G240">
        <v>0.24099999999999999</v>
      </c>
      <c r="H240">
        <v>0.23499999999999999</v>
      </c>
      <c r="J240" t="s">
        <v>0</v>
      </c>
      <c r="K240" t="s">
        <v>49</v>
      </c>
      <c r="L240" t="s">
        <v>50</v>
      </c>
      <c r="M240">
        <v>0</v>
      </c>
      <c r="N240" t="s">
        <v>51</v>
      </c>
      <c r="O240">
        <v>1</v>
      </c>
      <c r="P240" t="s">
        <v>52</v>
      </c>
      <c r="Q240" s="2">
        <v>0.46388888888888885</v>
      </c>
      <c r="R240">
        <f>0.0002417324*3600</f>
        <v>0.87023664000000001</v>
      </c>
      <c r="S240">
        <f>0.0005537477*3600</f>
        <v>1.99349172</v>
      </c>
    </row>
    <row r="241" spans="1:19" x14ac:dyDescent="0.3">
      <c r="A241" t="s">
        <v>61</v>
      </c>
      <c r="B241" t="s">
        <v>63</v>
      </c>
      <c r="C241">
        <v>305.94175100000001</v>
      </c>
      <c r="D241">
        <v>100.294506</v>
      </c>
      <c r="E241">
        <v>32.5764</v>
      </c>
      <c r="F241">
        <v>32.57</v>
      </c>
      <c r="G241">
        <v>0.24099999999999999</v>
      </c>
      <c r="H241">
        <v>0.23499999999999999</v>
      </c>
      <c r="J241" t="s">
        <v>0</v>
      </c>
      <c r="K241" t="s">
        <v>49</v>
      </c>
      <c r="L241" t="s">
        <v>50</v>
      </c>
      <c r="M241">
        <v>0</v>
      </c>
      <c r="N241" t="s">
        <v>51</v>
      </c>
      <c r="O241">
        <v>1</v>
      </c>
      <c r="P241" t="s">
        <v>52</v>
      </c>
      <c r="Q241" s="2">
        <v>0.46388888888888885</v>
      </c>
      <c r="R241">
        <f>-0.0006464185*3600</f>
        <v>-2.3271066</v>
      </c>
      <c r="S241">
        <f>0.0005284928*3600</f>
        <v>1.9025740800000002</v>
      </c>
    </row>
    <row r="242" spans="1:19" x14ac:dyDescent="0.3">
      <c r="A242" t="s">
        <v>61</v>
      </c>
      <c r="B242" t="s">
        <v>63</v>
      </c>
      <c r="C242">
        <v>105.942567</v>
      </c>
      <c r="D242">
        <v>299.70406600000001</v>
      </c>
      <c r="E242">
        <v>32.5764</v>
      </c>
      <c r="F242">
        <v>32.57</v>
      </c>
      <c r="G242">
        <v>0.24099999999999999</v>
      </c>
      <c r="H242">
        <v>0.23499999999999999</v>
      </c>
      <c r="J242" t="s">
        <v>0</v>
      </c>
      <c r="K242" t="s">
        <v>49</v>
      </c>
      <c r="L242" t="s">
        <v>50</v>
      </c>
      <c r="M242">
        <v>0</v>
      </c>
      <c r="N242" t="s">
        <v>51</v>
      </c>
      <c r="O242">
        <v>1</v>
      </c>
      <c r="P242" t="s">
        <v>52</v>
      </c>
      <c r="Q242" s="2">
        <v>0.46388888888888885</v>
      </c>
      <c r="R242">
        <f>-0.0007583062*3600</f>
        <v>-2.7299023199999999</v>
      </c>
      <c r="S242">
        <f>0.0006217934*3600</f>
        <v>2.2384562399999997</v>
      </c>
    </row>
    <row r="243" spans="1:19" x14ac:dyDescent="0.3">
      <c r="A243" t="s">
        <v>61</v>
      </c>
      <c r="B243" t="s">
        <v>63</v>
      </c>
      <c r="C243">
        <v>305.94233800000001</v>
      </c>
      <c r="D243">
        <v>100.29428</v>
      </c>
      <c r="E243">
        <v>32.576599999999999</v>
      </c>
      <c r="F243">
        <v>32.5702</v>
      </c>
      <c r="G243">
        <v>0.24099999999999999</v>
      </c>
      <c r="H243">
        <v>0.23499999999999999</v>
      </c>
      <c r="J243" t="s">
        <v>0</v>
      </c>
      <c r="K243" t="s">
        <v>49</v>
      </c>
      <c r="L243" t="s">
        <v>50</v>
      </c>
      <c r="M243">
        <v>0</v>
      </c>
      <c r="N243" t="s">
        <v>51</v>
      </c>
      <c r="O243">
        <v>1</v>
      </c>
      <c r="P243" t="s">
        <v>52</v>
      </c>
      <c r="Q243" s="2">
        <v>0.46388888888888885</v>
      </c>
      <c r="R243">
        <f>0.0002826067*3600</f>
        <v>1.01738412</v>
      </c>
      <c r="S243">
        <f>0.0005558238*3600</f>
        <v>2.0009656800000002</v>
      </c>
    </row>
    <row r="244" spans="1:19" x14ac:dyDescent="0.3">
      <c r="A244" t="s">
        <v>61</v>
      </c>
      <c r="B244" t="s">
        <v>63</v>
      </c>
      <c r="C244">
        <v>105.94281700000001</v>
      </c>
      <c r="D244">
        <v>299.70411000000001</v>
      </c>
      <c r="E244">
        <v>32.576300000000003</v>
      </c>
      <c r="F244">
        <v>32.569899999999997</v>
      </c>
      <c r="G244">
        <v>0.24099999999999999</v>
      </c>
      <c r="H244">
        <v>0.23499999999999999</v>
      </c>
      <c r="J244" t="s">
        <v>0</v>
      </c>
      <c r="K244" t="s">
        <v>49</v>
      </c>
      <c r="L244" t="s">
        <v>50</v>
      </c>
      <c r="M244">
        <v>0</v>
      </c>
      <c r="N244" t="s">
        <v>51</v>
      </c>
      <c r="O244">
        <v>1</v>
      </c>
      <c r="P244" t="s">
        <v>52</v>
      </c>
      <c r="Q244" s="2">
        <v>0.46388888888888885</v>
      </c>
      <c r="R244">
        <f>0.0002981549*3600</f>
        <v>1.07335764</v>
      </c>
      <c r="S244">
        <f>0.0005368115*3600</f>
        <v>1.9325213999999997</v>
      </c>
    </row>
    <row r="245" spans="1:19" x14ac:dyDescent="0.3">
      <c r="A245" t="s">
        <v>61</v>
      </c>
      <c r="B245" t="s">
        <v>63</v>
      </c>
      <c r="C245">
        <v>305.94232699999998</v>
      </c>
      <c r="D245">
        <v>100.294455</v>
      </c>
      <c r="E245">
        <v>32.576300000000003</v>
      </c>
      <c r="F245">
        <v>32.569899999999997</v>
      </c>
      <c r="G245">
        <v>0.24099999999999999</v>
      </c>
      <c r="H245">
        <v>0.23499999999999999</v>
      </c>
      <c r="J245" t="s">
        <v>0</v>
      </c>
      <c r="K245" t="s">
        <v>49</v>
      </c>
      <c r="L245" t="s">
        <v>50</v>
      </c>
      <c r="M245">
        <v>0</v>
      </c>
      <c r="N245" t="s">
        <v>51</v>
      </c>
      <c r="O245">
        <v>1</v>
      </c>
      <c r="P245" t="s">
        <v>52</v>
      </c>
      <c r="Q245" s="2">
        <v>0.46388888888888885</v>
      </c>
      <c r="R245">
        <f>-0.0007701174*3600</f>
        <v>-2.7724226399999998</v>
      </c>
      <c r="S245">
        <f>0.000523518*3600</f>
        <v>1.8846648000000001</v>
      </c>
    </row>
    <row r="246" spans="1:19" x14ac:dyDescent="0.3">
      <c r="A246" t="s">
        <v>61</v>
      </c>
      <c r="B246" t="s">
        <v>63</v>
      </c>
      <c r="C246">
        <v>105.942324</v>
      </c>
      <c r="D246">
        <v>299.70427799999999</v>
      </c>
      <c r="E246">
        <v>32.576300000000003</v>
      </c>
      <c r="F246">
        <v>32.569899999999997</v>
      </c>
      <c r="G246">
        <v>0.24099999999999999</v>
      </c>
      <c r="H246">
        <v>0.23499999999999999</v>
      </c>
      <c r="J246" t="s">
        <v>0</v>
      </c>
      <c r="K246" t="s">
        <v>49</v>
      </c>
      <c r="L246" t="s">
        <v>50</v>
      </c>
      <c r="M246">
        <v>0</v>
      </c>
      <c r="N246" t="s">
        <v>51</v>
      </c>
      <c r="O246">
        <v>1</v>
      </c>
      <c r="P246" t="s">
        <v>52</v>
      </c>
      <c r="Q246" s="2">
        <v>0.46458333333333335</v>
      </c>
      <c r="R246">
        <f>-0.0007416687*3600</f>
        <v>-2.6700073200000003</v>
      </c>
      <c r="S246">
        <f>0.0005758228*3600</f>
        <v>2.0729620799999999</v>
      </c>
    </row>
    <row r="247" spans="1:19" x14ac:dyDescent="0.3">
      <c r="A247" t="s">
        <v>61</v>
      </c>
      <c r="B247" t="s">
        <v>64</v>
      </c>
      <c r="C247">
        <v>308.62549200000001</v>
      </c>
      <c r="D247">
        <v>100.269149</v>
      </c>
      <c r="E247">
        <v>44.502699999999997</v>
      </c>
      <c r="F247">
        <v>44.494100000000003</v>
      </c>
      <c r="G247">
        <v>0.24099999999999999</v>
      </c>
      <c r="H247">
        <v>0.24099999999999999</v>
      </c>
      <c r="J247" t="s">
        <v>0</v>
      </c>
      <c r="K247" t="s">
        <v>49</v>
      </c>
      <c r="L247" t="s">
        <v>50</v>
      </c>
      <c r="M247">
        <v>0</v>
      </c>
      <c r="N247" t="s">
        <v>51</v>
      </c>
      <c r="O247">
        <v>1</v>
      </c>
      <c r="P247" t="s">
        <v>52</v>
      </c>
      <c r="Q247" s="2">
        <v>0.46458333333333335</v>
      </c>
      <c r="R247">
        <f>0.0007371839*3600</f>
        <v>2.6538620399999999</v>
      </c>
      <c r="S247">
        <f>0.0008818414*3600</f>
        <v>3.1746290400000001</v>
      </c>
    </row>
    <row r="248" spans="1:19" x14ac:dyDescent="0.3">
      <c r="A248" t="s">
        <v>61</v>
      </c>
      <c r="B248" t="s">
        <v>64</v>
      </c>
      <c r="C248">
        <v>108.62592100000001</v>
      </c>
      <c r="D248">
        <v>299.73002600000001</v>
      </c>
      <c r="E248">
        <v>44.502600000000001</v>
      </c>
      <c r="F248">
        <v>44.494</v>
      </c>
      <c r="G248">
        <v>0.24099999999999999</v>
      </c>
      <c r="H248">
        <v>0.24099999999999999</v>
      </c>
      <c r="J248" t="s">
        <v>0</v>
      </c>
      <c r="K248" t="s">
        <v>49</v>
      </c>
      <c r="L248" t="s">
        <v>50</v>
      </c>
      <c r="M248">
        <v>0</v>
      </c>
      <c r="N248" t="s">
        <v>51</v>
      </c>
      <c r="O248">
        <v>1</v>
      </c>
      <c r="P248" t="s">
        <v>52</v>
      </c>
      <c r="Q248" s="2">
        <v>0.46458333333333335</v>
      </c>
      <c r="R248">
        <f>0.0006545527*3600</f>
        <v>2.3563897200000001</v>
      </c>
      <c r="S248">
        <f>0.0009919001*3600</f>
        <v>3.57084036</v>
      </c>
    </row>
    <row r="249" spans="1:19" x14ac:dyDescent="0.3">
      <c r="A249" t="s">
        <v>61</v>
      </c>
      <c r="B249" t="s">
        <v>64</v>
      </c>
      <c r="C249">
        <v>308.62536699999998</v>
      </c>
      <c r="D249">
        <v>100.269001</v>
      </c>
      <c r="E249">
        <v>44.502800000000001</v>
      </c>
      <c r="F249">
        <v>44.494199999999999</v>
      </c>
      <c r="G249">
        <v>0.24099999999999999</v>
      </c>
      <c r="H249">
        <v>0.24099999999999999</v>
      </c>
      <c r="J249" t="s">
        <v>0</v>
      </c>
      <c r="K249" t="s">
        <v>49</v>
      </c>
      <c r="L249" t="s">
        <v>50</v>
      </c>
      <c r="M249">
        <v>0</v>
      </c>
      <c r="N249" t="s">
        <v>51</v>
      </c>
      <c r="O249">
        <v>1</v>
      </c>
      <c r="P249" t="s">
        <v>52</v>
      </c>
      <c r="Q249" s="2">
        <v>0.46458333333333335</v>
      </c>
      <c r="R249">
        <f>-0.0003071763*3600</f>
        <v>-1.1058346799999998</v>
      </c>
      <c r="S249">
        <f>0.0000359097*3600</f>
        <v>0.12927491999999999</v>
      </c>
    </row>
    <row r="250" spans="1:19" x14ac:dyDescent="0.3">
      <c r="A250" t="s">
        <v>61</v>
      </c>
      <c r="B250" t="s">
        <v>64</v>
      </c>
      <c r="C250">
        <v>108.625773</v>
      </c>
      <c r="D250">
        <v>299.73014899999998</v>
      </c>
      <c r="E250">
        <v>44.502699999999997</v>
      </c>
      <c r="F250">
        <v>44.494100000000003</v>
      </c>
      <c r="G250">
        <v>0.24099999999999999</v>
      </c>
      <c r="H250">
        <v>0.24099999999999999</v>
      </c>
      <c r="J250" t="s">
        <v>0</v>
      </c>
      <c r="K250" t="s">
        <v>49</v>
      </c>
      <c r="L250" t="s">
        <v>50</v>
      </c>
      <c r="M250">
        <v>0</v>
      </c>
      <c r="N250" t="s">
        <v>51</v>
      </c>
      <c r="O250">
        <v>1</v>
      </c>
      <c r="P250" t="s">
        <v>52</v>
      </c>
      <c r="Q250" s="2">
        <v>0.46458333333333335</v>
      </c>
      <c r="R250">
        <f>-0.0003906302*3600</f>
        <v>-1.4062687199999999</v>
      </c>
      <c r="S250">
        <f>0.0001075852*3600</f>
        <v>0.38730671999999999</v>
      </c>
    </row>
    <row r="251" spans="1:19" x14ac:dyDescent="0.3">
      <c r="A251" t="s">
        <v>61</v>
      </c>
      <c r="B251" t="s">
        <v>64</v>
      </c>
      <c r="C251">
        <v>308.62502999999998</v>
      </c>
      <c r="D251">
        <v>100.26881899999999</v>
      </c>
      <c r="E251">
        <v>44.502800000000001</v>
      </c>
      <c r="F251">
        <v>44.494199999999999</v>
      </c>
      <c r="G251">
        <v>0.24099999999999999</v>
      </c>
      <c r="H251">
        <v>0.24099999999999999</v>
      </c>
      <c r="J251" t="s">
        <v>0</v>
      </c>
      <c r="K251" t="s">
        <v>49</v>
      </c>
      <c r="L251" t="s">
        <v>50</v>
      </c>
      <c r="M251">
        <v>0</v>
      </c>
      <c r="N251" t="s">
        <v>51</v>
      </c>
      <c r="O251">
        <v>1</v>
      </c>
      <c r="P251" t="s">
        <v>52</v>
      </c>
      <c r="Q251" s="2">
        <v>0.46458333333333335</v>
      </c>
      <c r="R251">
        <f>0.0006854338*3600</f>
        <v>2.4675616800000002</v>
      </c>
      <c r="S251">
        <f>0.0009348651*3600</f>
        <v>3.3655143600000001</v>
      </c>
    </row>
    <row r="252" spans="1:19" x14ac:dyDescent="0.3">
      <c r="A252" t="s">
        <v>61</v>
      </c>
      <c r="B252" t="s">
        <v>64</v>
      </c>
      <c r="C252">
        <v>108.625822</v>
      </c>
      <c r="D252">
        <v>299.729917</v>
      </c>
      <c r="E252">
        <v>44.502499999999998</v>
      </c>
      <c r="F252">
        <v>44.493899999999996</v>
      </c>
      <c r="G252">
        <v>0.24099999999999999</v>
      </c>
      <c r="H252">
        <v>0.24099999999999999</v>
      </c>
      <c r="J252" t="s">
        <v>0</v>
      </c>
      <c r="K252" t="s">
        <v>49</v>
      </c>
      <c r="L252" t="s">
        <v>50</v>
      </c>
      <c r="M252">
        <v>0</v>
      </c>
      <c r="N252" t="s">
        <v>51</v>
      </c>
      <c r="O252">
        <v>1</v>
      </c>
      <c r="P252" t="s">
        <v>52</v>
      </c>
      <c r="Q252" s="2">
        <v>0.46458333333333335</v>
      </c>
      <c r="R252">
        <f>0.0006502116*3600</f>
        <v>2.3407617599999999</v>
      </c>
      <c r="S252">
        <f>0.0009600109*3600</f>
        <v>3.45603924</v>
      </c>
    </row>
    <row r="253" spans="1:19" x14ac:dyDescent="0.3">
      <c r="A253" t="s">
        <v>61</v>
      </c>
      <c r="B253" t="s">
        <v>64</v>
      </c>
      <c r="C253">
        <v>308.62539500000003</v>
      </c>
      <c r="D253">
        <v>100.268739</v>
      </c>
      <c r="E253">
        <v>44.502800000000001</v>
      </c>
      <c r="F253">
        <v>44.494199999999999</v>
      </c>
      <c r="G253">
        <v>0.24099999999999999</v>
      </c>
      <c r="H253">
        <v>0.24099999999999999</v>
      </c>
      <c r="J253" t="s">
        <v>0</v>
      </c>
      <c r="K253" t="s">
        <v>49</v>
      </c>
      <c r="L253" t="s">
        <v>50</v>
      </c>
      <c r="M253">
        <v>0</v>
      </c>
      <c r="N253" t="s">
        <v>51</v>
      </c>
      <c r="O253">
        <v>1</v>
      </c>
      <c r="P253" t="s">
        <v>52</v>
      </c>
      <c r="Q253" s="2">
        <v>0.46458333333333335</v>
      </c>
      <c r="R253">
        <f>-0.000730329*3600</f>
        <v>-2.6291844000000002</v>
      </c>
      <c r="S253">
        <f>0.000497593*3600</f>
        <v>1.7913347999999998</v>
      </c>
    </row>
    <row r="254" spans="1:19" x14ac:dyDescent="0.3">
      <c r="A254" t="s">
        <v>61</v>
      </c>
      <c r="B254" t="s">
        <v>64</v>
      </c>
      <c r="C254">
        <v>108.625777</v>
      </c>
      <c r="D254">
        <v>299.730143</v>
      </c>
      <c r="E254">
        <v>44.502800000000001</v>
      </c>
      <c r="F254">
        <v>44.494199999999999</v>
      </c>
      <c r="G254">
        <v>0.24099999999999999</v>
      </c>
      <c r="H254">
        <v>0.24099999999999999</v>
      </c>
      <c r="J254" t="s">
        <v>0</v>
      </c>
      <c r="K254" t="s">
        <v>49</v>
      </c>
      <c r="L254" t="s">
        <v>50</v>
      </c>
      <c r="M254">
        <v>0</v>
      </c>
      <c r="N254" t="s">
        <v>51</v>
      </c>
      <c r="O254">
        <v>1</v>
      </c>
      <c r="P254" t="s">
        <v>52</v>
      </c>
      <c r="Q254" s="2">
        <v>0.46458333333333335</v>
      </c>
      <c r="R254">
        <f>-0.0007552056*3600</f>
        <v>-2.7187401599999999</v>
      </c>
      <c r="S254">
        <f>0.0005422983*3600</f>
        <v>1.9522738799999999</v>
      </c>
    </row>
    <row r="255" spans="1:19" x14ac:dyDescent="0.3">
      <c r="A255" t="s">
        <v>61</v>
      </c>
      <c r="B255" t="s">
        <v>64</v>
      </c>
      <c r="C255">
        <v>308.62524200000001</v>
      </c>
      <c r="D255">
        <v>100.268784</v>
      </c>
      <c r="E255">
        <v>44.502699999999997</v>
      </c>
      <c r="F255">
        <v>44.494100000000003</v>
      </c>
      <c r="G255">
        <v>0.24099999999999999</v>
      </c>
      <c r="H255">
        <v>0.24099999999999999</v>
      </c>
      <c r="J255" t="s">
        <v>0</v>
      </c>
      <c r="K255" t="s">
        <v>49</v>
      </c>
      <c r="L255" t="s">
        <v>50</v>
      </c>
      <c r="M255">
        <v>0</v>
      </c>
      <c r="N255" t="s">
        <v>51</v>
      </c>
      <c r="O255">
        <v>1</v>
      </c>
      <c r="P255" t="s">
        <v>52</v>
      </c>
      <c r="Q255" s="2">
        <v>0.46527777777777773</v>
      </c>
      <c r="R255">
        <f>0.000712141*3600</f>
        <v>2.5637075999999999</v>
      </c>
      <c r="S255">
        <f>0.0009274965*3600</f>
        <v>3.3389874000000002</v>
      </c>
    </row>
    <row r="256" spans="1:19" x14ac:dyDescent="0.3">
      <c r="A256" t="s">
        <v>61</v>
      </c>
      <c r="B256" t="s">
        <v>64</v>
      </c>
      <c r="C256">
        <v>108.62572900000001</v>
      </c>
      <c r="D256">
        <v>299.72982400000001</v>
      </c>
      <c r="E256">
        <v>44.502800000000001</v>
      </c>
      <c r="F256">
        <v>44.494199999999999</v>
      </c>
      <c r="G256">
        <v>0.24099999999999999</v>
      </c>
      <c r="H256">
        <v>0.24099999999999999</v>
      </c>
      <c r="J256" t="s">
        <v>0</v>
      </c>
      <c r="K256" t="s">
        <v>49</v>
      </c>
      <c r="L256" t="s">
        <v>50</v>
      </c>
      <c r="M256">
        <v>0</v>
      </c>
      <c r="N256" t="s">
        <v>51</v>
      </c>
      <c r="O256">
        <v>1</v>
      </c>
      <c r="P256" t="s">
        <v>52</v>
      </c>
      <c r="Q256" s="2">
        <v>0.46527777777777773</v>
      </c>
      <c r="R256">
        <f>0.0006244571*3600</f>
        <v>2.24804556</v>
      </c>
      <c r="S256">
        <f>0.0010468328*3600</f>
        <v>3.7685980799999999</v>
      </c>
    </row>
    <row r="257" spans="1:19" x14ac:dyDescent="0.3">
      <c r="Q257" s="2"/>
    </row>
    <row r="258" spans="1:19" x14ac:dyDescent="0.3">
      <c r="A258" t="s">
        <v>0</v>
      </c>
      <c r="B258" t="s">
        <v>39</v>
      </c>
      <c r="C258" t="s">
        <v>40</v>
      </c>
      <c r="D258" t="s">
        <v>41</v>
      </c>
      <c r="E258">
        <v>3</v>
      </c>
    </row>
    <row r="259" spans="1:19" x14ac:dyDescent="0.3">
      <c r="A259" t="s">
        <v>0</v>
      </c>
      <c r="B259" t="s">
        <v>42</v>
      </c>
      <c r="C259" t="s">
        <v>43</v>
      </c>
      <c r="D259">
        <v>-186</v>
      </c>
    </row>
    <row r="260" spans="1:19" x14ac:dyDescent="0.3">
      <c r="A260" t="s">
        <v>0</v>
      </c>
      <c r="B260" t="s">
        <v>42</v>
      </c>
      <c r="C260" t="s">
        <v>44</v>
      </c>
      <c r="D260" t="s">
        <v>43</v>
      </c>
      <c r="E260">
        <v>0.99981401179999996</v>
      </c>
    </row>
    <row r="264" spans="1:19" x14ac:dyDescent="0.3">
      <c r="A264" t="s">
        <v>45</v>
      </c>
      <c r="B264" t="s">
        <v>64</v>
      </c>
    </row>
    <row r="265" spans="1:19" x14ac:dyDescent="0.3">
      <c r="A265" t="s">
        <v>47</v>
      </c>
      <c r="B265" t="s">
        <v>56</v>
      </c>
      <c r="C265">
        <v>108.910455</v>
      </c>
      <c r="D265">
        <v>99.640230000000003</v>
      </c>
      <c r="E265">
        <v>104.5035</v>
      </c>
      <c r="F265">
        <v>104.4824</v>
      </c>
      <c r="G265">
        <v>0.24099999999999999</v>
      </c>
      <c r="H265">
        <v>0.24</v>
      </c>
      <c r="J265" t="s">
        <v>0</v>
      </c>
      <c r="K265" t="s">
        <v>49</v>
      </c>
      <c r="L265" t="s">
        <v>50</v>
      </c>
      <c r="M265">
        <v>0</v>
      </c>
      <c r="N265" t="s">
        <v>51</v>
      </c>
      <c r="O265">
        <v>1</v>
      </c>
      <c r="P265" t="s">
        <v>52</v>
      </c>
      <c r="Q265" s="2">
        <v>0.46875</v>
      </c>
      <c r="R265">
        <f>0.0001883399*3600</f>
        <v>0.67802364000000004</v>
      </c>
      <c r="S265">
        <f>0.0008158115*3600</f>
        <v>2.9369214000000001</v>
      </c>
    </row>
    <row r="266" spans="1:19" x14ac:dyDescent="0.3">
      <c r="A266" t="s">
        <v>28</v>
      </c>
      <c r="B266">
        <v>18</v>
      </c>
      <c r="C266" t="s">
        <v>29</v>
      </c>
      <c r="D266" s="3">
        <v>0.6</v>
      </c>
      <c r="E266" t="s">
        <v>30</v>
      </c>
      <c r="F266" t="s">
        <v>58</v>
      </c>
      <c r="G266" t="s">
        <v>32</v>
      </c>
      <c r="H266" t="s">
        <v>59</v>
      </c>
    </row>
    <row r="267" spans="1:19" x14ac:dyDescent="0.3">
      <c r="A267" t="s">
        <v>34</v>
      </c>
      <c r="B267" t="s">
        <v>35</v>
      </c>
      <c r="C267" t="s">
        <v>34</v>
      </c>
      <c r="D267" t="s">
        <v>66</v>
      </c>
    </row>
    <row r="268" spans="1:19" x14ac:dyDescent="0.3">
      <c r="A268" t="s">
        <v>37</v>
      </c>
      <c r="B268" t="s">
        <v>38</v>
      </c>
      <c r="C268">
        <v>0.13</v>
      </c>
    </row>
    <row r="270" spans="1:19" x14ac:dyDescent="0.3">
      <c r="A270" t="s">
        <v>64</v>
      </c>
      <c r="B270" t="s">
        <v>56</v>
      </c>
      <c r="C270">
        <v>108.909853</v>
      </c>
      <c r="D270">
        <v>99.640148999999994</v>
      </c>
      <c r="E270">
        <v>104.5035</v>
      </c>
      <c r="F270">
        <v>104.4824</v>
      </c>
      <c r="G270">
        <v>0.24099999999999999</v>
      </c>
      <c r="H270">
        <v>0.24</v>
      </c>
      <c r="J270" t="s">
        <v>0</v>
      </c>
      <c r="K270" t="s">
        <v>49</v>
      </c>
      <c r="L270" t="s">
        <v>50</v>
      </c>
      <c r="M270">
        <v>0</v>
      </c>
      <c r="N270" t="s">
        <v>51</v>
      </c>
      <c r="O270">
        <v>1</v>
      </c>
      <c r="P270" t="s">
        <v>52</v>
      </c>
      <c r="Q270" s="2">
        <v>0.4694444444444445</v>
      </c>
      <c r="R270">
        <f>0.0002758864*3600</f>
        <v>0.99319104000000002</v>
      </c>
      <c r="S270">
        <f>-0.0002178485*3600</f>
        <v>-0.78425460000000002</v>
      </c>
    </row>
    <row r="271" spans="1:19" x14ac:dyDescent="0.3">
      <c r="A271" t="s">
        <v>64</v>
      </c>
      <c r="B271" t="s">
        <v>56</v>
      </c>
      <c r="C271">
        <v>308.90988199999998</v>
      </c>
      <c r="D271">
        <v>300.360544</v>
      </c>
      <c r="E271">
        <v>104.5033</v>
      </c>
      <c r="F271">
        <v>104.48220000000001</v>
      </c>
      <c r="G271">
        <v>0.24099999999999999</v>
      </c>
      <c r="H271">
        <v>0.24</v>
      </c>
      <c r="J271" t="s">
        <v>0</v>
      </c>
      <c r="K271" t="s">
        <v>49</v>
      </c>
      <c r="L271" t="s">
        <v>50</v>
      </c>
      <c r="M271">
        <v>0</v>
      </c>
      <c r="N271" t="s">
        <v>51</v>
      </c>
      <c r="O271">
        <v>1</v>
      </c>
      <c r="P271" t="s">
        <v>52</v>
      </c>
      <c r="Q271" s="2">
        <v>0.47013888888888888</v>
      </c>
      <c r="R271">
        <f>0.0005265489*3600</f>
        <v>1.8955760400000001</v>
      </c>
      <c r="S271">
        <f>0.0003087104*3600</f>
        <v>1.1113574399999999</v>
      </c>
    </row>
    <row r="272" spans="1:19" x14ac:dyDescent="0.3">
      <c r="A272" t="s">
        <v>64</v>
      </c>
      <c r="B272" t="s">
        <v>56</v>
      </c>
      <c r="C272">
        <v>108.909245</v>
      </c>
      <c r="D272">
        <v>99.639769000000001</v>
      </c>
      <c r="E272">
        <v>104.50320000000001</v>
      </c>
      <c r="F272">
        <v>104.4821</v>
      </c>
      <c r="G272">
        <v>0.24099999999999999</v>
      </c>
      <c r="H272">
        <v>0.24</v>
      </c>
      <c r="J272" t="s">
        <v>0</v>
      </c>
      <c r="K272" t="s">
        <v>49</v>
      </c>
      <c r="L272" t="s">
        <v>50</v>
      </c>
      <c r="M272">
        <v>0</v>
      </c>
      <c r="N272" t="s">
        <v>51</v>
      </c>
      <c r="O272">
        <v>1</v>
      </c>
      <c r="P272" t="s">
        <v>52</v>
      </c>
      <c r="Q272" s="2">
        <v>0.47013888888888888</v>
      </c>
      <c r="R272">
        <f>0.0005845733*3600</f>
        <v>2.10446388</v>
      </c>
      <c r="S272">
        <f>0.0004672047*3600</f>
        <v>1.6819369200000001</v>
      </c>
    </row>
    <row r="273" spans="1:19" x14ac:dyDescent="0.3">
      <c r="A273" t="s">
        <v>64</v>
      </c>
      <c r="B273" t="s">
        <v>56</v>
      </c>
      <c r="C273">
        <v>308.91047099999997</v>
      </c>
      <c r="D273">
        <v>300.36054200000001</v>
      </c>
      <c r="E273">
        <v>104.50320000000001</v>
      </c>
      <c r="F273">
        <v>104.4821</v>
      </c>
      <c r="G273">
        <v>0.24099999999999999</v>
      </c>
      <c r="H273">
        <v>0.24</v>
      </c>
      <c r="J273" t="s">
        <v>0</v>
      </c>
      <c r="K273" t="s">
        <v>49</v>
      </c>
      <c r="L273" t="s">
        <v>50</v>
      </c>
      <c r="M273">
        <v>0</v>
      </c>
      <c r="N273" t="s">
        <v>51</v>
      </c>
      <c r="O273">
        <v>1</v>
      </c>
      <c r="P273" t="s">
        <v>52</v>
      </c>
      <c r="Q273" s="2">
        <v>0.47013888888888888</v>
      </c>
      <c r="R273">
        <f>-0.0007855974*3600</f>
        <v>-2.82815064</v>
      </c>
      <c r="S273">
        <f>0.0004912112*3600</f>
        <v>1.7683603200000002</v>
      </c>
    </row>
    <row r="274" spans="1:19" x14ac:dyDescent="0.3">
      <c r="A274" t="s">
        <v>64</v>
      </c>
      <c r="B274" t="s">
        <v>56</v>
      </c>
      <c r="C274">
        <v>108.90919599999999</v>
      </c>
      <c r="D274">
        <v>99.640038000000004</v>
      </c>
      <c r="E274">
        <v>104.5034</v>
      </c>
      <c r="F274">
        <v>104.4823</v>
      </c>
      <c r="G274">
        <v>0.24099999999999999</v>
      </c>
      <c r="H274">
        <v>0.24</v>
      </c>
      <c r="J274" t="s">
        <v>0</v>
      </c>
      <c r="K274" t="s">
        <v>49</v>
      </c>
      <c r="L274" t="s">
        <v>50</v>
      </c>
      <c r="M274">
        <v>0</v>
      </c>
      <c r="N274" t="s">
        <v>51</v>
      </c>
      <c r="O274">
        <v>1</v>
      </c>
      <c r="P274" t="s">
        <v>52</v>
      </c>
      <c r="Q274" s="2">
        <v>0.47013888888888888</v>
      </c>
      <c r="R274">
        <f>-0.0008381616*3600</f>
        <v>-3.0173817600000001</v>
      </c>
      <c r="S274">
        <f>0.0006749103*3600</f>
        <v>2.4296770800000003</v>
      </c>
    </row>
    <row r="275" spans="1:19" x14ac:dyDescent="0.3">
      <c r="A275" t="s">
        <v>64</v>
      </c>
      <c r="B275" t="s">
        <v>56</v>
      </c>
      <c r="C275">
        <v>308.90965</v>
      </c>
      <c r="D275">
        <v>300.36057099999999</v>
      </c>
      <c r="E275">
        <v>104.50320000000001</v>
      </c>
      <c r="F275">
        <v>104.4821</v>
      </c>
      <c r="G275">
        <v>0.24099999999999999</v>
      </c>
      <c r="H275">
        <v>0.24</v>
      </c>
      <c r="J275" t="s">
        <v>0</v>
      </c>
      <c r="K275" t="s">
        <v>49</v>
      </c>
      <c r="L275" t="s">
        <v>50</v>
      </c>
      <c r="M275">
        <v>0</v>
      </c>
      <c r="N275" t="s">
        <v>51</v>
      </c>
      <c r="O275">
        <v>1</v>
      </c>
      <c r="P275" t="s">
        <v>52</v>
      </c>
      <c r="Q275" s="2">
        <v>0.47013888888888888</v>
      </c>
      <c r="R275">
        <f>-0.0009486474*3600</f>
        <v>-3.4151306400000001</v>
      </c>
      <c r="S275">
        <f>0.0007101784*3600</f>
        <v>2.55664224</v>
      </c>
    </row>
    <row r="276" spans="1:19" x14ac:dyDescent="0.3">
      <c r="A276" t="s">
        <v>64</v>
      </c>
      <c r="B276" t="s">
        <v>56</v>
      </c>
      <c r="C276">
        <v>108.909334</v>
      </c>
      <c r="D276">
        <v>99.640260999999995</v>
      </c>
      <c r="E276">
        <v>104.5034</v>
      </c>
      <c r="F276">
        <v>104.4823</v>
      </c>
      <c r="G276">
        <v>0.24099999999999999</v>
      </c>
      <c r="H276">
        <v>0.24</v>
      </c>
      <c r="J276" t="s">
        <v>0</v>
      </c>
      <c r="K276" t="s">
        <v>49</v>
      </c>
      <c r="L276" t="s">
        <v>50</v>
      </c>
      <c r="M276">
        <v>0</v>
      </c>
      <c r="N276" t="s">
        <v>51</v>
      </c>
      <c r="O276">
        <v>1</v>
      </c>
      <c r="P276" t="s">
        <v>52</v>
      </c>
      <c r="Q276" s="2">
        <v>0.47083333333333338</v>
      </c>
      <c r="R276">
        <f>0.0010963999*3600</f>
        <v>3.9470396399999998</v>
      </c>
      <c r="S276">
        <f>0.0009485699*3600</f>
        <v>3.4148516400000002</v>
      </c>
    </row>
    <row r="277" spans="1:19" x14ac:dyDescent="0.3">
      <c r="A277" t="s">
        <v>64</v>
      </c>
      <c r="B277" t="s">
        <v>56</v>
      </c>
      <c r="C277">
        <v>308.91045600000001</v>
      </c>
      <c r="D277">
        <v>300.36042400000002</v>
      </c>
      <c r="E277">
        <v>104.5031</v>
      </c>
      <c r="F277">
        <v>104.482</v>
      </c>
      <c r="G277">
        <v>0.24099999999999999</v>
      </c>
      <c r="H277">
        <v>0.24</v>
      </c>
      <c r="J277" t="s">
        <v>0</v>
      </c>
      <c r="K277" t="s">
        <v>49</v>
      </c>
      <c r="L277" t="s">
        <v>50</v>
      </c>
      <c r="M277">
        <v>0</v>
      </c>
      <c r="N277" t="s">
        <v>51</v>
      </c>
      <c r="O277">
        <v>1</v>
      </c>
      <c r="P277" t="s">
        <v>52</v>
      </c>
      <c r="Q277" s="2">
        <v>0.47083333333333338</v>
      </c>
      <c r="R277">
        <f>0.0010708907*3600</f>
        <v>3.8552065199999999</v>
      </c>
      <c r="S277">
        <f>0.0009169314*3600</f>
        <v>3.30095304</v>
      </c>
    </row>
    <row r="278" spans="1:19" x14ac:dyDescent="0.3">
      <c r="A278" t="s">
        <v>64</v>
      </c>
      <c r="B278" t="s">
        <v>56</v>
      </c>
      <c r="C278">
        <v>108.909544</v>
      </c>
      <c r="D278">
        <v>99.640050000000002</v>
      </c>
      <c r="E278">
        <v>104.5035</v>
      </c>
      <c r="F278">
        <v>104.4824</v>
      </c>
      <c r="G278">
        <v>0.24099999999999999</v>
      </c>
      <c r="H278">
        <v>0.24</v>
      </c>
      <c r="J278" t="s">
        <v>0</v>
      </c>
      <c r="K278" t="s">
        <v>49</v>
      </c>
      <c r="L278" t="s">
        <v>50</v>
      </c>
      <c r="M278">
        <v>0</v>
      </c>
      <c r="N278" t="s">
        <v>51</v>
      </c>
      <c r="O278">
        <v>1</v>
      </c>
      <c r="P278" t="s">
        <v>52</v>
      </c>
      <c r="Q278" s="2">
        <v>0.47083333333333338</v>
      </c>
      <c r="R278">
        <f>0.0009680435*3600</f>
        <v>3.4849565999999998</v>
      </c>
      <c r="S278">
        <f>0.0010837869*3600</f>
        <v>3.9016328400000004</v>
      </c>
    </row>
    <row r="279" spans="1:19" x14ac:dyDescent="0.3">
      <c r="A279" t="s">
        <v>64</v>
      </c>
      <c r="B279" t="s">
        <v>56</v>
      </c>
      <c r="C279">
        <v>308.90977500000002</v>
      </c>
      <c r="D279">
        <v>300.360522</v>
      </c>
      <c r="E279">
        <v>104.5031</v>
      </c>
      <c r="F279">
        <v>104.482</v>
      </c>
      <c r="G279">
        <v>0.24099999999999999</v>
      </c>
      <c r="H279">
        <v>0.24</v>
      </c>
      <c r="J279" t="s">
        <v>0</v>
      </c>
      <c r="K279" t="s">
        <v>49</v>
      </c>
      <c r="L279" t="s">
        <v>50</v>
      </c>
      <c r="M279">
        <v>0</v>
      </c>
      <c r="N279" t="s">
        <v>51</v>
      </c>
      <c r="O279">
        <v>1</v>
      </c>
      <c r="P279" t="s">
        <v>52</v>
      </c>
      <c r="Q279" s="2">
        <v>0.47083333333333338</v>
      </c>
      <c r="R279">
        <f>-0.0008255057*3600</f>
        <v>-2.9718205200000001</v>
      </c>
      <c r="S279">
        <f>0.0005234066*3600</f>
        <v>1.8842637600000001</v>
      </c>
    </row>
    <row r="280" spans="1:19" x14ac:dyDescent="0.3">
      <c r="A280" t="s">
        <v>64</v>
      </c>
      <c r="B280" t="s">
        <v>61</v>
      </c>
      <c r="C280">
        <v>108.62568899999999</v>
      </c>
      <c r="D280">
        <v>99.723156000000003</v>
      </c>
      <c r="E280">
        <v>44.502899999999997</v>
      </c>
      <c r="F280">
        <v>44.494199999999999</v>
      </c>
      <c r="G280">
        <v>0.24099999999999999</v>
      </c>
      <c r="H280">
        <v>0.24099999999999999</v>
      </c>
      <c r="J280" t="s">
        <v>0</v>
      </c>
      <c r="K280" t="s">
        <v>49</v>
      </c>
      <c r="L280" t="s">
        <v>50</v>
      </c>
      <c r="M280">
        <v>0</v>
      </c>
      <c r="N280" t="s">
        <v>51</v>
      </c>
      <c r="O280">
        <v>1</v>
      </c>
      <c r="P280" t="s">
        <v>52</v>
      </c>
      <c r="Q280" s="2">
        <v>0.47083333333333338</v>
      </c>
      <c r="R280">
        <f>-0.000958606*3600</f>
        <v>-3.4509816</v>
      </c>
      <c r="S280">
        <f>0.0006994255*3600</f>
        <v>2.5179317999999999</v>
      </c>
    </row>
    <row r="281" spans="1:19" x14ac:dyDescent="0.3">
      <c r="A281" t="s">
        <v>64</v>
      </c>
      <c r="B281" t="s">
        <v>61</v>
      </c>
      <c r="C281">
        <v>308.625405</v>
      </c>
      <c r="D281">
        <v>300.276117</v>
      </c>
      <c r="E281">
        <v>44.502800000000001</v>
      </c>
      <c r="F281">
        <v>44.494100000000003</v>
      </c>
      <c r="G281">
        <v>0.24099999999999999</v>
      </c>
      <c r="H281">
        <v>0.24099999999999999</v>
      </c>
      <c r="J281" t="s">
        <v>0</v>
      </c>
      <c r="K281" t="s">
        <v>49</v>
      </c>
      <c r="L281" t="s">
        <v>50</v>
      </c>
      <c r="M281">
        <v>0</v>
      </c>
      <c r="N281" t="s">
        <v>51</v>
      </c>
      <c r="O281">
        <v>1</v>
      </c>
      <c r="P281" t="s">
        <v>52</v>
      </c>
      <c r="Q281" s="2">
        <v>0.47083333333333338</v>
      </c>
      <c r="R281">
        <f>-0.0008662487*3600</f>
        <v>-3.1184953200000001</v>
      </c>
      <c r="S281">
        <f>0.0006665717*3600</f>
        <v>2.3996581200000002</v>
      </c>
    </row>
    <row r="282" spans="1:19" x14ac:dyDescent="0.3">
      <c r="A282" t="s">
        <v>64</v>
      </c>
      <c r="B282" t="s">
        <v>61</v>
      </c>
      <c r="C282">
        <v>108.625146</v>
      </c>
      <c r="D282">
        <v>99.723172000000005</v>
      </c>
      <c r="E282">
        <v>44.503100000000003</v>
      </c>
      <c r="F282">
        <v>44.494399999999999</v>
      </c>
      <c r="G282">
        <v>0.24099999999999999</v>
      </c>
      <c r="H282">
        <v>0.24099999999999999</v>
      </c>
      <c r="J282" t="s">
        <v>0</v>
      </c>
      <c r="K282" t="s">
        <v>49</v>
      </c>
      <c r="L282" t="s">
        <v>50</v>
      </c>
      <c r="M282">
        <v>0</v>
      </c>
      <c r="N282" t="s">
        <v>51</v>
      </c>
      <c r="O282">
        <v>1</v>
      </c>
      <c r="P282" t="s">
        <v>52</v>
      </c>
      <c r="Q282" s="2">
        <v>0.47083333333333338</v>
      </c>
      <c r="R282">
        <f>0.000742583*3600</f>
        <v>2.6732988</v>
      </c>
      <c r="S282">
        <f>0.0003343759*3600</f>
        <v>1.2037532400000002</v>
      </c>
    </row>
    <row r="283" spans="1:19" x14ac:dyDescent="0.3">
      <c r="A283" t="s">
        <v>64</v>
      </c>
      <c r="B283" t="s">
        <v>61</v>
      </c>
      <c r="C283">
        <v>308.62559700000003</v>
      </c>
      <c r="D283">
        <v>300.275803</v>
      </c>
      <c r="E283">
        <v>44.502899999999997</v>
      </c>
      <c r="F283">
        <v>44.494199999999999</v>
      </c>
      <c r="G283">
        <v>0.24099999999999999</v>
      </c>
      <c r="H283">
        <v>0.24099999999999999</v>
      </c>
      <c r="J283" t="s">
        <v>0</v>
      </c>
      <c r="K283" t="s">
        <v>49</v>
      </c>
      <c r="L283" t="s">
        <v>50</v>
      </c>
      <c r="M283">
        <v>0</v>
      </c>
      <c r="N283" t="s">
        <v>51</v>
      </c>
      <c r="O283">
        <v>1</v>
      </c>
      <c r="P283" t="s">
        <v>52</v>
      </c>
      <c r="Q283" s="2">
        <v>0.47083333333333338</v>
      </c>
      <c r="R283">
        <f>0.000682801*3600</f>
        <v>2.4580836000000001</v>
      </c>
      <c r="S283">
        <f>0.0003467489*3600</f>
        <v>1.2482960400000001</v>
      </c>
    </row>
    <row r="284" spans="1:19" x14ac:dyDescent="0.3">
      <c r="A284" t="s">
        <v>64</v>
      </c>
      <c r="B284" t="s">
        <v>61</v>
      </c>
      <c r="C284">
        <v>108.625248</v>
      </c>
      <c r="D284">
        <v>99.722975000000005</v>
      </c>
      <c r="E284">
        <v>44.5032</v>
      </c>
      <c r="F284">
        <v>44.494500000000002</v>
      </c>
      <c r="G284">
        <v>0.24099999999999999</v>
      </c>
      <c r="H284">
        <v>0.24099999999999999</v>
      </c>
      <c r="J284" t="s">
        <v>0</v>
      </c>
      <c r="K284" t="s">
        <v>49</v>
      </c>
      <c r="L284" t="s">
        <v>50</v>
      </c>
      <c r="M284">
        <v>0</v>
      </c>
      <c r="N284" t="s">
        <v>51</v>
      </c>
      <c r="O284">
        <v>1</v>
      </c>
      <c r="P284" t="s">
        <v>52</v>
      </c>
      <c r="Q284" s="2">
        <v>0.47152777777777777</v>
      </c>
      <c r="R284">
        <f>0.0006771115*3600</f>
        <v>2.4376014000000001</v>
      </c>
      <c r="S284">
        <f>0.0004504131*3600</f>
        <v>1.62148716</v>
      </c>
    </row>
    <row r="285" spans="1:19" x14ac:dyDescent="0.3">
      <c r="A285" t="s">
        <v>64</v>
      </c>
      <c r="B285" t="s">
        <v>61</v>
      </c>
      <c r="C285">
        <v>308.62536599999999</v>
      </c>
      <c r="D285">
        <v>300.27608099999998</v>
      </c>
      <c r="E285">
        <v>44.502800000000001</v>
      </c>
      <c r="F285">
        <v>44.494100000000003</v>
      </c>
      <c r="G285">
        <v>0.24099999999999999</v>
      </c>
      <c r="H285">
        <v>0.24099999999999999</v>
      </c>
      <c r="J285" t="s">
        <v>0</v>
      </c>
      <c r="K285" t="s">
        <v>49</v>
      </c>
      <c r="L285" t="s">
        <v>50</v>
      </c>
      <c r="M285">
        <v>0</v>
      </c>
      <c r="N285" t="s">
        <v>51</v>
      </c>
      <c r="O285">
        <v>1</v>
      </c>
      <c r="P285" t="s">
        <v>52</v>
      </c>
      <c r="Q285" s="2">
        <v>0.47152777777777777</v>
      </c>
      <c r="R285">
        <f>-0.0009171388*3600</f>
        <v>-3.30169968</v>
      </c>
      <c r="S285">
        <f>0.000498115*3600</f>
        <v>1.7932140000000001</v>
      </c>
    </row>
    <row r="286" spans="1:19" x14ac:dyDescent="0.3">
      <c r="A286" t="s">
        <v>64</v>
      </c>
      <c r="B286" t="s">
        <v>61</v>
      </c>
      <c r="C286">
        <v>108.62490099999999</v>
      </c>
      <c r="D286">
        <v>99.723134000000002</v>
      </c>
      <c r="E286">
        <v>44.503</v>
      </c>
      <c r="F286">
        <v>44.494300000000003</v>
      </c>
      <c r="G286">
        <v>0.24099999999999999</v>
      </c>
      <c r="H286">
        <v>0.24099999999999999</v>
      </c>
      <c r="J286" t="s">
        <v>0</v>
      </c>
      <c r="K286" t="s">
        <v>49</v>
      </c>
      <c r="L286" t="s">
        <v>50</v>
      </c>
      <c r="M286">
        <v>0</v>
      </c>
      <c r="N286" t="s">
        <v>51</v>
      </c>
      <c r="O286">
        <v>1</v>
      </c>
      <c r="P286" t="s">
        <v>52</v>
      </c>
      <c r="Q286" s="2">
        <v>0.47152777777777777</v>
      </c>
      <c r="R286">
        <f>-0.0009665414*3600</f>
        <v>-3.4795490400000002</v>
      </c>
      <c r="S286">
        <f>0.0006814534*3600</f>
        <v>2.4532322399999997</v>
      </c>
    </row>
    <row r="287" spans="1:19" x14ac:dyDescent="0.3">
      <c r="A287" t="s">
        <v>64</v>
      </c>
      <c r="B287" t="s">
        <v>61</v>
      </c>
      <c r="C287">
        <v>308.62568499999998</v>
      </c>
      <c r="D287">
        <v>300.27576900000003</v>
      </c>
      <c r="E287">
        <v>44.502899999999997</v>
      </c>
      <c r="F287">
        <v>44.494199999999999</v>
      </c>
      <c r="G287">
        <v>0.24099999999999999</v>
      </c>
      <c r="H287">
        <v>0.24099999999999999</v>
      </c>
      <c r="J287" t="s">
        <v>0</v>
      </c>
      <c r="K287" t="s">
        <v>49</v>
      </c>
      <c r="L287" t="s">
        <v>50</v>
      </c>
      <c r="M287">
        <v>0</v>
      </c>
      <c r="N287" t="s">
        <v>51</v>
      </c>
      <c r="O287">
        <v>1</v>
      </c>
      <c r="P287" t="s">
        <v>52</v>
      </c>
      <c r="Q287" s="2">
        <v>0.47152777777777777</v>
      </c>
      <c r="R287">
        <f>-0.0009977927*3600</f>
        <v>-3.59205372</v>
      </c>
      <c r="S287">
        <f>0.0006612871*3600</f>
        <v>2.3806335600000001</v>
      </c>
    </row>
    <row r="288" spans="1:19" x14ac:dyDescent="0.3">
      <c r="A288" t="s">
        <v>64</v>
      </c>
      <c r="B288" t="s">
        <v>61</v>
      </c>
      <c r="C288">
        <v>108.62545799999999</v>
      </c>
      <c r="D288">
        <v>99.723043000000004</v>
      </c>
      <c r="E288">
        <v>44.502899999999997</v>
      </c>
      <c r="F288">
        <v>44.494199999999999</v>
      </c>
      <c r="G288">
        <v>0.24099999999999999</v>
      </c>
      <c r="H288">
        <v>0.24099999999999999</v>
      </c>
      <c r="J288" t="s">
        <v>0</v>
      </c>
      <c r="K288" t="s">
        <v>49</v>
      </c>
      <c r="L288" t="s">
        <v>50</v>
      </c>
      <c r="M288">
        <v>0</v>
      </c>
      <c r="N288" t="s">
        <v>51</v>
      </c>
      <c r="O288">
        <v>1</v>
      </c>
      <c r="P288" t="s">
        <v>52</v>
      </c>
      <c r="Q288" s="2">
        <v>0.47152777777777777</v>
      </c>
      <c r="R288">
        <f>0.0007602133*3600</f>
        <v>2.7367678799999999</v>
      </c>
      <c r="S288">
        <f>0.0003629623*3600</f>
        <v>1.3066642799999999</v>
      </c>
    </row>
    <row r="289" spans="1:19" x14ac:dyDescent="0.3">
      <c r="A289" t="s">
        <v>64</v>
      </c>
      <c r="B289" t="s">
        <v>61</v>
      </c>
      <c r="C289">
        <v>308.625519</v>
      </c>
      <c r="D289">
        <v>300.27567699999997</v>
      </c>
      <c r="E289">
        <v>44.503100000000003</v>
      </c>
      <c r="F289">
        <v>44.494399999999999</v>
      </c>
      <c r="G289">
        <v>0.24099999999999999</v>
      </c>
      <c r="H289">
        <v>0.24099999999999999</v>
      </c>
      <c r="J289" t="s">
        <v>0</v>
      </c>
      <c r="K289" t="s">
        <v>49</v>
      </c>
      <c r="L289" t="s">
        <v>50</v>
      </c>
      <c r="M289">
        <v>0</v>
      </c>
      <c r="N289" t="s">
        <v>51</v>
      </c>
      <c r="O289">
        <v>1</v>
      </c>
      <c r="P289" t="s">
        <v>52</v>
      </c>
      <c r="Q289" s="2">
        <v>0.47152777777777777</v>
      </c>
      <c r="R289">
        <f>0.0007052789*3600</f>
        <v>2.53900404</v>
      </c>
      <c r="S289">
        <f>0.0003661076*3600</f>
        <v>1.3179873600000001</v>
      </c>
    </row>
    <row r="290" spans="1:19" x14ac:dyDescent="0.3">
      <c r="A290" t="s">
        <v>64</v>
      </c>
      <c r="B290" t="s">
        <v>63</v>
      </c>
      <c r="C290">
        <v>115.89993699999999</v>
      </c>
      <c r="D290">
        <v>99.785979999999995</v>
      </c>
      <c r="E290">
        <v>12.033300000000001</v>
      </c>
      <c r="F290">
        <v>12.031000000000001</v>
      </c>
      <c r="G290">
        <v>0.24099999999999999</v>
      </c>
      <c r="H290">
        <v>0.23499999999999999</v>
      </c>
      <c r="J290" t="s">
        <v>0</v>
      </c>
      <c r="K290" t="s">
        <v>49</v>
      </c>
      <c r="L290" t="s">
        <v>50</v>
      </c>
      <c r="M290">
        <v>0</v>
      </c>
      <c r="N290" t="s">
        <v>51</v>
      </c>
      <c r="O290">
        <v>1</v>
      </c>
      <c r="P290" t="s">
        <v>52</v>
      </c>
      <c r="Q290" s="2">
        <v>0.47152777777777777</v>
      </c>
      <c r="R290">
        <f>0.0007006568*3600</f>
        <v>2.5223644799999998</v>
      </c>
      <c r="S290">
        <f>0.0004949899*3600</f>
        <v>1.7819636400000001</v>
      </c>
    </row>
    <row r="291" spans="1:19" x14ac:dyDescent="0.3">
      <c r="A291" t="s">
        <v>64</v>
      </c>
      <c r="B291" t="s">
        <v>63</v>
      </c>
      <c r="C291">
        <v>315.89916299999999</v>
      </c>
      <c r="D291">
        <v>300.21119299999998</v>
      </c>
      <c r="E291">
        <v>12.033200000000001</v>
      </c>
      <c r="F291">
        <v>12.030900000000001</v>
      </c>
      <c r="G291">
        <v>0.24099999999999999</v>
      </c>
      <c r="H291">
        <v>0.23499999999999999</v>
      </c>
      <c r="J291" t="s">
        <v>0</v>
      </c>
      <c r="K291" t="s">
        <v>49</v>
      </c>
      <c r="L291" t="s">
        <v>50</v>
      </c>
      <c r="M291">
        <v>0</v>
      </c>
      <c r="N291" t="s">
        <v>51</v>
      </c>
      <c r="O291">
        <v>1</v>
      </c>
      <c r="P291" t="s">
        <v>52</v>
      </c>
      <c r="Q291" s="2">
        <v>0.47152777777777777</v>
      </c>
      <c r="R291">
        <f>-0.0009607465*3600</f>
        <v>-3.4586874000000001</v>
      </c>
      <c r="S291">
        <f>0.0005158817*3600</f>
        <v>1.8571741199999998</v>
      </c>
    </row>
    <row r="292" spans="1:19" x14ac:dyDescent="0.3">
      <c r="A292" t="s">
        <v>64</v>
      </c>
      <c r="B292" t="s">
        <v>63</v>
      </c>
      <c r="C292">
        <v>115.899889</v>
      </c>
      <c r="D292">
        <v>99.785758999999999</v>
      </c>
      <c r="E292">
        <v>12.033200000000001</v>
      </c>
      <c r="F292">
        <v>12.030900000000001</v>
      </c>
      <c r="G292">
        <v>0.24099999999999999</v>
      </c>
      <c r="H292">
        <v>0.23499999999999999</v>
      </c>
      <c r="J292" t="s">
        <v>0</v>
      </c>
      <c r="K292" t="s">
        <v>49</v>
      </c>
      <c r="L292" t="s">
        <v>50</v>
      </c>
      <c r="M292">
        <v>0</v>
      </c>
      <c r="N292" t="s">
        <v>51</v>
      </c>
      <c r="O292">
        <v>1</v>
      </c>
      <c r="P292" t="s">
        <v>52</v>
      </c>
      <c r="Q292" s="2">
        <v>0.47152777777777777</v>
      </c>
      <c r="R292">
        <f>-0.0010711226*3600</f>
        <v>-3.8560413600000003</v>
      </c>
      <c r="S292">
        <f>0.0006717403*3600</f>
        <v>2.4182650799999998</v>
      </c>
    </row>
    <row r="293" spans="1:19" x14ac:dyDescent="0.3">
      <c r="A293" t="s">
        <v>64</v>
      </c>
      <c r="B293" t="s">
        <v>63</v>
      </c>
      <c r="C293">
        <v>315.89978300000001</v>
      </c>
      <c r="D293">
        <v>300.21122600000001</v>
      </c>
      <c r="E293">
        <v>12.032999999999999</v>
      </c>
      <c r="F293">
        <v>12.0307</v>
      </c>
      <c r="G293">
        <v>0.24099999999999999</v>
      </c>
      <c r="H293">
        <v>0.23499999999999999</v>
      </c>
      <c r="J293" t="s">
        <v>0</v>
      </c>
      <c r="K293" t="s">
        <v>49</v>
      </c>
      <c r="L293" t="s">
        <v>50</v>
      </c>
      <c r="M293">
        <v>0</v>
      </c>
      <c r="N293" t="s">
        <v>51</v>
      </c>
      <c r="O293">
        <v>1</v>
      </c>
      <c r="P293" t="s">
        <v>52</v>
      </c>
      <c r="Q293" s="2">
        <v>0.47152777777777777</v>
      </c>
      <c r="R293">
        <f>-0.0010171255*3600</f>
        <v>-3.6616518</v>
      </c>
      <c r="S293">
        <f>0.0007050988*3600</f>
        <v>2.53835568</v>
      </c>
    </row>
    <row r="294" spans="1:19" x14ac:dyDescent="0.3">
      <c r="A294" t="s">
        <v>64</v>
      </c>
      <c r="B294" t="s">
        <v>63</v>
      </c>
      <c r="C294">
        <v>115.89947100000001</v>
      </c>
      <c r="D294">
        <v>99.785950999999997</v>
      </c>
      <c r="E294">
        <v>12.033099999999999</v>
      </c>
      <c r="F294">
        <v>12.030799999999999</v>
      </c>
      <c r="G294">
        <v>0.24099999999999999</v>
      </c>
      <c r="H294">
        <v>0.23499999999999999</v>
      </c>
      <c r="J294" t="s">
        <v>0</v>
      </c>
      <c r="K294" t="s">
        <v>49</v>
      </c>
      <c r="L294" t="s">
        <v>50</v>
      </c>
      <c r="M294">
        <v>0</v>
      </c>
      <c r="N294" t="s">
        <v>51</v>
      </c>
      <c r="O294">
        <v>1</v>
      </c>
      <c r="P294" t="s">
        <v>52</v>
      </c>
      <c r="Q294" s="2">
        <v>0.47222222222222227</v>
      </c>
      <c r="R294">
        <f>0.000806795*3600</f>
        <v>2.9044620000000001</v>
      </c>
      <c r="S294">
        <f>0.0004377496*3600</f>
        <v>1.5758985599999999</v>
      </c>
    </row>
    <row r="295" spans="1:19" x14ac:dyDescent="0.3">
      <c r="A295" t="s">
        <v>64</v>
      </c>
      <c r="B295" t="s">
        <v>63</v>
      </c>
      <c r="C295">
        <v>315.89941299999998</v>
      </c>
      <c r="D295">
        <v>300.21130399999998</v>
      </c>
      <c r="E295">
        <v>12.033099999999999</v>
      </c>
      <c r="F295">
        <v>12.030799999999999</v>
      </c>
      <c r="G295">
        <v>0.24099999999999999</v>
      </c>
      <c r="H295">
        <v>0.23499999999999999</v>
      </c>
      <c r="J295" t="s">
        <v>0</v>
      </c>
      <c r="K295" t="s">
        <v>49</v>
      </c>
      <c r="L295" t="s">
        <v>50</v>
      </c>
      <c r="M295">
        <v>0</v>
      </c>
      <c r="N295" t="s">
        <v>51</v>
      </c>
      <c r="O295">
        <v>1</v>
      </c>
      <c r="P295" t="s">
        <v>52</v>
      </c>
      <c r="Q295" s="2">
        <v>0.47222222222222227</v>
      </c>
      <c r="R295">
        <f>0.0007627594*3600</f>
        <v>2.7459338400000002</v>
      </c>
      <c r="S295">
        <f>0.0003955377*3600</f>
        <v>1.42393572</v>
      </c>
    </row>
    <row r="296" spans="1:19" x14ac:dyDescent="0.3">
      <c r="A296" t="s">
        <v>64</v>
      </c>
      <c r="B296" t="s">
        <v>63</v>
      </c>
      <c r="C296">
        <v>115.899444</v>
      </c>
      <c r="D296">
        <v>99.785855999999995</v>
      </c>
      <c r="E296">
        <v>12.033300000000001</v>
      </c>
      <c r="F296">
        <v>12.031000000000001</v>
      </c>
      <c r="G296">
        <v>0.24099999999999999</v>
      </c>
      <c r="H296">
        <v>0.23499999999999999</v>
      </c>
      <c r="J296" t="s">
        <v>0</v>
      </c>
      <c r="K296" t="s">
        <v>49</v>
      </c>
      <c r="L296" t="s">
        <v>50</v>
      </c>
      <c r="M296">
        <v>0</v>
      </c>
      <c r="N296" t="s">
        <v>51</v>
      </c>
      <c r="O296">
        <v>1</v>
      </c>
      <c r="P296" t="s">
        <v>52</v>
      </c>
      <c r="Q296" s="2">
        <v>0.47222222222222227</v>
      </c>
      <c r="R296">
        <f>0.0007034272*3600</f>
        <v>2.5323379200000002</v>
      </c>
      <c r="S296">
        <f>0.000500674*3600</f>
        <v>1.8024264000000001</v>
      </c>
    </row>
    <row r="297" spans="1:19" x14ac:dyDescent="0.3">
      <c r="A297" t="s">
        <v>64</v>
      </c>
      <c r="B297" t="s">
        <v>63</v>
      </c>
      <c r="C297">
        <v>315.89937900000001</v>
      </c>
      <c r="D297">
        <v>300.211388</v>
      </c>
      <c r="E297">
        <v>12.0329</v>
      </c>
      <c r="F297">
        <v>12.0306</v>
      </c>
      <c r="G297">
        <v>0.24099999999999999</v>
      </c>
      <c r="H297">
        <v>0.23499999999999999</v>
      </c>
      <c r="J297" t="s">
        <v>0</v>
      </c>
      <c r="K297" t="s">
        <v>49</v>
      </c>
      <c r="L297" t="s">
        <v>50</v>
      </c>
      <c r="M297">
        <v>0</v>
      </c>
      <c r="N297" t="s">
        <v>51</v>
      </c>
      <c r="O297">
        <v>1</v>
      </c>
      <c r="P297" t="s">
        <v>52</v>
      </c>
      <c r="Q297" s="2">
        <v>0.47222222222222227</v>
      </c>
      <c r="R297">
        <f>-0.0009451106*3600</f>
        <v>-3.4023981599999997</v>
      </c>
      <c r="S297">
        <f>0.0004779525*3600</f>
        <v>1.720629</v>
      </c>
    </row>
    <row r="298" spans="1:19" x14ac:dyDescent="0.3">
      <c r="A298" t="s">
        <v>64</v>
      </c>
      <c r="B298" t="s">
        <v>63</v>
      </c>
      <c r="C298">
        <v>115.89971799999999</v>
      </c>
      <c r="D298">
        <v>99.785923999999994</v>
      </c>
      <c r="E298">
        <v>12.033300000000001</v>
      </c>
      <c r="F298">
        <v>12.031000000000001</v>
      </c>
      <c r="G298">
        <v>0.24099999999999999</v>
      </c>
      <c r="H298">
        <v>0.23499999999999999</v>
      </c>
      <c r="J298" t="s">
        <v>0</v>
      </c>
      <c r="K298" t="s">
        <v>49</v>
      </c>
      <c r="L298" t="s">
        <v>50</v>
      </c>
      <c r="M298">
        <v>0</v>
      </c>
      <c r="N298" t="s">
        <v>51</v>
      </c>
      <c r="O298">
        <v>1</v>
      </c>
      <c r="P298" t="s">
        <v>52</v>
      </c>
      <c r="Q298" s="2">
        <v>0.47222222222222227</v>
      </c>
      <c r="R298">
        <f>-0.0010451105*3600</f>
        <v>-3.7623978000000005</v>
      </c>
      <c r="S298">
        <f>0.0006808842*3600</f>
        <v>2.45118312</v>
      </c>
    </row>
    <row r="299" spans="1:19" x14ac:dyDescent="0.3">
      <c r="A299" t="s">
        <v>64</v>
      </c>
      <c r="B299" t="s">
        <v>63</v>
      </c>
      <c r="C299">
        <v>315.899315</v>
      </c>
      <c r="D299">
        <v>300.21133500000002</v>
      </c>
      <c r="E299">
        <v>12.032999999999999</v>
      </c>
      <c r="F299">
        <v>12.0307</v>
      </c>
      <c r="G299">
        <v>0.24099999999999999</v>
      </c>
      <c r="H299">
        <v>0.23499999999999999</v>
      </c>
      <c r="J299" t="s">
        <v>0</v>
      </c>
      <c r="K299" t="s">
        <v>49</v>
      </c>
      <c r="L299" t="s">
        <v>50</v>
      </c>
      <c r="M299">
        <v>0</v>
      </c>
      <c r="N299" t="s">
        <v>51</v>
      </c>
      <c r="O299">
        <v>1</v>
      </c>
      <c r="P299" t="s">
        <v>52</v>
      </c>
      <c r="Q299" s="2">
        <v>0.47222222222222227</v>
      </c>
      <c r="R299">
        <f>-0.0010272083*3600</f>
        <v>-3.6979498800000004</v>
      </c>
      <c r="S299">
        <f>0.0006901681*3600</f>
        <v>2.4846051600000001</v>
      </c>
    </row>
    <row r="300" spans="1:19" x14ac:dyDescent="0.3">
      <c r="Q300" s="2"/>
    </row>
    <row r="301" spans="1:19" x14ac:dyDescent="0.3">
      <c r="A301" t="s">
        <v>0</v>
      </c>
      <c r="B301" t="s">
        <v>39</v>
      </c>
      <c r="C301" t="s">
        <v>40</v>
      </c>
      <c r="D301" t="s">
        <v>41</v>
      </c>
      <c r="E301">
        <v>3</v>
      </c>
    </row>
    <row r="302" spans="1:19" x14ac:dyDescent="0.3">
      <c r="A302" t="s">
        <v>0</v>
      </c>
      <c r="B302" t="s">
        <v>42</v>
      </c>
      <c r="C302" t="s">
        <v>43</v>
      </c>
      <c r="D302">
        <v>-186</v>
      </c>
    </row>
    <row r="303" spans="1:19" x14ac:dyDescent="0.3">
      <c r="A303" t="s">
        <v>0</v>
      </c>
      <c r="B303" t="s">
        <v>42</v>
      </c>
      <c r="C303" t="s">
        <v>44</v>
      </c>
      <c r="D303" t="s">
        <v>43</v>
      </c>
      <c r="E303">
        <v>0.99981404770000004</v>
      </c>
    </row>
    <row r="307" spans="1:19" x14ac:dyDescent="0.3">
      <c r="A307" t="s">
        <v>45</v>
      </c>
      <c r="B307" t="s">
        <v>63</v>
      </c>
    </row>
    <row r="308" spans="1:19" x14ac:dyDescent="0.3">
      <c r="A308" t="s">
        <v>47</v>
      </c>
      <c r="B308" t="s">
        <v>56</v>
      </c>
      <c r="C308">
        <v>108.003601</v>
      </c>
      <c r="D308">
        <v>99.621210000000005</v>
      </c>
      <c r="E308">
        <v>92.552000000000007</v>
      </c>
      <c r="F308">
        <v>92.533100000000005</v>
      </c>
      <c r="G308">
        <v>0.23499999999999999</v>
      </c>
      <c r="H308">
        <v>0.24</v>
      </c>
      <c r="J308" t="s">
        <v>0</v>
      </c>
      <c r="K308" t="s">
        <v>49</v>
      </c>
      <c r="L308" t="s">
        <v>50</v>
      </c>
      <c r="M308">
        <v>0</v>
      </c>
      <c r="N308" t="s">
        <v>51</v>
      </c>
      <c r="O308">
        <v>1</v>
      </c>
      <c r="P308" t="s">
        <v>52</v>
      </c>
      <c r="Q308" s="2">
        <v>0.4777777777777778</v>
      </c>
      <c r="R308">
        <f>0.00007452*3600</f>
        <v>0.26827200000000001</v>
      </c>
      <c r="S308">
        <f>-0.0000712728*3600</f>
        <v>-0.25658208000000005</v>
      </c>
    </row>
    <row r="309" spans="1:19" x14ac:dyDescent="0.3">
      <c r="A309" t="s">
        <v>28</v>
      </c>
      <c r="B309">
        <v>18</v>
      </c>
      <c r="C309" t="s">
        <v>29</v>
      </c>
      <c r="D309" s="3">
        <v>0.6</v>
      </c>
      <c r="E309" t="s">
        <v>30</v>
      </c>
      <c r="F309" t="s">
        <v>58</v>
      </c>
      <c r="G309" t="s">
        <v>32</v>
      </c>
      <c r="H309" t="s">
        <v>59</v>
      </c>
    </row>
    <row r="310" spans="1:19" x14ac:dyDescent="0.3">
      <c r="A310" t="s">
        <v>34</v>
      </c>
      <c r="B310" t="s">
        <v>35</v>
      </c>
      <c r="C310" t="s">
        <v>34</v>
      </c>
      <c r="D310" t="s">
        <v>67</v>
      </c>
    </row>
    <row r="311" spans="1:19" x14ac:dyDescent="0.3">
      <c r="A311" t="s">
        <v>37</v>
      </c>
      <c r="B311" t="s">
        <v>38</v>
      </c>
      <c r="C311">
        <v>0.13</v>
      </c>
    </row>
    <row r="313" spans="1:19" x14ac:dyDescent="0.3">
      <c r="A313" t="s">
        <v>63</v>
      </c>
      <c r="B313" t="s">
        <v>56</v>
      </c>
      <c r="C313">
        <v>108.003221</v>
      </c>
      <c r="D313">
        <v>99.621521999999999</v>
      </c>
      <c r="E313">
        <v>92.552000000000007</v>
      </c>
      <c r="F313">
        <v>92.533100000000005</v>
      </c>
      <c r="G313">
        <v>0.23499999999999999</v>
      </c>
      <c r="H313">
        <v>0.24</v>
      </c>
      <c r="J313" t="s">
        <v>0</v>
      </c>
      <c r="K313" t="s">
        <v>49</v>
      </c>
      <c r="L313" t="s">
        <v>50</v>
      </c>
      <c r="M313">
        <v>0</v>
      </c>
      <c r="N313" t="s">
        <v>51</v>
      </c>
      <c r="O313">
        <v>1</v>
      </c>
      <c r="P313" t="s">
        <v>52</v>
      </c>
      <c r="Q313" s="2">
        <v>0.47847222222222219</v>
      </c>
      <c r="R313">
        <f>-0.0000775044*3600</f>
        <v>-0.27901583999999996</v>
      </c>
      <c r="S313">
        <f>-0.0004457224*3600</f>
        <v>-1.6046006399999999</v>
      </c>
    </row>
    <row r="314" spans="1:19" x14ac:dyDescent="0.3">
      <c r="A314" t="s">
        <v>63</v>
      </c>
      <c r="B314" t="s">
        <v>56</v>
      </c>
      <c r="C314">
        <v>308.00394399999999</v>
      </c>
      <c r="D314">
        <v>300.37930999999998</v>
      </c>
      <c r="E314">
        <v>92.551900000000003</v>
      </c>
      <c r="F314">
        <v>92.533000000000001</v>
      </c>
      <c r="G314">
        <v>0.23499999999999999</v>
      </c>
      <c r="H314">
        <v>0.24</v>
      </c>
      <c r="J314" t="s">
        <v>0</v>
      </c>
      <c r="K314" t="s">
        <v>49</v>
      </c>
      <c r="L314" t="s">
        <v>50</v>
      </c>
      <c r="M314">
        <v>0</v>
      </c>
      <c r="N314" t="s">
        <v>51</v>
      </c>
      <c r="O314">
        <v>1</v>
      </c>
      <c r="P314" t="s">
        <v>52</v>
      </c>
      <c r="Q314" s="2">
        <v>0.47847222222222219</v>
      </c>
      <c r="R314">
        <f>-0.0001093436*3600</f>
        <v>-0.39363695999999998</v>
      </c>
      <c r="S314">
        <f>-0.0003889684*3600</f>
        <v>-1.40028624</v>
      </c>
    </row>
    <row r="315" spans="1:19" x14ac:dyDescent="0.3">
      <c r="A315" t="s">
        <v>63</v>
      </c>
      <c r="B315" t="s">
        <v>56</v>
      </c>
      <c r="C315">
        <v>108.00366699999999</v>
      </c>
      <c r="D315">
        <v>99.621302999999997</v>
      </c>
      <c r="E315">
        <v>92.552000000000007</v>
      </c>
      <c r="F315">
        <v>92.533100000000005</v>
      </c>
      <c r="G315">
        <v>0.23499999999999999</v>
      </c>
      <c r="H315">
        <v>0.24</v>
      </c>
      <c r="J315" t="s">
        <v>0</v>
      </c>
      <c r="K315" t="s">
        <v>49</v>
      </c>
      <c r="L315" t="s">
        <v>50</v>
      </c>
      <c r="M315">
        <v>0</v>
      </c>
      <c r="N315" t="s">
        <v>51</v>
      </c>
      <c r="O315">
        <v>1</v>
      </c>
      <c r="P315" t="s">
        <v>52</v>
      </c>
      <c r="Q315" s="2">
        <v>0.47916666666666669</v>
      </c>
      <c r="R315">
        <f>-0.0002917586*3600</f>
        <v>-1.0503309600000001</v>
      </c>
      <c r="S315">
        <f>0.0008678214*3600</f>
        <v>3.1241570400000001</v>
      </c>
    </row>
    <row r="316" spans="1:19" x14ac:dyDescent="0.3">
      <c r="A316" t="s">
        <v>63</v>
      </c>
      <c r="B316" t="s">
        <v>56</v>
      </c>
      <c r="C316">
        <v>308.00419699999998</v>
      </c>
      <c r="D316">
        <v>300.37939499999999</v>
      </c>
      <c r="E316">
        <v>92.551900000000003</v>
      </c>
      <c r="F316">
        <v>92.533000000000001</v>
      </c>
      <c r="G316">
        <v>0.23499999999999999</v>
      </c>
      <c r="H316">
        <v>0.24</v>
      </c>
      <c r="J316" t="s">
        <v>0</v>
      </c>
      <c r="K316" t="s">
        <v>49</v>
      </c>
      <c r="L316" t="s">
        <v>50</v>
      </c>
      <c r="M316">
        <v>0</v>
      </c>
      <c r="N316" t="s">
        <v>51</v>
      </c>
      <c r="O316">
        <v>1</v>
      </c>
      <c r="P316" t="s">
        <v>52</v>
      </c>
      <c r="Q316" s="2">
        <v>0.49722222222222223</v>
      </c>
      <c r="R316">
        <f>-0.0001425107*3600</f>
        <v>-0.51303852000000005</v>
      </c>
      <c r="S316">
        <f>0.0009153505*3600</f>
        <v>3.2952618</v>
      </c>
    </row>
    <row r="317" spans="1:19" x14ac:dyDescent="0.3">
      <c r="A317" t="s">
        <v>63</v>
      </c>
      <c r="B317" t="s">
        <v>56</v>
      </c>
      <c r="C317">
        <v>108.003135</v>
      </c>
      <c r="D317">
        <v>99.621437999999998</v>
      </c>
      <c r="E317">
        <v>92.551900000000003</v>
      </c>
      <c r="F317">
        <v>92.533000000000001</v>
      </c>
      <c r="G317">
        <v>0.23499999999999999</v>
      </c>
      <c r="H317">
        <v>0.24</v>
      </c>
      <c r="J317" t="s">
        <v>0</v>
      </c>
      <c r="K317" t="s">
        <v>49</v>
      </c>
      <c r="L317" t="s">
        <v>50</v>
      </c>
      <c r="M317">
        <v>0</v>
      </c>
      <c r="N317" t="s">
        <v>51</v>
      </c>
      <c r="O317">
        <v>1</v>
      </c>
      <c r="P317" t="s">
        <v>52</v>
      </c>
      <c r="Q317" s="2">
        <v>0.49722222222222223</v>
      </c>
      <c r="R317">
        <f>0.000287555*3600</f>
        <v>1.0351980000000001</v>
      </c>
      <c r="S317">
        <f>-0.0001149629*3600</f>
        <v>-0.41386644</v>
      </c>
    </row>
    <row r="318" spans="1:19" x14ac:dyDescent="0.3">
      <c r="A318" t="s">
        <v>63</v>
      </c>
      <c r="B318" t="s">
        <v>56</v>
      </c>
      <c r="C318">
        <v>308.00437199999999</v>
      </c>
      <c r="D318">
        <v>300.37904700000001</v>
      </c>
      <c r="E318">
        <v>92.551900000000003</v>
      </c>
      <c r="F318">
        <v>92.533000000000001</v>
      </c>
      <c r="G318">
        <v>0.23499999999999999</v>
      </c>
      <c r="H318">
        <v>0.24</v>
      </c>
      <c r="J318" t="s">
        <v>0</v>
      </c>
      <c r="K318" t="s">
        <v>49</v>
      </c>
      <c r="L318" t="s">
        <v>50</v>
      </c>
      <c r="M318">
        <v>0</v>
      </c>
      <c r="N318" t="s">
        <v>51</v>
      </c>
      <c r="O318">
        <v>1</v>
      </c>
      <c r="P318" t="s">
        <v>52</v>
      </c>
      <c r="Q318" s="2">
        <v>0.49722222222222223</v>
      </c>
      <c r="R318">
        <f>0.0001667027*3600</f>
        <v>0.60012972000000009</v>
      </c>
      <c r="S318">
        <f>-0.0000004021*3600</f>
        <v>-1.4475599999999999E-3</v>
      </c>
    </row>
    <row r="319" spans="1:19" x14ac:dyDescent="0.3">
      <c r="A319" t="s">
        <v>63</v>
      </c>
      <c r="B319" t="s">
        <v>56</v>
      </c>
      <c r="C319">
        <v>108.003613</v>
      </c>
      <c r="D319">
        <v>99.621022999999994</v>
      </c>
      <c r="E319">
        <v>92.5518</v>
      </c>
      <c r="F319">
        <v>92.532899999999998</v>
      </c>
      <c r="G319">
        <v>0.23499999999999999</v>
      </c>
      <c r="H319">
        <v>0.24</v>
      </c>
      <c r="J319" t="s">
        <v>0</v>
      </c>
      <c r="K319" t="s">
        <v>49</v>
      </c>
      <c r="L319" t="s">
        <v>50</v>
      </c>
      <c r="M319">
        <v>0</v>
      </c>
      <c r="N319" t="s">
        <v>51</v>
      </c>
      <c r="O319">
        <v>1</v>
      </c>
      <c r="P319" t="s">
        <v>52</v>
      </c>
      <c r="Q319" s="2">
        <v>0.49722222222222223</v>
      </c>
      <c r="R319">
        <f>-0.0001636364*3600</f>
        <v>-0.58909104000000001</v>
      </c>
      <c r="S319">
        <f>0.0007660015*3600</f>
        <v>2.7576054000000001</v>
      </c>
    </row>
    <row r="320" spans="1:19" x14ac:dyDescent="0.3">
      <c r="A320" t="s">
        <v>63</v>
      </c>
      <c r="B320" t="s">
        <v>56</v>
      </c>
      <c r="C320">
        <v>308.00418100000002</v>
      </c>
      <c r="D320">
        <v>300.37907100000001</v>
      </c>
      <c r="E320">
        <v>92.5518</v>
      </c>
      <c r="F320">
        <v>92.532899999999998</v>
      </c>
      <c r="G320">
        <v>0.23499999999999999</v>
      </c>
      <c r="H320">
        <v>0.24</v>
      </c>
      <c r="J320" t="s">
        <v>0</v>
      </c>
      <c r="K320" t="s">
        <v>49</v>
      </c>
      <c r="L320" t="s">
        <v>50</v>
      </c>
      <c r="M320">
        <v>0</v>
      </c>
      <c r="N320" t="s">
        <v>51</v>
      </c>
      <c r="O320">
        <v>1</v>
      </c>
      <c r="P320" t="s">
        <v>52</v>
      </c>
      <c r="Q320" s="2">
        <v>0.49791666666666662</v>
      </c>
      <c r="R320">
        <f>-0.0001896217*3600</f>
        <v>-0.68263812000000001</v>
      </c>
      <c r="S320">
        <f>0.000735655*3600</f>
        <v>2.648358</v>
      </c>
    </row>
    <row r="321" spans="1:19" x14ac:dyDescent="0.3">
      <c r="A321" t="s">
        <v>63</v>
      </c>
      <c r="B321" t="s">
        <v>56</v>
      </c>
      <c r="C321">
        <v>108.00332400000001</v>
      </c>
      <c r="D321">
        <v>99.621211000000002</v>
      </c>
      <c r="E321">
        <v>92.552000000000007</v>
      </c>
      <c r="F321">
        <v>92.533100000000005</v>
      </c>
      <c r="G321">
        <v>0.23499999999999999</v>
      </c>
      <c r="H321">
        <v>0.24</v>
      </c>
      <c r="J321" t="s">
        <v>0</v>
      </c>
      <c r="K321" t="s">
        <v>49</v>
      </c>
      <c r="L321" t="s">
        <v>50</v>
      </c>
      <c r="M321">
        <v>0</v>
      </c>
      <c r="N321" t="s">
        <v>51</v>
      </c>
      <c r="O321">
        <v>1</v>
      </c>
      <c r="P321" t="s">
        <v>52</v>
      </c>
      <c r="Q321" s="2">
        <v>0.49791666666666662</v>
      </c>
      <c r="R321">
        <f>0.0000792925*3600</f>
        <v>0.28545299999999996</v>
      </c>
      <c r="S321">
        <f>0.0000551828*3600</f>
        <v>0.19865808000000001</v>
      </c>
    </row>
    <row r="322" spans="1:19" x14ac:dyDescent="0.3">
      <c r="A322" t="s">
        <v>63</v>
      </c>
      <c r="B322" t="s">
        <v>56</v>
      </c>
      <c r="C322">
        <v>308.00447400000002</v>
      </c>
      <c r="D322">
        <v>300.37956400000002</v>
      </c>
      <c r="E322">
        <v>92.552000000000007</v>
      </c>
      <c r="F322">
        <v>92.533100000000005</v>
      </c>
      <c r="G322">
        <v>0.23499999999999999</v>
      </c>
      <c r="H322">
        <v>0.24</v>
      </c>
      <c r="J322" t="s">
        <v>0</v>
      </c>
      <c r="K322" t="s">
        <v>49</v>
      </c>
      <c r="L322" t="s">
        <v>50</v>
      </c>
      <c r="M322">
        <v>0</v>
      </c>
      <c r="N322" t="s">
        <v>51</v>
      </c>
      <c r="O322">
        <v>1</v>
      </c>
      <c r="P322" t="s">
        <v>52</v>
      </c>
      <c r="Q322" s="2">
        <v>0.49791666666666662</v>
      </c>
      <c r="R322">
        <f>0.0000006494*3600</f>
        <v>2.3378399999999999E-3</v>
      </c>
      <c r="S322">
        <f>0.0001050323*3600</f>
        <v>0.37811628000000003</v>
      </c>
    </row>
    <row r="323" spans="1:19" x14ac:dyDescent="0.3">
      <c r="A323" t="s">
        <v>63</v>
      </c>
      <c r="B323" t="s">
        <v>61</v>
      </c>
      <c r="C323">
        <v>105.94381799999999</v>
      </c>
      <c r="D323">
        <v>99.700903999999994</v>
      </c>
      <c r="E323">
        <v>32.577300000000001</v>
      </c>
      <c r="F323">
        <v>32.570900000000002</v>
      </c>
      <c r="G323">
        <v>0.23499999999999999</v>
      </c>
      <c r="H323">
        <v>0.24099999999999999</v>
      </c>
      <c r="J323" t="s">
        <v>0</v>
      </c>
      <c r="K323" t="s">
        <v>49</v>
      </c>
      <c r="L323" t="s">
        <v>50</v>
      </c>
      <c r="M323">
        <v>0</v>
      </c>
      <c r="N323" t="s">
        <v>51</v>
      </c>
      <c r="O323">
        <v>1</v>
      </c>
      <c r="P323" t="s">
        <v>52</v>
      </c>
      <c r="Q323" s="2">
        <v>0.49791666666666662</v>
      </c>
      <c r="R323">
        <f>0.0001097446*3600</f>
        <v>0.39508056000000003</v>
      </c>
      <c r="S323">
        <f>0.0002843384*3600</f>
        <v>1.02361824</v>
      </c>
    </row>
    <row r="324" spans="1:19" x14ac:dyDescent="0.3">
      <c r="A324" t="s">
        <v>63</v>
      </c>
      <c r="B324" t="s">
        <v>61</v>
      </c>
      <c r="C324">
        <v>305.943826</v>
      </c>
      <c r="D324">
        <v>300.29763300000002</v>
      </c>
      <c r="E324">
        <v>32.577300000000001</v>
      </c>
      <c r="F324">
        <v>32.570900000000002</v>
      </c>
      <c r="G324">
        <v>0.23499999999999999</v>
      </c>
      <c r="H324">
        <v>0.24099999999999999</v>
      </c>
      <c r="J324" t="s">
        <v>0</v>
      </c>
      <c r="K324" t="s">
        <v>49</v>
      </c>
      <c r="L324" t="s">
        <v>50</v>
      </c>
      <c r="M324">
        <v>0</v>
      </c>
      <c r="N324" t="s">
        <v>51</v>
      </c>
      <c r="O324">
        <v>1</v>
      </c>
      <c r="P324" t="s">
        <v>52</v>
      </c>
      <c r="Q324" s="2">
        <v>0.49791666666666662</v>
      </c>
      <c r="R324">
        <f>0.0000988416*3600</f>
        <v>0.35582975999999999</v>
      </c>
      <c r="S324">
        <f>0.0002538424*3600</f>
        <v>0.91383263999999986</v>
      </c>
    </row>
    <row r="325" spans="1:19" x14ac:dyDescent="0.3">
      <c r="A325" t="s">
        <v>63</v>
      </c>
      <c r="B325" t="s">
        <v>61</v>
      </c>
      <c r="C325">
        <v>105.943932</v>
      </c>
      <c r="D325">
        <v>99.700817999999998</v>
      </c>
      <c r="E325">
        <v>32.577300000000001</v>
      </c>
      <c r="F325">
        <v>32.570900000000002</v>
      </c>
      <c r="G325">
        <v>0.23499999999999999</v>
      </c>
      <c r="H325">
        <v>0.24099999999999999</v>
      </c>
      <c r="J325" t="s">
        <v>0</v>
      </c>
      <c r="K325" t="s">
        <v>49</v>
      </c>
      <c r="L325" t="s">
        <v>50</v>
      </c>
      <c r="M325">
        <v>0</v>
      </c>
      <c r="N325" t="s">
        <v>51</v>
      </c>
      <c r="O325">
        <v>1</v>
      </c>
      <c r="P325" t="s">
        <v>52</v>
      </c>
      <c r="Q325" s="2">
        <v>0.49791666666666662</v>
      </c>
      <c r="R325">
        <f>-0.0000897711*3600</f>
        <v>-0.32317595999999998</v>
      </c>
      <c r="S325">
        <f>-0.0006025511*3600</f>
        <v>-2.1691839600000002</v>
      </c>
    </row>
    <row r="326" spans="1:19" x14ac:dyDescent="0.3">
      <c r="A326" t="s">
        <v>63</v>
      </c>
      <c r="B326" t="s">
        <v>61</v>
      </c>
      <c r="C326">
        <v>305.94384600000001</v>
      </c>
      <c r="D326">
        <v>300.29771699999998</v>
      </c>
      <c r="E326">
        <v>32.577300000000001</v>
      </c>
      <c r="F326">
        <v>32.570900000000002</v>
      </c>
      <c r="G326">
        <v>0.23499999999999999</v>
      </c>
      <c r="H326">
        <v>0.24099999999999999</v>
      </c>
      <c r="J326" t="s">
        <v>0</v>
      </c>
      <c r="K326" t="s">
        <v>49</v>
      </c>
      <c r="L326" t="s">
        <v>50</v>
      </c>
      <c r="M326">
        <v>0</v>
      </c>
      <c r="N326" t="s">
        <v>51</v>
      </c>
      <c r="O326">
        <v>1</v>
      </c>
      <c r="P326" t="s">
        <v>52</v>
      </c>
      <c r="Q326" s="2">
        <v>0.49791666666666662</v>
      </c>
      <c r="R326">
        <f>-0.000227597*3600</f>
        <v>-0.8193492</v>
      </c>
      <c r="S326">
        <f>-0.0004705678*3600</f>
        <v>-1.6940440800000001</v>
      </c>
    </row>
    <row r="327" spans="1:19" x14ac:dyDescent="0.3">
      <c r="A327" t="s">
        <v>63</v>
      </c>
      <c r="B327" t="s">
        <v>61</v>
      </c>
      <c r="C327">
        <v>105.94372799999999</v>
      </c>
      <c r="D327">
        <v>99.700674000000006</v>
      </c>
      <c r="E327">
        <v>32.577399999999997</v>
      </c>
      <c r="F327">
        <v>32.570999999999998</v>
      </c>
      <c r="G327">
        <v>0.23499999999999999</v>
      </c>
      <c r="H327">
        <v>0.24099999999999999</v>
      </c>
      <c r="J327" t="s">
        <v>0</v>
      </c>
      <c r="K327" t="s">
        <v>49</v>
      </c>
      <c r="L327" t="s">
        <v>50</v>
      </c>
      <c r="M327">
        <v>0</v>
      </c>
      <c r="N327" t="s">
        <v>51</v>
      </c>
      <c r="O327">
        <v>1</v>
      </c>
      <c r="P327" t="s">
        <v>52</v>
      </c>
      <c r="Q327" s="2">
        <v>0.49791666666666662</v>
      </c>
      <c r="R327">
        <f>0.0001011761*3600</f>
        <v>0.36423396000000002</v>
      </c>
      <c r="S327">
        <f>0.0001063153*3600</f>
        <v>0.38273508000000001</v>
      </c>
    </row>
    <row r="328" spans="1:19" x14ac:dyDescent="0.3">
      <c r="A328" t="s">
        <v>63</v>
      </c>
      <c r="B328" t="s">
        <v>61</v>
      </c>
      <c r="C328">
        <v>305.94391899999999</v>
      </c>
      <c r="D328">
        <v>300.29746399999999</v>
      </c>
      <c r="E328">
        <v>32.577100000000002</v>
      </c>
      <c r="F328">
        <v>32.570700000000002</v>
      </c>
      <c r="G328">
        <v>0.23499999999999999</v>
      </c>
      <c r="H328">
        <v>0.24099999999999999</v>
      </c>
      <c r="J328" t="s">
        <v>0</v>
      </c>
      <c r="K328" t="s">
        <v>49</v>
      </c>
      <c r="L328" t="s">
        <v>50</v>
      </c>
      <c r="M328">
        <v>0</v>
      </c>
      <c r="N328" t="s">
        <v>51</v>
      </c>
      <c r="O328">
        <v>1</v>
      </c>
      <c r="P328" t="s">
        <v>52</v>
      </c>
      <c r="Q328" s="2">
        <v>0.49861111111111112</v>
      </c>
      <c r="R328">
        <f>0.0000281066*3600</f>
        <v>0.10118376</v>
      </c>
      <c r="S328">
        <f>0.0002601631*3600</f>
        <v>0.93658715999999986</v>
      </c>
    </row>
    <row r="329" spans="1:19" x14ac:dyDescent="0.3">
      <c r="A329" t="s">
        <v>63</v>
      </c>
      <c r="B329" t="s">
        <v>61</v>
      </c>
      <c r="C329">
        <v>105.943647</v>
      </c>
      <c r="D329">
        <v>99.700732000000002</v>
      </c>
      <c r="E329">
        <v>32.577399999999997</v>
      </c>
      <c r="F329">
        <v>32.570999999999998</v>
      </c>
      <c r="G329">
        <v>0.23499999999999999</v>
      </c>
      <c r="H329">
        <v>0.24099999999999999</v>
      </c>
      <c r="J329" t="s">
        <v>0</v>
      </c>
      <c r="K329" t="s">
        <v>49</v>
      </c>
      <c r="L329" t="s">
        <v>50</v>
      </c>
      <c r="M329">
        <v>0</v>
      </c>
      <c r="N329" t="s">
        <v>51</v>
      </c>
      <c r="O329">
        <v>1</v>
      </c>
      <c r="P329" t="s">
        <v>52</v>
      </c>
      <c r="Q329" s="2">
        <v>0.49861111111111112</v>
      </c>
      <c r="R329">
        <f>0.0001621955*3600</f>
        <v>0.58390379999999997</v>
      </c>
      <c r="S329">
        <f>0.0000108448*3600</f>
        <v>3.9041279999999998E-2</v>
      </c>
    </row>
    <row r="330" spans="1:19" x14ac:dyDescent="0.3">
      <c r="A330" t="s">
        <v>63</v>
      </c>
      <c r="B330" t="s">
        <v>61</v>
      </c>
      <c r="C330">
        <v>305.94403</v>
      </c>
      <c r="D330">
        <v>300.29727200000002</v>
      </c>
      <c r="E330">
        <v>32.577199999999998</v>
      </c>
      <c r="F330">
        <v>32.570799999999998</v>
      </c>
      <c r="G330">
        <v>0.23499999999999999</v>
      </c>
      <c r="H330">
        <v>0.24099999999999999</v>
      </c>
      <c r="J330" t="s">
        <v>0</v>
      </c>
      <c r="K330" t="s">
        <v>49</v>
      </c>
      <c r="L330" t="s">
        <v>50</v>
      </c>
      <c r="M330">
        <v>0</v>
      </c>
      <c r="N330" t="s">
        <v>51</v>
      </c>
      <c r="O330">
        <v>1</v>
      </c>
      <c r="P330" t="s">
        <v>52</v>
      </c>
      <c r="Q330" s="2">
        <v>0.49861111111111112</v>
      </c>
      <c r="R330">
        <f>0.0000432739*3600</f>
        <v>0.15578603999999999</v>
      </c>
      <c r="S330">
        <f>0.0000983621*3600</f>
        <v>0.35410355999999998</v>
      </c>
    </row>
    <row r="331" spans="1:19" x14ac:dyDescent="0.3">
      <c r="A331" t="s">
        <v>63</v>
      </c>
      <c r="B331" t="s">
        <v>61</v>
      </c>
      <c r="C331">
        <v>105.943851</v>
      </c>
      <c r="D331">
        <v>99.700897999999995</v>
      </c>
      <c r="E331">
        <v>32.577300000000001</v>
      </c>
      <c r="F331">
        <v>32.570900000000002</v>
      </c>
      <c r="G331">
        <v>0.23499999999999999</v>
      </c>
      <c r="H331">
        <v>0.24099999999999999</v>
      </c>
      <c r="J331" t="s">
        <v>0</v>
      </c>
      <c r="K331" t="s">
        <v>49</v>
      </c>
      <c r="L331" t="s">
        <v>50</v>
      </c>
      <c r="M331">
        <v>0</v>
      </c>
      <c r="N331" t="s">
        <v>51</v>
      </c>
      <c r="O331">
        <v>1</v>
      </c>
      <c r="P331" t="s">
        <v>52</v>
      </c>
      <c r="Q331" s="2">
        <v>0.49861111111111112</v>
      </c>
      <c r="R331">
        <f>0.0000918888*3600</f>
        <v>0.33079967999999998</v>
      </c>
      <c r="S331">
        <f>0.000311514*3600</f>
        <v>1.1214503999999998</v>
      </c>
    </row>
    <row r="332" spans="1:19" x14ac:dyDescent="0.3">
      <c r="A332" t="s">
        <v>63</v>
      </c>
      <c r="B332" t="s">
        <v>61</v>
      </c>
      <c r="C332">
        <v>305.94408499999997</v>
      </c>
      <c r="D332">
        <v>300.29757799999999</v>
      </c>
      <c r="E332">
        <v>32.577300000000001</v>
      </c>
      <c r="F332">
        <v>32.570900000000002</v>
      </c>
      <c r="G332">
        <v>0.23499999999999999</v>
      </c>
      <c r="H332">
        <v>0.24099999999999999</v>
      </c>
      <c r="J332" t="s">
        <v>0</v>
      </c>
      <c r="K332" t="s">
        <v>49</v>
      </c>
      <c r="L332" t="s">
        <v>50</v>
      </c>
      <c r="M332">
        <v>0</v>
      </c>
      <c r="N332" t="s">
        <v>51</v>
      </c>
      <c r="O332">
        <v>1</v>
      </c>
      <c r="P332" t="s">
        <v>52</v>
      </c>
      <c r="Q332" s="2">
        <v>0.49861111111111112</v>
      </c>
      <c r="R332">
        <f>0.0001212743*3600</f>
        <v>0.43658747999999997</v>
      </c>
      <c r="S332">
        <f>0.000304452*3600</f>
        <v>1.0960272</v>
      </c>
    </row>
    <row r="333" spans="1:19" x14ac:dyDescent="0.3">
      <c r="A333" t="s">
        <v>63</v>
      </c>
      <c r="B333" t="s">
        <v>64</v>
      </c>
      <c r="C333">
        <v>315.90208000000001</v>
      </c>
      <c r="D333">
        <v>100.198258</v>
      </c>
      <c r="E333">
        <v>12.033899999999999</v>
      </c>
      <c r="F333">
        <v>12.031599999999999</v>
      </c>
      <c r="G333">
        <v>0.23499999999999999</v>
      </c>
      <c r="H333">
        <v>0.24099999999999999</v>
      </c>
      <c r="J333" t="s">
        <v>0</v>
      </c>
      <c r="K333" t="s">
        <v>49</v>
      </c>
      <c r="L333" t="s">
        <v>50</v>
      </c>
      <c r="M333">
        <v>0</v>
      </c>
      <c r="N333" t="s">
        <v>51</v>
      </c>
      <c r="O333">
        <v>1</v>
      </c>
      <c r="P333" t="s">
        <v>52</v>
      </c>
      <c r="Q333" s="2">
        <v>0.49861111111111112</v>
      </c>
      <c r="R333">
        <f>0.0003235436*3600</f>
        <v>1.1647569600000001</v>
      </c>
      <c r="S333">
        <f>-0.0000955935*3600</f>
        <v>-0.34413660000000001</v>
      </c>
    </row>
    <row r="334" spans="1:19" x14ac:dyDescent="0.3">
      <c r="A334" t="s">
        <v>63</v>
      </c>
      <c r="B334" t="s">
        <v>64</v>
      </c>
      <c r="C334">
        <v>115.90257699999999</v>
      </c>
      <c r="D334">
        <v>299.798607</v>
      </c>
      <c r="E334">
        <v>12.0337</v>
      </c>
      <c r="F334">
        <v>12.0314</v>
      </c>
      <c r="G334">
        <v>0.23499999999999999</v>
      </c>
      <c r="H334">
        <v>0.24099999999999999</v>
      </c>
      <c r="J334" t="s">
        <v>0</v>
      </c>
      <c r="K334" t="s">
        <v>49</v>
      </c>
      <c r="L334" t="s">
        <v>50</v>
      </c>
      <c r="M334">
        <v>0</v>
      </c>
      <c r="N334" t="s">
        <v>51</v>
      </c>
      <c r="O334">
        <v>1</v>
      </c>
      <c r="P334" t="s">
        <v>52</v>
      </c>
      <c r="Q334" s="2">
        <v>0.49861111111111112</v>
      </c>
      <c r="R334">
        <f>0.000156774*3600</f>
        <v>0.56438639999999995</v>
      </c>
      <c r="S334">
        <f>-0.0000195128*3600</f>
        <v>-7.0246080000000002E-2</v>
      </c>
    </row>
    <row r="335" spans="1:19" x14ac:dyDescent="0.3">
      <c r="A335" t="s">
        <v>63</v>
      </c>
      <c r="B335" t="s">
        <v>64</v>
      </c>
      <c r="C335">
        <v>315.902852</v>
      </c>
      <c r="D335">
        <v>100.198267</v>
      </c>
      <c r="E335">
        <v>12.034000000000001</v>
      </c>
      <c r="F335">
        <v>12.031700000000001</v>
      </c>
      <c r="G335">
        <v>0.23499999999999999</v>
      </c>
      <c r="H335">
        <v>0.24099999999999999</v>
      </c>
      <c r="J335" t="s">
        <v>0</v>
      </c>
      <c r="K335" t="s">
        <v>49</v>
      </c>
      <c r="L335" t="s">
        <v>50</v>
      </c>
      <c r="M335">
        <v>0</v>
      </c>
      <c r="N335" t="s">
        <v>51</v>
      </c>
      <c r="O335">
        <v>1</v>
      </c>
      <c r="P335" t="s">
        <v>52</v>
      </c>
      <c r="Q335" s="2">
        <v>0.49861111111111112</v>
      </c>
      <c r="R335">
        <f>-0.0000738207*3600</f>
        <v>-0.26575451999999999</v>
      </c>
      <c r="S335">
        <f>0.0007885184*3600</f>
        <v>2.8386662400000002</v>
      </c>
    </row>
    <row r="336" spans="1:19" x14ac:dyDescent="0.3">
      <c r="A336" t="s">
        <v>63</v>
      </c>
      <c r="B336" t="s">
        <v>64</v>
      </c>
      <c r="C336">
        <v>115.90271799999999</v>
      </c>
      <c r="D336">
        <v>299.79878600000001</v>
      </c>
      <c r="E336">
        <v>12.033899999999999</v>
      </c>
      <c r="F336">
        <v>12.031599999999999</v>
      </c>
      <c r="G336">
        <v>0.23499999999999999</v>
      </c>
      <c r="H336">
        <v>0.24099999999999999</v>
      </c>
      <c r="J336" t="s">
        <v>0</v>
      </c>
      <c r="K336" t="s">
        <v>49</v>
      </c>
      <c r="L336" t="s">
        <v>50</v>
      </c>
      <c r="M336">
        <v>0</v>
      </c>
      <c r="N336" t="s">
        <v>51</v>
      </c>
      <c r="O336">
        <v>1</v>
      </c>
      <c r="P336" t="s">
        <v>52</v>
      </c>
      <c r="Q336" s="2">
        <v>0.49861111111111112</v>
      </c>
      <c r="R336">
        <f>-0.0000379924*3600</f>
        <v>-0.13677264</v>
      </c>
      <c r="S336">
        <f>0.0007614289*3600</f>
        <v>2.74114404</v>
      </c>
    </row>
    <row r="337" spans="1:19" x14ac:dyDescent="0.3">
      <c r="A337" t="s">
        <v>63</v>
      </c>
      <c r="B337" t="s">
        <v>64</v>
      </c>
      <c r="C337">
        <v>315.90275800000001</v>
      </c>
      <c r="D337">
        <v>100.19819200000001</v>
      </c>
      <c r="E337">
        <v>12.034000000000001</v>
      </c>
      <c r="F337">
        <v>12.031700000000001</v>
      </c>
      <c r="G337">
        <v>0.23499999999999999</v>
      </c>
      <c r="H337">
        <v>0.24099999999999999</v>
      </c>
      <c r="J337" t="s">
        <v>0</v>
      </c>
      <c r="K337" t="s">
        <v>49</v>
      </c>
      <c r="L337" t="s">
        <v>50</v>
      </c>
      <c r="M337">
        <v>0</v>
      </c>
      <c r="N337" t="s">
        <v>51</v>
      </c>
      <c r="O337">
        <v>1</v>
      </c>
      <c r="P337" t="s">
        <v>52</v>
      </c>
      <c r="Q337" s="2">
        <v>0.4993055555555555</v>
      </c>
      <c r="R337">
        <f>-0.0002292465*3600</f>
        <v>-0.8252874</v>
      </c>
      <c r="S337">
        <f>-0.0003362014*3600</f>
        <v>-1.2103250399999999</v>
      </c>
    </row>
    <row r="338" spans="1:19" x14ac:dyDescent="0.3">
      <c r="A338" t="s">
        <v>63</v>
      </c>
      <c r="B338" t="s">
        <v>64</v>
      </c>
      <c r="C338">
        <v>115.902658</v>
      </c>
      <c r="D338">
        <v>299.79887300000001</v>
      </c>
      <c r="E338">
        <v>12.033899999999999</v>
      </c>
      <c r="F338">
        <v>12.031599999999999</v>
      </c>
      <c r="G338">
        <v>0.23499999999999999</v>
      </c>
      <c r="H338">
        <v>0.24099999999999999</v>
      </c>
      <c r="J338" t="s">
        <v>0</v>
      </c>
      <c r="K338" t="s">
        <v>49</v>
      </c>
      <c r="L338" t="s">
        <v>50</v>
      </c>
      <c r="M338">
        <v>0</v>
      </c>
      <c r="N338" t="s">
        <v>51</v>
      </c>
      <c r="O338">
        <v>1</v>
      </c>
      <c r="P338" t="s">
        <v>52</v>
      </c>
      <c r="Q338" s="2">
        <v>0.4993055555555555</v>
      </c>
      <c r="R338">
        <f>-0.000319779*3600</f>
        <v>-1.1512044000000001</v>
      </c>
      <c r="S338">
        <f>-0.000331264*3600</f>
        <v>-1.1925504</v>
      </c>
    </row>
    <row r="339" spans="1:19" x14ac:dyDescent="0.3">
      <c r="A339" t="s">
        <v>63</v>
      </c>
      <c r="B339" t="s">
        <v>64</v>
      </c>
      <c r="C339">
        <v>315.90252099999998</v>
      </c>
      <c r="D339">
        <v>100.19835500000001</v>
      </c>
      <c r="E339">
        <v>12.0341</v>
      </c>
      <c r="F339">
        <v>12.0318</v>
      </c>
      <c r="G339">
        <v>0.23499999999999999</v>
      </c>
      <c r="H339">
        <v>0.24099999999999999</v>
      </c>
      <c r="J339" t="s">
        <v>0</v>
      </c>
      <c r="K339" t="s">
        <v>49</v>
      </c>
      <c r="L339" t="s">
        <v>50</v>
      </c>
      <c r="M339">
        <v>0</v>
      </c>
      <c r="N339" t="s">
        <v>51</v>
      </c>
      <c r="O339">
        <v>1</v>
      </c>
      <c r="P339" t="s">
        <v>52</v>
      </c>
      <c r="Q339" s="2">
        <v>0.4993055555555555</v>
      </c>
      <c r="R339">
        <f>-0.0002784338*3600</f>
        <v>-1.0023616800000001</v>
      </c>
      <c r="S339">
        <f>0.0009243804*3600</f>
        <v>3.32776944</v>
      </c>
    </row>
    <row r="340" spans="1:19" x14ac:dyDescent="0.3">
      <c r="A340" t="s">
        <v>63</v>
      </c>
      <c r="B340" t="s">
        <v>64</v>
      </c>
      <c r="C340">
        <v>115.9025</v>
      </c>
      <c r="D340">
        <v>299.79883999999998</v>
      </c>
      <c r="E340">
        <v>12.033799999999999</v>
      </c>
      <c r="F340">
        <v>12.031499999999999</v>
      </c>
      <c r="G340">
        <v>0.23499999999999999</v>
      </c>
      <c r="H340">
        <v>0.24099999999999999</v>
      </c>
      <c r="J340" t="s">
        <v>0</v>
      </c>
      <c r="K340" t="s">
        <v>49</v>
      </c>
      <c r="L340" t="s">
        <v>50</v>
      </c>
      <c r="M340">
        <v>0</v>
      </c>
      <c r="N340" t="s">
        <v>51</v>
      </c>
      <c r="O340">
        <v>1</v>
      </c>
      <c r="P340" t="s">
        <v>52</v>
      </c>
      <c r="Q340" s="2">
        <v>0.4993055555555555</v>
      </c>
      <c r="R340">
        <f>-0.0001800095*3600</f>
        <v>-0.6480342</v>
      </c>
      <c r="S340">
        <f>0.0008490701*3600</f>
        <v>3.0566523599999997</v>
      </c>
    </row>
    <row r="341" spans="1:19" x14ac:dyDescent="0.3">
      <c r="A341" t="s">
        <v>63</v>
      </c>
      <c r="B341" t="s">
        <v>64</v>
      </c>
      <c r="C341">
        <v>315.90225500000003</v>
      </c>
      <c r="D341">
        <v>100.19828800000001</v>
      </c>
      <c r="E341">
        <v>12.033899999999999</v>
      </c>
      <c r="F341">
        <v>12.031599999999999</v>
      </c>
      <c r="G341">
        <v>0.23499999999999999</v>
      </c>
      <c r="H341">
        <v>0.24099999999999999</v>
      </c>
      <c r="J341" t="s">
        <v>0</v>
      </c>
      <c r="K341" t="s">
        <v>49</v>
      </c>
      <c r="L341" t="s">
        <v>50</v>
      </c>
      <c r="M341">
        <v>0</v>
      </c>
      <c r="N341" t="s">
        <v>51</v>
      </c>
      <c r="O341">
        <v>1</v>
      </c>
      <c r="P341" t="s">
        <v>52</v>
      </c>
      <c r="Q341" s="2">
        <v>0.4993055555555555</v>
      </c>
      <c r="R341">
        <f>0.0002788525*3600</f>
        <v>1.0038690000000001</v>
      </c>
      <c r="S341">
        <f>-0.0001581603*3600</f>
        <v>-0.56937708000000009</v>
      </c>
    </row>
    <row r="342" spans="1:19" x14ac:dyDescent="0.3">
      <c r="A342" t="s">
        <v>63</v>
      </c>
      <c r="B342" t="s">
        <v>64</v>
      </c>
      <c r="C342">
        <v>115.90246399999999</v>
      </c>
      <c r="D342">
        <v>299.79888299999999</v>
      </c>
      <c r="E342">
        <v>12.033899999999999</v>
      </c>
      <c r="F342">
        <v>12.031599999999999</v>
      </c>
      <c r="G342">
        <v>0.23499999999999999</v>
      </c>
      <c r="H342">
        <v>0.24099999999999999</v>
      </c>
      <c r="J342" t="s">
        <v>0</v>
      </c>
      <c r="K342" t="s">
        <v>49</v>
      </c>
      <c r="L342" t="s">
        <v>50</v>
      </c>
      <c r="M342">
        <v>0</v>
      </c>
      <c r="N342" t="s">
        <v>51</v>
      </c>
      <c r="O342">
        <v>1</v>
      </c>
      <c r="P342" t="s">
        <v>52</v>
      </c>
      <c r="Q342" s="2">
        <v>0.4993055555555555</v>
      </c>
      <c r="R342">
        <f>0.0001775702*3600</f>
        <v>0.63925272</v>
      </c>
      <c r="S342">
        <f>-0.0000507576*3600</f>
        <v>-0.18272735999999998</v>
      </c>
    </row>
    <row r="343" spans="1:19" x14ac:dyDescent="0.3">
      <c r="A343" t="s">
        <v>63</v>
      </c>
      <c r="B343" t="s">
        <v>68</v>
      </c>
      <c r="C343">
        <v>323.15968099999998</v>
      </c>
      <c r="D343">
        <v>100.28245699999999</v>
      </c>
      <c r="E343">
        <v>48.6357</v>
      </c>
      <c r="F343">
        <v>48.626100000000001</v>
      </c>
      <c r="G343">
        <v>0.23499999999999999</v>
      </c>
      <c r="H343">
        <v>0</v>
      </c>
      <c r="J343" t="s">
        <v>0</v>
      </c>
      <c r="K343" t="s">
        <v>49</v>
      </c>
      <c r="L343" t="s">
        <v>50</v>
      </c>
      <c r="M343">
        <v>0</v>
      </c>
      <c r="N343" t="s">
        <v>51</v>
      </c>
      <c r="O343">
        <v>1</v>
      </c>
      <c r="P343" t="s">
        <v>52</v>
      </c>
      <c r="Q343" s="2">
        <v>0.4993055555555555</v>
      </c>
      <c r="R343">
        <f>-0.0001160005*3600</f>
        <v>-0.41760179999999997</v>
      </c>
      <c r="S343">
        <f>0.0007820532*3600</f>
        <v>2.8153915199999999</v>
      </c>
    </row>
    <row r="344" spans="1:19" x14ac:dyDescent="0.3">
      <c r="A344" t="s">
        <v>63</v>
      </c>
      <c r="B344" t="s">
        <v>68</v>
      </c>
      <c r="C344">
        <v>123.15917</v>
      </c>
      <c r="D344">
        <v>299.71657199999999</v>
      </c>
      <c r="E344">
        <v>48.635300000000001</v>
      </c>
      <c r="F344">
        <v>48.625700000000002</v>
      </c>
      <c r="G344">
        <v>0.23499999999999999</v>
      </c>
      <c r="H344">
        <v>0</v>
      </c>
      <c r="J344" t="s">
        <v>0</v>
      </c>
      <c r="K344" t="s">
        <v>49</v>
      </c>
      <c r="L344" t="s">
        <v>50</v>
      </c>
      <c r="M344">
        <v>0</v>
      </c>
      <c r="N344" t="s">
        <v>51</v>
      </c>
      <c r="O344">
        <v>1</v>
      </c>
      <c r="P344" t="s">
        <v>52</v>
      </c>
      <c r="Q344" s="2">
        <v>0.4993055555555555</v>
      </c>
      <c r="R344">
        <f>-0.0001155232*3600</f>
        <v>-0.41588352000000001</v>
      </c>
      <c r="S344">
        <f>0.0007446015*3600</f>
        <v>2.6805653999999999</v>
      </c>
    </row>
    <row r="345" spans="1:19" x14ac:dyDescent="0.3">
      <c r="A345" t="s">
        <v>63</v>
      </c>
      <c r="B345" t="s">
        <v>68</v>
      </c>
      <c r="C345">
        <v>323.15902199999999</v>
      </c>
      <c r="D345">
        <v>100.28251400000001</v>
      </c>
      <c r="E345">
        <v>48.6357</v>
      </c>
      <c r="F345">
        <v>48.626100000000001</v>
      </c>
      <c r="G345">
        <v>0.23499999999999999</v>
      </c>
      <c r="H345">
        <v>0</v>
      </c>
      <c r="J345" t="s">
        <v>0</v>
      </c>
      <c r="K345" t="s">
        <v>49</v>
      </c>
      <c r="L345" t="s">
        <v>50</v>
      </c>
      <c r="M345">
        <v>0</v>
      </c>
      <c r="N345" t="s">
        <v>51</v>
      </c>
      <c r="O345">
        <v>1</v>
      </c>
      <c r="P345" t="s">
        <v>52</v>
      </c>
      <c r="Q345" s="2">
        <v>0.5</v>
      </c>
      <c r="R345">
        <f>-0.0002652025*3600</f>
        <v>-0.95472899999999994</v>
      </c>
      <c r="S345">
        <f>-0.0003662404*3600</f>
        <v>-1.31846544</v>
      </c>
    </row>
    <row r="346" spans="1:19" x14ac:dyDescent="0.3">
      <c r="A346" t="s">
        <v>63</v>
      </c>
      <c r="B346" t="s">
        <v>68</v>
      </c>
      <c r="C346">
        <v>123.15937</v>
      </c>
      <c r="D346">
        <v>299.71674300000001</v>
      </c>
      <c r="E346">
        <v>48.635599999999997</v>
      </c>
      <c r="F346">
        <v>48.625999999999998</v>
      </c>
      <c r="G346">
        <v>0.23499999999999999</v>
      </c>
      <c r="H346">
        <v>0</v>
      </c>
      <c r="J346" t="s">
        <v>0</v>
      </c>
      <c r="K346" t="s">
        <v>49</v>
      </c>
      <c r="L346" t="s">
        <v>50</v>
      </c>
      <c r="M346">
        <v>0</v>
      </c>
      <c r="N346" t="s">
        <v>51</v>
      </c>
      <c r="O346">
        <v>1</v>
      </c>
      <c r="P346" t="s">
        <v>52</v>
      </c>
      <c r="Q346" s="2">
        <v>0.5</v>
      </c>
      <c r="R346">
        <f>-0.000331314*3600</f>
        <v>-1.1927303999999999</v>
      </c>
      <c r="S346">
        <f>-0.000360139*3600</f>
        <v>-1.2965004</v>
      </c>
    </row>
    <row r="347" spans="1:19" x14ac:dyDescent="0.3">
      <c r="A347" t="s">
        <v>63</v>
      </c>
      <c r="B347" t="s">
        <v>68</v>
      </c>
      <c r="C347">
        <v>323.15965699999998</v>
      </c>
      <c r="D347">
        <v>100.282427</v>
      </c>
      <c r="E347">
        <v>48.6357</v>
      </c>
      <c r="F347">
        <v>48.626100000000001</v>
      </c>
      <c r="G347">
        <v>0.23499999999999999</v>
      </c>
      <c r="H347">
        <v>0</v>
      </c>
      <c r="J347" t="s">
        <v>0</v>
      </c>
      <c r="K347" t="s">
        <v>49</v>
      </c>
      <c r="L347" t="s">
        <v>50</v>
      </c>
      <c r="M347">
        <v>0</v>
      </c>
      <c r="N347" t="s">
        <v>51</v>
      </c>
      <c r="O347">
        <v>1</v>
      </c>
      <c r="P347" t="s">
        <v>52</v>
      </c>
      <c r="Q347" s="2">
        <v>0.5</v>
      </c>
      <c r="R347">
        <f>-0.000296999*3600</f>
        <v>-1.0691964</v>
      </c>
      <c r="S347">
        <f>0.00091283*3600</f>
        <v>3.2861880000000001</v>
      </c>
    </row>
    <row r="348" spans="1:19" x14ac:dyDescent="0.3">
      <c r="A348" t="s">
        <v>63</v>
      </c>
      <c r="B348" t="s">
        <v>68</v>
      </c>
      <c r="C348">
        <v>123.159357</v>
      </c>
      <c r="D348">
        <v>299.71690799999999</v>
      </c>
      <c r="E348">
        <v>48.635599999999997</v>
      </c>
      <c r="F348">
        <v>48.625999999999998</v>
      </c>
      <c r="G348">
        <v>0.23499999999999999</v>
      </c>
      <c r="H348">
        <v>0</v>
      </c>
      <c r="J348" t="s">
        <v>0</v>
      </c>
      <c r="K348" t="s">
        <v>49</v>
      </c>
      <c r="L348" t="s">
        <v>50</v>
      </c>
      <c r="M348">
        <v>0</v>
      </c>
      <c r="N348" t="s">
        <v>51</v>
      </c>
      <c r="O348">
        <v>1</v>
      </c>
      <c r="P348" t="s">
        <v>52</v>
      </c>
      <c r="Q348" s="2">
        <v>0.5</v>
      </c>
      <c r="R348">
        <f>-0.0002436173*3600</f>
        <v>-0.87702228000000004</v>
      </c>
      <c r="S348">
        <f>0.0008553863*3600</f>
        <v>3.0793906799999999</v>
      </c>
    </row>
    <row r="349" spans="1:19" x14ac:dyDescent="0.3">
      <c r="A349" t="s">
        <v>63</v>
      </c>
      <c r="B349" t="s">
        <v>68</v>
      </c>
      <c r="C349">
        <v>323.15950800000002</v>
      </c>
      <c r="D349">
        <v>100.28245099999999</v>
      </c>
      <c r="E349">
        <v>48.6357</v>
      </c>
      <c r="F349">
        <v>48.626100000000001</v>
      </c>
      <c r="G349">
        <v>0.23499999999999999</v>
      </c>
      <c r="H349">
        <v>0</v>
      </c>
      <c r="J349" t="s">
        <v>0</v>
      </c>
      <c r="K349" t="s">
        <v>49</v>
      </c>
      <c r="L349" t="s">
        <v>50</v>
      </c>
      <c r="M349">
        <v>0</v>
      </c>
      <c r="N349" t="s">
        <v>51</v>
      </c>
      <c r="O349">
        <v>1</v>
      </c>
      <c r="P349" t="s">
        <v>52</v>
      </c>
      <c r="Q349" s="2">
        <v>0.5</v>
      </c>
      <c r="R349">
        <f>0.0002376122*3600</f>
        <v>0.85540391999999998</v>
      </c>
      <c r="S349">
        <f>-0.0001693703*3600</f>
        <v>-0.60973308000000004</v>
      </c>
    </row>
    <row r="350" spans="1:19" x14ac:dyDescent="0.3">
      <c r="A350" t="s">
        <v>63</v>
      </c>
      <c r="B350" t="s">
        <v>68</v>
      </c>
      <c r="C350">
        <v>123.15933</v>
      </c>
      <c r="D350">
        <v>299.71665100000001</v>
      </c>
      <c r="E350">
        <v>48.635599999999997</v>
      </c>
      <c r="F350">
        <v>48.625999999999998</v>
      </c>
      <c r="G350">
        <v>0.23499999999999999</v>
      </c>
      <c r="H350">
        <v>0</v>
      </c>
      <c r="J350" t="s">
        <v>0</v>
      </c>
      <c r="K350" t="s">
        <v>49</v>
      </c>
      <c r="L350" t="s">
        <v>50</v>
      </c>
      <c r="M350">
        <v>0</v>
      </c>
      <c r="N350" t="s">
        <v>51</v>
      </c>
      <c r="O350">
        <v>1</v>
      </c>
      <c r="P350" t="s">
        <v>52</v>
      </c>
      <c r="Q350" s="2">
        <v>0.5</v>
      </c>
      <c r="R350">
        <f>0.0001222488*3600</f>
        <v>0.44009567999999993</v>
      </c>
      <c r="S350">
        <f>-0.0000651298*3600</f>
        <v>-0.23446727999999997</v>
      </c>
    </row>
    <row r="351" spans="1:19" x14ac:dyDescent="0.3">
      <c r="A351" t="s">
        <v>63</v>
      </c>
      <c r="B351" t="s">
        <v>68</v>
      </c>
      <c r="C351">
        <v>323.159539</v>
      </c>
      <c r="D351">
        <v>100.282477</v>
      </c>
      <c r="E351">
        <v>48.6357</v>
      </c>
      <c r="F351">
        <v>48.626100000000001</v>
      </c>
      <c r="G351">
        <v>0.23499999999999999</v>
      </c>
      <c r="H351">
        <v>0</v>
      </c>
      <c r="J351" t="s">
        <v>0</v>
      </c>
      <c r="K351" t="s">
        <v>49</v>
      </c>
      <c r="L351" t="s">
        <v>50</v>
      </c>
      <c r="M351">
        <v>0</v>
      </c>
      <c r="N351" t="s">
        <v>51</v>
      </c>
      <c r="O351">
        <v>1</v>
      </c>
      <c r="P351" t="s">
        <v>52</v>
      </c>
      <c r="Q351" s="2">
        <v>0.5</v>
      </c>
      <c r="R351">
        <f>-0.0001112955*3600</f>
        <v>-0.40066380000000001</v>
      </c>
      <c r="S351">
        <f>0.0007945834*3600</f>
        <v>2.8605002399999999</v>
      </c>
    </row>
    <row r="352" spans="1:19" x14ac:dyDescent="0.3">
      <c r="A352" t="s">
        <v>63</v>
      </c>
      <c r="B352" t="s">
        <v>68</v>
      </c>
      <c r="C352">
        <v>123.159116</v>
      </c>
      <c r="D352">
        <v>299.71683300000001</v>
      </c>
      <c r="E352">
        <v>48.635399999999997</v>
      </c>
      <c r="F352">
        <v>48.625799999999998</v>
      </c>
      <c r="G352">
        <v>0.23499999999999999</v>
      </c>
      <c r="H352">
        <v>0</v>
      </c>
      <c r="J352" t="s">
        <v>0</v>
      </c>
      <c r="K352" t="s">
        <v>49</v>
      </c>
      <c r="L352" t="s">
        <v>50</v>
      </c>
      <c r="M352">
        <v>0</v>
      </c>
      <c r="N352" t="s">
        <v>51</v>
      </c>
      <c r="O352">
        <v>1</v>
      </c>
      <c r="P352" t="s">
        <v>52</v>
      </c>
      <c r="Q352" s="2">
        <v>0.5</v>
      </c>
      <c r="R352">
        <f>-0.0001546346*3600</f>
        <v>-0.55668455999999999</v>
      </c>
      <c r="S352">
        <f>0.0007356293*3600</f>
        <v>2.6482654800000001</v>
      </c>
    </row>
    <row r="353" spans="1:19" x14ac:dyDescent="0.3">
      <c r="Q353" s="2"/>
    </row>
    <row r="354" spans="1:19" x14ac:dyDescent="0.3">
      <c r="A354" t="s">
        <v>0</v>
      </c>
      <c r="B354" t="s">
        <v>39</v>
      </c>
      <c r="C354" t="s">
        <v>40</v>
      </c>
      <c r="D354" t="s">
        <v>41</v>
      </c>
      <c r="E354">
        <v>3</v>
      </c>
    </row>
    <row r="355" spans="1:19" x14ac:dyDescent="0.3">
      <c r="A355" t="s">
        <v>0</v>
      </c>
      <c r="B355" t="s">
        <v>42</v>
      </c>
      <c r="C355" t="s">
        <v>43</v>
      </c>
      <c r="D355">
        <v>-186</v>
      </c>
    </row>
    <row r="356" spans="1:19" x14ac:dyDescent="0.3">
      <c r="A356" t="s">
        <v>0</v>
      </c>
      <c r="B356" t="s">
        <v>42</v>
      </c>
      <c r="C356" t="s">
        <v>44</v>
      </c>
      <c r="D356" t="s">
        <v>43</v>
      </c>
      <c r="E356">
        <v>0.99981386539999995</v>
      </c>
    </row>
    <row r="360" spans="1:19" x14ac:dyDescent="0.3">
      <c r="A360" t="s">
        <v>45</v>
      </c>
      <c r="B360" t="s">
        <v>68</v>
      </c>
    </row>
    <row r="361" spans="1:19" x14ac:dyDescent="0.3">
      <c r="A361" t="s">
        <v>47</v>
      </c>
      <c r="B361" t="s">
        <v>63</v>
      </c>
      <c r="C361">
        <v>123.15917</v>
      </c>
      <c r="D361">
        <v>99.717505000000003</v>
      </c>
      <c r="E361">
        <v>48.635599999999997</v>
      </c>
      <c r="F361">
        <v>48.626100000000001</v>
      </c>
      <c r="G361">
        <v>0</v>
      </c>
      <c r="H361">
        <v>0.23499999999999999</v>
      </c>
      <c r="J361" t="s">
        <v>0</v>
      </c>
      <c r="K361" t="s">
        <v>49</v>
      </c>
      <c r="L361" t="s">
        <v>50</v>
      </c>
      <c r="M361">
        <v>0</v>
      </c>
      <c r="N361" t="s">
        <v>51</v>
      </c>
      <c r="O361">
        <v>1</v>
      </c>
      <c r="P361" t="s">
        <v>52</v>
      </c>
      <c r="Q361" s="2">
        <v>0.50277777777777777</v>
      </c>
      <c r="R361">
        <f>0.0010948597*3600</f>
        <v>3.9414949199999998</v>
      </c>
      <c r="S361">
        <f>-0.0018333557*3600</f>
        <v>-6.6000805200000006</v>
      </c>
    </row>
    <row r="362" spans="1:19" x14ac:dyDescent="0.3">
      <c r="A362" t="s">
        <v>28</v>
      </c>
      <c r="B362">
        <v>18</v>
      </c>
      <c r="C362" t="s">
        <v>29</v>
      </c>
      <c r="D362" s="3">
        <v>0.6</v>
      </c>
      <c r="E362" t="s">
        <v>30</v>
      </c>
      <c r="F362" t="s">
        <v>58</v>
      </c>
      <c r="G362" t="s">
        <v>32</v>
      </c>
      <c r="H362" t="s">
        <v>59</v>
      </c>
    </row>
    <row r="363" spans="1:19" x14ac:dyDescent="0.3">
      <c r="A363" t="s">
        <v>34</v>
      </c>
      <c r="B363" t="s">
        <v>35</v>
      </c>
      <c r="C363" t="s">
        <v>34</v>
      </c>
      <c r="D363" t="s">
        <v>69</v>
      </c>
    </row>
    <row r="364" spans="1:19" x14ac:dyDescent="0.3">
      <c r="A364" t="s">
        <v>37</v>
      </c>
      <c r="B364" t="s">
        <v>38</v>
      </c>
      <c r="C364">
        <v>0.13</v>
      </c>
    </row>
    <row r="366" spans="1:19" x14ac:dyDescent="0.3">
      <c r="A366" t="s">
        <v>68</v>
      </c>
      <c r="B366" t="s">
        <v>71</v>
      </c>
      <c r="C366">
        <v>329.56682899999998</v>
      </c>
      <c r="D366">
        <v>97.759715999999997</v>
      </c>
      <c r="E366">
        <v>24.984200000000001</v>
      </c>
      <c r="F366">
        <v>24.964099999999998</v>
      </c>
      <c r="G366">
        <v>0</v>
      </c>
      <c r="H366">
        <v>0</v>
      </c>
      <c r="J366" t="s">
        <v>0</v>
      </c>
      <c r="K366" t="s">
        <v>49</v>
      </c>
      <c r="L366" t="s">
        <v>50</v>
      </c>
      <c r="M366">
        <v>0</v>
      </c>
      <c r="N366" t="s">
        <v>51</v>
      </c>
      <c r="O366">
        <v>1</v>
      </c>
      <c r="P366" t="s">
        <v>52</v>
      </c>
      <c r="Q366" s="2">
        <v>0.50347222222222221</v>
      </c>
      <c r="R366">
        <f>0.0000930979*3600</f>
        <v>0.33515244</v>
      </c>
      <c r="S366">
        <f>0.000611328*3600</f>
        <v>2.2007808</v>
      </c>
    </row>
    <row r="367" spans="1:19" x14ac:dyDescent="0.3">
      <c r="A367" t="s">
        <v>68</v>
      </c>
      <c r="B367" t="s">
        <v>71</v>
      </c>
      <c r="C367">
        <v>129.56743700000001</v>
      </c>
      <c r="D367">
        <v>302.23958499999998</v>
      </c>
      <c r="E367">
        <v>24.984100000000002</v>
      </c>
      <c r="F367">
        <v>24.963999999999999</v>
      </c>
      <c r="G367">
        <v>0</v>
      </c>
      <c r="H367">
        <v>0</v>
      </c>
      <c r="J367" t="s">
        <v>0</v>
      </c>
      <c r="K367" t="s">
        <v>49</v>
      </c>
      <c r="L367" t="s">
        <v>50</v>
      </c>
      <c r="M367">
        <v>0</v>
      </c>
      <c r="N367" t="s">
        <v>51</v>
      </c>
      <c r="O367">
        <v>1</v>
      </c>
      <c r="P367" t="s">
        <v>52</v>
      </c>
      <c r="Q367" s="2">
        <v>0.50416666666666665</v>
      </c>
      <c r="R367">
        <f>0.0016334103*3600</f>
        <v>5.8802770799999999</v>
      </c>
      <c r="S367">
        <f>-0.0037939095*3600</f>
        <v>-13.6580742</v>
      </c>
    </row>
    <row r="368" spans="1:19" x14ac:dyDescent="0.3">
      <c r="A368" t="s">
        <v>68</v>
      </c>
      <c r="B368" t="s">
        <v>71</v>
      </c>
      <c r="C368">
        <v>329.56748399999998</v>
      </c>
      <c r="D368">
        <v>97.757859999999994</v>
      </c>
      <c r="E368">
        <v>24.984300000000001</v>
      </c>
      <c r="F368">
        <v>24.964099999999998</v>
      </c>
      <c r="G368">
        <v>0</v>
      </c>
      <c r="H368">
        <v>0</v>
      </c>
      <c r="J368" t="s">
        <v>0</v>
      </c>
      <c r="K368" t="s">
        <v>49</v>
      </c>
      <c r="L368" t="s">
        <v>50</v>
      </c>
      <c r="M368">
        <v>0</v>
      </c>
      <c r="N368" t="s">
        <v>51</v>
      </c>
      <c r="O368">
        <v>1</v>
      </c>
      <c r="P368" t="s">
        <v>52</v>
      </c>
      <c r="Q368" s="2">
        <v>0.50486111111111109</v>
      </c>
      <c r="R368">
        <f>0.0003195197*3600</f>
        <v>1.1502709200000001</v>
      </c>
      <c r="S368">
        <f>0.000760787*3600</f>
        <v>2.7388331999999997</v>
      </c>
    </row>
    <row r="369" spans="1:19" x14ac:dyDescent="0.3">
      <c r="A369" t="s">
        <v>68</v>
      </c>
      <c r="B369" t="s">
        <v>71</v>
      </c>
      <c r="C369">
        <v>129.56850600000001</v>
      </c>
      <c r="D369">
        <v>302.23880700000001</v>
      </c>
      <c r="E369">
        <v>24.984000000000002</v>
      </c>
      <c r="F369">
        <v>24.963899999999999</v>
      </c>
      <c r="G369">
        <v>0</v>
      </c>
      <c r="H369">
        <v>0</v>
      </c>
      <c r="J369" t="s">
        <v>0</v>
      </c>
      <c r="K369" t="s">
        <v>49</v>
      </c>
      <c r="L369" t="s">
        <v>50</v>
      </c>
      <c r="M369">
        <v>0</v>
      </c>
      <c r="N369" t="s">
        <v>51</v>
      </c>
      <c r="O369">
        <v>1</v>
      </c>
      <c r="P369" t="s">
        <v>52</v>
      </c>
      <c r="Q369" s="2">
        <v>0.50486111111111109</v>
      </c>
      <c r="R369">
        <f>0.0013231891*3600</f>
        <v>4.7634807600000002</v>
      </c>
      <c r="S369">
        <f>-0.0040979159*3600</f>
        <v>-14.752497239999999</v>
      </c>
    </row>
    <row r="370" spans="1:19" x14ac:dyDescent="0.3">
      <c r="A370" t="s">
        <v>68</v>
      </c>
      <c r="B370" t="s">
        <v>71</v>
      </c>
      <c r="C370">
        <v>329.56713300000001</v>
      </c>
      <c r="D370">
        <v>97.758928999999995</v>
      </c>
      <c r="E370">
        <v>24.984100000000002</v>
      </c>
      <c r="F370">
        <v>24.963899999999999</v>
      </c>
      <c r="G370">
        <v>0</v>
      </c>
      <c r="H370">
        <v>0</v>
      </c>
      <c r="J370" t="s">
        <v>0</v>
      </c>
      <c r="K370" t="s">
        <v>49</v>
      </c>
      <c r="L370" t="s">
        <v>50</v>
      </c>
      <c r="M370">
        <v>0</v>
      </c>
      <c r="N370" t="s">
        <v>51</v>
      </c>
      <c r="O370">
        <v>1</v>
      </c>
      <c r="P370" t="s">
        <v>52</v>
      </c>
      <c r="Q370" s="2">
        <v>0.50555555555555554</v>
      </c>
      <c r="R370">
        <f>0.0006216028*3600</f>
        <v>2.2377700800000002</v>
      </c>
      <c r="S370">
        <f>0.0008013022*3600</f>
        <v>2.8846879200000002</v>
      </c>
    </row>
    <row r="371" spans="1:19" x14ac:dyDescent="0.3">
      <c r="A371" t="s">
        <v>68</v>
      </c>
      <c r="B371" t="s">
        <v>71</v>
      </c>
      <c r="C371">
        <v>129.56889000000001</v>
      </c>
      <c r="D371">
        <v>302.23952000000003</v>
      </c>
      <c r="E371">
        <v>24.984100000000002</v>
      </c>
      <c r="F371">
        <v>24.963999999999999</v>
      </c>
      <c r="G371">
        <v>0</v>
      </c>
      <c r="H371">
        <v>0</v>
      </c>
      <c r="J371" t="s">
        <v>0</v>
      </c>
      <c r="K371" t="s">
        <v>49</v>
      </c>
      <c r="L371" t="s">
        <v>50</v>
      </c>
      <c r="M371">
        <v>0</v>
      </c>
      <c r="N371" t="s">
        <v>51</v>
      </c>
      <c r="O371">
        <v>1</v>
      </c>
      <c r="P371" t="s">
        <v>52</v>
      </c>
      <c r="Q371" s="2">
        <v>0.50555555555555554</v>
      </c>
      <c r="R371">
        <f>0.0013699037*3600</f>
        <v>4.9316533199999997</v>
      </c>
      <c r="S371">
        <f>-0.0041163133*3600</f>
        <v>-14.818727879999999</v>
      </c>
    </row>
    <row r="372" spans="1:19" x14ac:dyDescent="0.3">
      <c r="A372" t="s">
        <v>68</v>
      </c>
      <c r="B372" t="s">
        <v>71</v>
      </c>
      <c r="C372">
        <v>329.567813</v>
      </c>
      <c r="D372">
        <v>97.758802000000003</v>
      </c>
      <c r="E372">
        <v>24.984200000000001</v>
      </c>
      <c r="F372">
        <v>24.963999999999999</v>
      </c>
      <c r="G372">
        <v>0</v>
      </c>
      <c r="H372">
        <v>0</v>
      </c>
      <c r="J372" t="s">
        <v>0</v>
      </c>
      <c r="K372" t="s">
        <v>49</v>
      </c>
      <c r="L372" t="s">
        <v>50</v>
      </c>
      <c r="M372">
        <v>0</v>
      </c>
      <c r="N372" t="s">
        <v>51</v>
      </c>
      <c r="O372">
        <v>1</v>
      </c>
      <c r="P372" t="s">
        <v>52</v>
      </c>
      <c r="Q372" s="2">
        <v>0.50555555555555554</v>
      </c>
      <c r="R372">
        <f>0.0014290761*3600</f>
        <v>5.1446739600000004</v>
      </c>
      <c r="S372">
        <f>-0.0036232308*3600</f>
        <v>-13.04363088</v>
      </c>
    </row>
    <row r="373" spans="1:19" x14ac:dyDescent="0.3">
      <c r="A373" t="s">
        <v>68</v>
      </c>
      <c r="B373" t="s">
        <v>71</v>
      </c>
      <c r="C373">
        <v>129.568994</v>
      </c>
      <c r="D373">
        <v>302.24030399999998</v>
      </c>
      <c r="E373">
        <v>24.984100000000002</v>
      </c>
      <c r="F373">
        <v>24.963999999999999</v>
      </c>
      <c r="G373">
        <v>0</v>
      </c>
      <c r="H373">
        <v>0</v>
      </c>
      <c r="J373" t="s">
        <v>0</v>
      </c>
      <c r="K373" t="s">
        <v>49</v>
      </c>
      <c r="L373" t="s">
        <v>50</v>
      </c>
      <c r="M373">
        <v>0</v>
      </c>
      <c r="N373" t="s">
        <v>51</v>
      </c>
      <c r="O373">
        <v>1</v>
      </c>
      <c r="P373" t="s">
        <v>52</v>
      </c>
      <c r="Q373" s="2">
        <v>0.50624999999999998</v>
      </c>
      <c r="R373">
        <f>0.000520214*3600</f>
        <v>1.8727703999999998</v>
      </c>
      <c r="S373">
        <f>0.0006689408*3600</f>
        <v>2.4081868799999997</v>
      </c>
    </row>
    <row r="374" spans="1:19" x14ac:dyDescent="0.3">
      <c r="A374" t="s">
        <v>68</v>
      </c>
      <c r="B374" t="s">
        <v>71</v>
      </c>
      <c r="C374">
        <v>329.568153</v>
      </c>
      <c r="D374">
        <v>97.759030999999993</v>
      </c>
      <c r="E374">
        <v>24.984200000000001</v>
      </c>
      <c r="F374">
        <v>24.964099999999998</v>
      </c>
      <c r="G374">
        <v>0</v>
      </c>
      <c r="H374">
        <v>0</v>
      </c>
      <c r="J374" t="s">
        <v>0</v>
      </c>
      <c r="K374" t="s">
        <v>49</v>
      </c>
      <c r="L374" t="s">
        <v>50</v>
      </c>
      <c r="M374">
        <v>0</v>
      </c>
      <c r="N374" t="s">
        <v>51</v>
      </c>
      <c r="O374">
        <v>1</v>
      </c>
      <c r="P374" t="s">
        <v>52</v>
      </c>
      <c r="Q374" s="2">
        <v>0.50624999999999998</v>
      </c>
      <c r="R374">
        <f>0.000776454*3600</f>
        <v>2.7952344</v>
      </c>
      <c r="S374">
        <f>0.0007262944*3600</f>
        <v>2.6146598399999998</v>
      </c>
    </row>
    <row r="375" spans="1:19" x14ac:dyDescent="0.3">
      <c r="A375" t="s">
        <v>68</v>
      </c>
      <c r="B375" t="s">
        <v>71</v>
      </c>
      <c r="C375">
        <v>129.56854300000001</v>
      </c>
      <c r="D375">
        <v>302.23984400000001</v>
      </c>
      <c r="E375">
        <v>24.984200000000001</v>
      </c>
      <c r="F375">
        <v>24.964099999999998</v>
      </c>
      <c r="G375">
        <v>0</v>
      </c>
      <c r="H375">
        <v>0</v>
      </c>
      <c r="J375" t="s">
        <v>0</v>
      </c>
      <c r="K375" t="s">
        <v>49</v>
      </c>
      <c r="L375" t="s">
        <v>50</v>
      </c>
      <c r="M375">
        <v>0</v>
      </c>
      <c r="N375" t="s">
        <v>51</v>
      </c>
      <c r="O375">
        <v>1</v>
      </c>
      <c r="P375" t="s">
        <v>52</v>
      </c>
      <c r="Q375" s="2">
        <v>0.50624999999999998</v>
      </c>
      <c r="R375">
        <f>0.0013824473*3600</f>
        <v>4.9768102800000005</v>
      </c>
      <c r="S375">
        <f>-0.0044358252*3600</f>
        <v>-15.96897072</v>
      </c>
    </row>
    <row r="376" spans="1:19" x14ac:dyDescent="0.3">
      <c r="A376" t="s">
        <v>68</v>
      </c>
      <c r="B376" t="s">
        <v>70</v>
      </c>
      <c r="C376">
        <v>123.159155</v>
      </c>
      <c r="D376">
        <v>99.717493000000005</v>
      </c>
      <c r="E376">
        <v>48.635599999999997</v>
      </c>
      <c r="F376">
        <v>48.625999999999998</v>
      </c>
      <c r="G376">
        <v>0</v>
      </c>
      <c r="H376">
        <v>0.23499999999999999</v>
      </c>
      <c r="J376" t="s">
        <v>0</v>
      </c>
      <c r="K376" t="s">
        <v>49</v>
      </c>
      <c r="L376" t="s">
        <v>50</v>
      </c>
      <c r="M376">
        <v>0</v>
      </c>
      <c r="N376" t="s">
        <v>51</v>
      </c>
      <c r="O376">
        <v>1</v>
      </c>
      <c r="P376" t="s">
        <v>52</v>
      </c>
      <c r="Q376" s="2">
        <v>0.50624999999999998</v>
      </c>
      <c r="R376">
        <f>0.0006059758*3600</f>
        <v>2.1815128800000001</v>
      </c>
      <c r="S376">
        <f>0.0007386636*3600</f>
        <v>2.6591889599999998</v>
      </c>
    </row>
    <row r="377" spans="1:19" x14ac:dyDescent="0.3">
      <c r="A377" t="s">
        <v>68</v>
      </c>
      <c r="B377" t="s">
        <v>70</v>
      </c>
      <c r="C377">
        <v>323.15864699999997</v>
      </c>
      <c r="D377">
        <v>300.28167400000001</v>
      </c>
      <c r="E377">
        <v>48.6355</v>
      </c>
      <c r="F377">
        <v>48.625900000000001</v>
      </c>
      <c r="G377">
        <v>0</v>
      </c>
      <c r="H377">
        <v>0.23499999999999999</v>
      </c>
      <c r="J377" t="s">
        <v>0</v>
      </c>
      <c r="K377" t="s">
        <v>49</v>
      </c>
      <c r="L377" t="s">
        <v>50</v>
      </c>
      <c r="M377">
        <v>0</v>
      </c>
      <c r="N377" t="s">
        <v>51</v>
      </c>
      <c r="O377">
        <v>1</v>
      </c>
      <c r="P377" t="s">
        <v>52</v>
      </c>
      <c r="Q377" s="2">
        <v>0.50624999999999998</v>
      </c>
      <c r="R377">
        <f>0.0012438399*3600</f>
        <v>4.4778236399999995</v>
      </c>
      <c r="S377">
        <f>-0.0041472047*3600</f>
        <v>-14.929936919999999</v>
      </c>
    </row>
    <row r="378" spans="1:19" x14ac:dyDescent="0.3">
      <c r="A378" t="s">
        <v>68</v>
      </c>
      <c r="B378" t="s">
        <v>70</v>
      </c>
      <c r="C378">
        <v>123.16011399999999</v>
      </c>
      <c r="D378">
        <v>99.716862000000006</v>
      </c>
      <c r="E378">
        <v>48.635599999999997</v>
      </c>
      <c r="F378">
        <v>48.625999999999998</v>
      </c>
      <c r="G378">
        <v>0</v>
      </c>
      <c r="H378">
        <v>0.23499999999999999</v>
      </c>
      <c r="J378" t="s">
        <v>0</v>
      </c>
      <c r="K378" t="s">
        <v>49</v>
      </c>
      <c r="L378" t="s">
        <v>50</v>
      </c>
      <c r="M378">
        <v>0</v>
      </c>
      <c r="N378" t="s">
        <v>51</v>
      </c>
      <c r="O378">
        <v>1</v>
      </c>
      <c r="P378" t="s">
        <v>52</v>
      </c>
      <c r="Q378" s="2">
        <v>0.50694444444444442</v>
      </c>
      <c r="R378">
        <f>0.0004100778*3600</f>
        <v>1.47628008</v>
      </c>
      <c r="S378">
        <f>0.0008857993*3600</f>
        <v>3.1888774799999999</v>
      </c>
    </row>
    <row r="379" spans="1:19" x14ac:dyDescent="0.3">
      <c r="A379" t="s">
        <v>68</v>
      </c>
      <c r="B379" t="s">
        <v>70</v>
      </c>
      <c r="C379">
        <v>323.15871499999997</v>
      </c>
      <c r="D379">
        <v>300.28296599999999</v>
      </c>
      <c r="E379">
        <v>48.6357</v>
      </c>
      <c r="F379">
        <v>48.626100000000001</v>
      </c>
      <c r="G379">
        <v>0</v>
      </c>
      <c r="H379">
        <v>0.23499999999999999</v>
      </c>
      <c r="J379" t="s">
        <v>0</v>
      </c>
      <c r="K379" t="s">
        <v>49</v>
      </c>
      <c r="L379" t="s">
        <v>50</v>
      </c>
      <c r="M379">
        <v>0</v>
      </c>
      <c r="N379" t="s">
        <v>51</v>
      </c>
      <c r="O379">
        <v>1</v>
      </c>
      <c r="P379" t="s">
        <v>52</v>
      </c>
      <c r="Q379" s="2">
        <v>0.50694444444444442</v>
      </c>
      <c r="R379">
        <f>0.0013868161*3600</f>
        <v>4.9925379599999999</v>
      </c>
      <c r="S379">
        <f>-0.0038404757*3600</f>
        <v>-13.82571252</v>
      </c>
    </row>
    <row r="380" spans="1:19" x14ac:dyDescent="0.3">
      <c r="A380" t="s">
        <v>68</v>
      </c>
      <c r="B380" t="s">
        <v>70</v>
      </c>
      <c r="C380">
        <v>123.159161</v>
      </c>
      <c r="D380">
        <v>99.716780999999997</v>
      </c>
      <c r="E380">
        <v>48.6357</v>
      </c>
      <c r="F380">
        <v>48.626100000000001</v>
      </c>
      <c r="G380">
        <v>0</v>
      </c>
      <c r="H380">
        <v>0.23499999999999999</v>
      </c>
      <c r="J380" t="s">
        <v>0</v>
      </c>
      <c r="K380" t="s">
        <v>49</v>
      </c>
      <c r="L380" t="s">
        <v>50</v>
      </c>
      <c r="M380">
        <v>0</v>
      </c>
      <c r="N380" t="s">
        <v>51</v>
      </c>
      <c r="O380">
        <v>1</v>
      </c>
      <c r="P380" t="s">
        <v>52</v>
      </c>
      <c r="Q380" s="2">
        <v>0.50694444444444442</v>
      </c>
      <c r="R380">
        <f>0.0001277405*3600</f>
        <v>0.45986579999999999</v>
      </c>
      <c r="S380">
        <f>0.0008825099*3600</f>
        <v>3.1770356400000002</v>
      </c>
    </row>
    <row r="381" spans="1:19" x14ac:dyDescent="0.3">
      <c r="A381" t="s">
        <v>68</v>
      </c>
      <c r="B381" t="s">
        <v>70</v>
      </c>
      <c r="C381">
        <v>323.15895699999999</v>
      </c>
      <c r="D381">
        <v>300.28283199999998</v>
      </c>
      <c r="E381">
        <v>48.6355</v>
      </c>
      <c r="F381">
        <v>48.625900000000001</v>
      </c>
      <c r="G381">
        <v>0</v>
      </c>
      <c r="H381">
        <v>0.23499999999999999</v>
      </c>
      <c r="J381" t="s">
        <v>0</v>
      </c>
      <c r="K381" t="s">
        <v>49</v>
      </c>
      <c r="L381" t="s">
        <v>50</v>
      </c>
      <c r="M381">
        <v>0</v>
      </c>
      <c r="N381" t="s">
        <v>51</v>
      </c>
      <c r="O381">
        <v>1</v>
      </c>
      <c r="P381" t="s">
        <v>52</v>
      </c>
      <c r="Q381" s="2">
        <v>0.50694444444444442</v>
      </c>
      <c r="R381">
        <f>0.0011811117*3600</f>
        <v>4.2520021199999993</v>
      </c>
      <c r="S381">
        <f>-0.0048878548*3600</f>
        <v>-17.596277279999999</v>
      </c>
    </row>
    <row r="382" spans="1:19" x14ac:dyDescent="0.3">
      <c r="A382" t="s">
        <v>68</v>
      </c>
      <c r="B382" t="s">
        <v>70</v>
      </c>
      <c r="C382">
        <v>123.158641</v>
      </c>
      <c r="D382">
        <v>99.716723000000002</v>
      </c>
      <c r="E382">
        <v>48.635599999999997</v>
      </c>
      <c r="F382">
        <v>48.625999999999998</v>
      </c>
      <c r="G382">
        <v>0</v>
      </c>
      <c r="H382">
        <v>0.23499999999999999</v>
      </c>
      <c r="J382" t="s">
        <v>0</v>
      </c>
      <c r="K382" t="s">
        <v>49</v>
      </c>
      <c r="L382" t="s">
        <v>50</v>
      </c>
      <c r="M382">
        <v>0</v>
      </c>
      <c r="N382" t="s">
        <v>51</v>
      </c>
      <c r="O382">
        <v>1</v>
      </c>
      <c r="P382" t="s">
        <v>52</v>
      </c>
      <c r="Q382" s="2">
        <v>0.50694444444444442</v>
      </c>
      <c r="R382">
        <f>0.0003885332*3600</f>
        <v>1.39871952</v>
      </c>
      <c r="S382">
        <f>0.0010159671*3600</f>
        <v>3.6574815599999999</v>
      </c>
    </row>
    <row r="383" spans="1:19" x14ac:dyDescent="0.3">
      <c r="A383" t="s">
        <v>68</v>
      </c>
      <c r="B383" t="s">
        <v>70</v>
      </c>
      <c r="C383">
        <v>323.158638</v>
      </c>
      <c r="D383">
        <v>300.28264899999999</v>
      </c>
      <c r="E383">
        <v>48.635599999999997</v>
      </c>
      <c r="F383">
        <v>48.625999999999998</v>
      </c>
      <c r="G383">
        <v>0</v>
      </c>
      <c r="H383">
        <v>0.23499999999999999</v>
      </c>
      <c r="J383" t="s">
        <v>0</v>
      </c>
      <c r="K383" t="s">
        <v>49</v>
      </c>
      <c r="L383" t="s">
        <v>50</v>
      </c>
      <c r="M383">
        <v>0</v>
      </c>
      <c r="N383" t="s">
        <v>51</v>
      </c>
      <c r="O383">
        <v>1</v>
      </c>
      <c r="P383" t="s">
        <v>52</v>
      </c>
      <c r="Q383" s="2">
        <v>0.50694444444444442</v>
      </c>
      <c r="R383">
        <f>0.0013322379*3600</f>
        <v>4.7960564400000001</v>
      </c>
      <c r="S383">
        <f>-0.0037875331*3600</f>
        <v>-13.63511916</v>
      </c>
    </row>
    <row r="384" spans="1:19" x14ac:dyDescent="0.3">
      <c r="A384" t="s">
        <v>68</v>
      </c>
      <c r="B384" t="s">
        <v>70</v>
      </c>
      <c r="C384">
        <v>123.159476</v>
      </c>
      <c r="D384">
        <v>99.717205000000007</v>
      </c>
      <c r="E384">
        <v>48.635599999999997</v>
      </c>
      <c r="F384">
        <v>48.625999999999998</v>
      </c>
      <c r="G384">
        <v>0</v>
      </c>
      <c r="H384">
        <v>0.23499999999999999</v>
      </c>
      <c r="J384" t="s">
        <v>0</v>
      </c>
      <c r="K384" t="s">
        <v>49</v>
      </c>
      <c r="L384" t="s">
        <v>50</v>
      </c>
      <c r="M384">
        <v>0</v>
      </c>
      <c r="N384" t="s">
        <v>51</v>
      </c>
      <c r="O384">
        <v>1</v>
      </c>
      <c r="P384" t="s">
        <v>52</v>
      </c>
      <c r="Q384" s="2">
        <v>0.50763888888888886</v>
      </c>
      <c r="R384">
        <f>0.0001120076*3600</f>
        <v>0.40322735999999998</v>
      </c>
      <c r="S384">
        <f>0.0010177862*3600</f>
        <v>3.6640303199999997</v>
      </c>
    </row>
    <row r="385" spans="1:19" x14ac:dyDescent="0.3">
      <c r="A385" t="s">
        <v>68</v>
      </c>
      <c r="B385" t="s">
        <v>70</v>
      </c>
      <c r="C385">
        <v>323.15899300000001</v>
      </c>
      <c r="D385">
        <v>300.282488</v>
      </c>
      <c r="E385">
        <v>48.6357</v>
      </c>
      <c r="F385">
        <v>48.626100000000001</v>
      </c>
      <c r="G385">
        <v>0</v>
      </c>
      <c r="H385">
        <v>0.23499999999999999</v>
      </c>
      <c r="J385" t="s">
        <v>0</v>
      </c>
      <c r="K385" t="s">
        <v>49</v>
      </c>
      <c r="L385" t="s">
        <v>50</v>
      </c>
      <c r="M385">
        <v>0</v>
      </c>
      <c r="N385" t="s">
        <v>51</v>
      </c>
      <c r="O385">
        <v>1</v>
      </c>
      <c r="P385" t="s">
        <v>52</v>
      </c>
      <c r="Q385" s="2">
        <v>0.50763888888888886</v>
      </c>
      <c r="R385">
        <f>0.0011326521*3600</f>
        <v>4.0775475600000002</v>
      </c>
      <c r="S385">
        <f>-0.0050815984*3600</f>
        <v>-18.293754239999998</v>
      </c>
    </row>
    <row r="386" spans="1:19" x14ac:dyDescent="0.3">
      <c r="Q386" s="2"/>
    </row>
    <row r="387" spans="1:19" x14ac:dyDescent="0.3">
      <c r="A387" t="s">
        <v>0</v>
      </c>
      <c r="B387" t="s">
        <v>39</v>
      </c>
      <c r="C387" t="s">
        <v>40</v>
      </c>
      <c r="D387" t="s">
        <v>41</v>
      </c>
      <c r="E387">
        <v>3</v>
      </c>
    </row>
    <row r="388" spans="1:19" x14ac:dyDescent="0.3">
      <c r="A388" t="s">
        <v>0</v>
      </c>
      <c r="B388" t="s">
        <v>42</v>
      </c>
      <c r="C388" t="s">
        <v>43</v>
      </c>
      <c r="D388">
        <v>-186</v>
      </c>
    </row>
    <row r="389" spans="1:19" x14ac:dyDescent="0.3">
      <c r="A389" t="s">
        <v>0</v>
      </c>
      <c r="B389" t="s">
        <v>42</v>
      </c>
      <c r="C389" t="s">
        <v>44</v>
      </c>
      <c r="D389" t="s">
        <v>43</v>
      </c>
      <c r="E389">
        <v>0.99981363440000004</v>
      </c>
    </row>
    <row r="393" spans="1:19" x14ac:dyDescent="0.3">
      <c r="A393" t="s">
        <v>45</v>
      </c>
      <c r="B393" t="s">
        <v>71</v>
      </c>
    </row>
    <row r="394" spans="1:19" x14ac:dyDescent="0.3">
      <c r="A394" t="s">
        <v>47</v>
      </c>
      <c r="B394" t="s">
        <v>68</v>
      </c>
      <c r="C394">
        <v>129.56850600000001</v>
      </c>
      <c r="D394">
        <v>102.22278900000001</v>
      </c>
      <c r="E394">
        <v>24.984300000000001</v>
      </c>
      <c r="F394">
        <v>24.964400000000001</v>
      </c>
      <c r="G394">
        <v>0</v>
      </c>
      <c r="H394">
        <v>0</v>
      </c>
      <c r="J394" t="s">
        <v>0</v>
      </c>
      <c r="K394" t="s">
        <v>49</v>
      </c>
      <c r="L394" t="s">
        <v>50</v>
      </c>
      <c r="M394">
        <v>0</v>
      </c>
      <c r="N394" t="s">
        <v>51</v>
      </c>
      <c r="O394">
        <v>1</v>
      </c>
      <c r="P394" t="s">
        <v>52</v>
      </c>
      <c r="Q394" s="2">
        <v>0.50972222222222219</v>
      </c>
      <c r="R394">
        <f>0.000077504*3600</f>
        <v>0.2790144</v>
      </c>
      <c r="S394">
        <f>-0.00141322*3600</f>
        <v>-5.0875919999999999</v>
      </c>
    </row>
    <row r="395" spans="1:19" x14ac:dyDescent="0.3">
      <c r="A395" t="s">
        <v>28</v>
      </c>
      <c r="B395">
        <v>18</v>
      </c>
      <c r="C395" t="s">
        <v>29</v>
      </c>
      <c r="D395" s="3">
        <v>0.6</v>
      </c>
      <c r="E395" t="s">
        <v>30</v>
      </c>
      <c r="F395" t="s">
        <v>58</v>
      </c>
      <c r="G395" t="s">
        <v>32</v>
      </c>
      <c r="H395" t="s">
        <v>59</v>
      </c>
    </row>
    <row r="396" spans="1:19" x14ac:dyDescent="0.3">
      <c r="A396" t="s">
        <v>34</v>
      </c>
      <c r="B396" t="s">
        <v>35</v>
      </c>
      <c r="C396" t="s">
        <v>34</v>
      </c>
      <c r="D396" t="s">
        <v>72</v>
      </c>
    </row>
    <row r="397" spans="1:19" x14ac:dyDescent="0.3">
      <c r="A397" t="s">
        <v>37</v>
      </c>
      <c r="B397" t="s">
        <v>38</v>
      </c>
      <c r="C397">
        <v>0.13</v>
      </c>
    </row>
    <row r="399" spans="1:19" x14ac:dyDescent="0.3">
      <c r="A399" t="s">
        <v>71</v>
      </c>
      <c r="B399" t="s">
        <v>73</v>
      </c>
      <c r="C399">
        <v>334.516457</v>
      </c>
      <c r="D399">
        <v>100.058767</v>
      </c>
      <c r="E399">
        <v>11.990399999999999</v>
      </c>
      <c r="F399">
        <v>11.988200000000001</v>
      </c>
      <c r="G399">
        <v>0</v>
      </c>
      <c r="H399">
        <v>0</v>
      </c>
      <c r="J399" t="s">
        <v>0</v>
      </c>
      <c r="K399" t="s">
        <v>49</v>
      </c>
      <c r="L399" t="s">
        <v>50</v>
      </c>
      <c r="M399">
        <v>0</v>
      </c>
      <c r="N399" t="s">
        <v>51</v>
      </c>
      <c r="O399">
        <v>1</v>
      </c>
      <c r="P399" t="s">
        <v>52</v>
      </c>
      <c r="Q399" s="2">
        <v>0.51041666666666663</v>
      </c>
      <c r="R399">
        <f>-0.0004819218*3600</f>
        <v>-1.7349184800000002</v>
      </c>
      <c r="S399">
        <f>0.0005448298*3600</f>
        <v>1.9613872799999998</v>
      </c>
    </row>
    <row r="400" spans="1:19" x14ac:dyDescent="0.3">
      <c r="A400" t="s">
        <v>71</v>
      </c>
      <c r="B400" t="s">
        <v>73</v>
      </c>
      <c r="C400">
        <v>134.51679300000001</v>
      </c>
      <c r="D400">
        <v>299.93891200000002</v>
      </c>
      <c r="E400">
        <v>11.990399999999999</v>
      </c>
      <c r="F400">
        <v>11.988200000000001</v>
      </c>
      <c r="G400">
        <v>0</v>
      </c>
      <c r="H400">
        <v>0</v>
      </c>
      <c r="J400" t="s">
        <v>0</v>
      </c>
      <c r="K400" t="s">
        <v>49</v>
      </c>
      <c r="L400" t="s">
        <v>50</v>
      </c>
      <c r="M400">
        <v>0</v>
      </c>
      <c r="N400" t="s">
        <v>51</v>
      </c>
      <c r="O400">
        <v>1</v>
      </c>
      <c r="P400" t="s">
        <v>52</v>
      </c>
      <c r="Q400" s="2">
        <v>0.51041666666666663</v>
      </c>
      <c r="R400">
        <f>0.0002032138*3600</f>
        <v>0.73156968</v>
      </c>
      <c r="S400">
        <f>-0.0033071564*3600</f>
        <v>-11.90576304</v>
      </c>
    </row>
    <row r="401" spans="1:19" x14ac:dyDescent="0.3">
      <c r="A401" t="s">
        <v>71</v>
      </c>
      <c r="B401" t="s">
        <v>73</v>
      </c>
      <c r="C401">
        <v>334.51688300000001</v>
      </c>
      <c r="D401">
        <v>100.05866399999999</v>
      </c>
      <c r="E401">
        <v>11.990399999999999</v>
      </c>
      <c r="F401">
        <v>11.988200000000001</v>
      </c>
      <c r="G401">
        <v>0</v>
      </c>
      <c r="H401">
        <v>0</v>
      </c>
      <c r="J401" t="s">
        <v>0</v>
      </c>
      <c r="K401" t="s">
        <v>49</v>
      </c>
      <c r="L401" t="s">
        <v>50</v>
      </c>
      <c r="M401">
        <v>0</v>
      </c>
      <c r="N401" t="s">
        <v>51</v>
      </c>
      <c r="O401">
        <v>1</v>
      </c>
      <c r="P401" t="s">
        <v>52</v>
      </c>
      <c r="Q401" s="2">
        <v>0.51111111111111118</v>
      </c>
      <c r="R401">
        <f>0.0002563567*3600</f>
        <v>0.92288411999999997</v>
      </c>
      <c r="S401">
        <f>-0.0033135279*3600</f>
        <v>-11.92870044</v>
      </c>
    </row>
    <row r="402" spans="1:19" x14ac:dyDescent="0.3">
      <c r="A402" t="s">
        <v>71</v>
      </c>
      <c r="B402" t="s">
        <v>73</v>
      </c>
      <c r="C402">
        <v>134.51668799999999</v>
      </c>
      <c r="D402">
        <v>299.93871100000001</v>
      </c>
      <c r="E402">
        <v>11.9903</v>
      </c>
      <c r="F402">
        <v>11.988099999999999</v>
      </c>
      <c r="G402">
        <v>0</v>
      </c>
      <c r="H402">
        <v>0</v>
      </c>
      <c r="J402" t="s">
        <v>0</v>
      </c>
      <c r="K402" t="s">
        <v>49</v>
      </c>
      <c r="L402" t="s">
        <v>50</v>
      </c>
      <c r="M402">
        <v>0</v>
      </c>
      <c r="N402" t="s">
        <v>51</v>
      </c>
      <c r="O402">
        <v>1</v>
      </c>
      <c r="P402" t="s">
        <v>52</v>
      </c>
      <c r="Q402" s="2">
        <v>0.51111111111111118</v>
      </c>
      <c r="R402">
        <f>-0.0009979254*3600</f>
        <v>-3.5925314399999997</v>
      </c>
      <c r="S402">
        <f>0.0012840436*3600</f>
        <v>4.6225569600000007</v>
      </c>
    </row>
    <row r="403" spans="1:19" x14ac:dyDescent="0.3">
      <c r="A403" t="s">
        <v>71</v>
      </c>
      <c r="B403" t="s">
        <v>73</v>
      </c>
      <c r="C403">
        <v>334.51704999999998</v>
      </c>
      <c r="D403">
        <v>100.058711</v>
      </c>
      <c r="E403">
        <v>11.990399999999999</v>
      </c>
      <c r="F403">
        <v>11.988200000000001</v>
      </c>
      <c r="G403">
        <v>0</v>
      </c>
      <c r="H403">
        <v>0</v>
      </c>
      <c r="J403" t="s">
        <v>0</v>
      </c>
      <c r="K403" t="s">
        <v>49</v>
      </c>
      <c r="L403" t="s">
        <v>50</v>
      </c>
      <c r="M403">
        <v>0</v>
      </c>
      <c r="N403" t="s">
        <v>51</v>
      </c>
      <c r="O403">
        <v>1</v>
      </c>
      <c r="P403" t="s">
        <v>52</v>
      </c>
      <c r="Q403" s="2">
        <v>0.51111111111111118</v>
      </c>
      <c r="R403">
        <f>-0.0009182365*3600</f>
        <v>-3.3056513999999999</v>
      </c>
      <c r="S403">
        <f>0.0012503991*3600</f>
        <v>4.5014367599999998</v>
      </c>
    </row>
    <row r="404" spans="1:19" x14ac:dyDescent="0.3">
      <c r="A404" t="s">
        <v>71</v>
      </c>
      <c r="B404" t="s">
        <v>73</v>
      </c>
      <c r="C404">
        <v>134.517596</v>
      </c>
      <c r="D404">
        <v>299.93882400000001</v>
      </c>
      <c r="E404">
        <v>11.990600000000001</v>
      </c>
      <c r="F404">
        <v>11.9884</v>
      </c>
      <c r="G404">
        <v>0</v>
      </c>
      <c r="H404">
        <v>0</v>
      </c>
      <c r="J404" t="s">
        <v>0</v>
      </c>
      <c r="K404" t="s">
        <v>49</v>
      </c>
      <c r="L404" t="s">
        <v>50</v>
      </c>
      <c r="M404">
        <v>0</v>
      </c>
      <c r="N404" t="s">
        <v>51</v>
      </c>
      <c r="O404">
        <v>1</v>
      </c>
      <c r="P404" t="s">
        <v>52</v>
      </c>
      <c r="Q404" s="2">
        <v>0.51111111111111118</v>
      </c>
      <c r="R404">
        <f>-0.0000101906*3600</f>
        <v>-3.6686160000000002E-2</v>
      </c>
      <c r="S404">
        <f>-0.0035595982*3600</f>
        <v>-12.814553519999999</v>
      </c>
    </row>
    <row r="405" spans="1:19" x14ac:dyDescent="0.3">
      <c r="A405" t="s">
        <v>71</v>
      </c>
      <c r="B405" t="s">
        <v>73</v>
      </c>
      <c r="C405">
        <v>334.51708600000001</v>
      </c>
      <c r="D405">
        <v>100.058678</v>
      </c>
      <c r="E405">
        <v>11.990399999999999</v>
      </c>
      <c r="F405">
        <v>11.988200000000001</v>
      </c>
      <c r="G405">
        <v>0</v>
      </c>
      <c r="H405">
        <v>0</v>
      </c>
      <c r="J405" t="s">
        <v>0</v>
      </c>
      <c r="K405" t="s">
        <v>49</v>
      </c>
      <c r="L405" t="s">
        <v>50</v>
      </c>
      <c r="M405">
        <v>0</v>
      </c>
      <c r="N405" t="s">
        <v>51</v>
      </c>
      <c r="O405">
        <v>1</v>
      </c>
      <c r="P405" t="s">
        <v>52</v>
      </c>
      <c r="Q405" s="2">
        <v>0.51111111111111118</v>
      </c>
      <c r="R405">
        <f>-0.0006275002*3600</f>
        <v>-2.25900072</v>
      </c>
      <c r="S405">
        <f>0.0007815951*3600</f>
        <v>2.81374236</v>
      </c>
    </row>
    <row r="406" spans="1:19" x14ac:dyDescent="0.3">
      <c r="A406" t="s">
        <v>71</v>
      </c>
      <c r="B406" t="s">
        <v>73</v>
      </c>
      <c r="C406">
        <v>134.51678899999999</v>
      </c>
      <c r="D406">
        <v>299.93849399999999</v>
      </c>
      <c r="E406">
        <v>11.990500000000001</v>
      </c>
      <c r="F406">
        <v>11.988300000000001</v>
      </c>
      <c r="G406">
        <v>0</v>
      </c>
      <c r="H406">
        <v>0</v>
      </c>
      <c r="J406" t="s">
        <v>0</v>
      </c>
      <c r="K406" t="s">
        <v>49</v>
      </c>
      <c r="L406" t="s">
        <v>50</v>
      </c>
      <c r="M406">
        <v>0</v>
      </c>
      <c r="N406" t="s">
        <v>51</v>
      </c>
      <c r="O406">
        <v>1</v>
      </c>
      <c r="P406" t="s">
        <v>52</v>
      </c>
      <c r="Q406" s="2">
        <v>0.51111111111111118</v>
      </c>
      <c r="R406">
        <f>0.0001711935*3600</f>
        <v>0.61629659999999997</v>
      </c>
      <c r="S406">
        <f>-0.0032812799*3600</f>
        <v>-11.81260764</v>
      </c>
    </row>
    <row r="407" spans="1:19" x14ac:dyDescent="0.3">
      <c r="A407" t="s">
        <v>71</v>
      </c>
      <c r="B407" t="s">
        <v>73</v>
      </c>
      <c r="C407">
        <v>334.51651600000002</v>
      </c>
      <c r="D407">
        <v>100.058465</v>
      </c>
      <c r="E407">
        <v>11.990500000000001</v>
      </c>
      <c r="F407">
        <v>11.988300000000001</v>
      </c>
      <c r="G407">
        <v>0</v>
      </c>
      <c r="H407">
        <v>0</v>
      </c>
      <c r="J407" t="s">
        <v>0</v>
      </c>
      <c r="K407" t="s">
        <v>49</v>
      </c>
      <c r="L407" t="s">
        <v>50</v>
      </c>
      <c r="M407">
        <v>0</v>
      </c>
      <c r="N407" t="s">
        <v>51</v>
      </c>
      <c r="O407">
        <v>1</v>
      </c>
      <c r="P407" t="s">
        <v>52</v>
      </c>
      <c r="Q407" s="2">
        <v>0.51180555555555551</v>
      </c>
      <c r="R407">
        <f>0.0002279611*3600</f>
        <v>0.82065995999999997</v>
      </c>
      <c r="S407">
        <f>-0.0033449143*3600</f>
        <v>-12.041691480000001</v>
      </c>
    </row>
    <row r="408" spans="1:19" x14ac:dyDescent="0.3">
      <c r="A408" t="s">
        <v>71</v>
      </c>
      <c r="B408" t="s">
        <v>73</v>
      </c>
      <c r="C408">
        <v>134.51706999999999</v>
      </c>
      <c r="D408">
        <v>299.93845599999997</v>
      </c>
      <c r="E408">
        <v>11.990399999999999</v>
      </c>
      <c r="F408">
        <v>11.988200000000001</v>
      </c>
      <c r="G408">
        <v>0</v>
      </c>
      <c r="H408">
        <v>0</v>
      </c>
      <c r="J408" t="s">
        <v>0</v>
      </c>
      <c r="K408" t="s">
        <v>49</v>
      </c>
      <c r="L408" t="s">
        <v>50</v>
      </c>
      <c r="M408">
        <v>0</v>
      </c>
      <c r="N408" t="s">
        <v>51</v>
      </c>
      <c r="O408">
        <v>1</v>
      </c>
      <c r="P408" t="s">
        <v>52</v>
      </c>
      <c r="Q408" s="2">
        <v>0.51180555555555551</v>
      </c>
      <c r="R408">
        <f>-0.0010284923*3600</f>
        <v>-3.7025722800000005</v>
      </c>
      <c r="S408">
        <f>0.0012366997*3600</f>
        <v>4.4521189200000002</v>
      </c>
    </row>
    <row r="409" spans="1:19" x14ac:dyDescent="0.3">
      <c r="A409" t="s">
        <v>71</v>
      </c>
      <c r="B409" t="s">
        <v>74</v>
      </c>
      <c r="C409">
        <v>335.28518000000003</v>
      </c>
      <c r="D409">
        <v>100.12984</v>
      </c>
      <c r="E409">
        <v>17.980599999999999</v>
      </c>
      <c r="F409">
        <v>17.9772</v>
      </c>
      <c r="G409">
        <v>0</v>
      </c>
      <c r="H409">
        <v>0</v>
      </c>
      <c r="J409" t="s">
        <v>0</v>
      </c>
      <c r="K409" t="s">
        <v>49</v>
      </c>
      <c r="L409" t="s">
        <v>50</v>
      </c>
      <c r="M409">
        <v>0</v>
      </c>
      <c r="N409" t="s">
        <v>51</v>
      </c>
      <c r="O409">
        <v>1</v>
      </c>
      <c r="P409" t="s">
        <v>52</v>
      </c>
      <c r="Q409" s="2">
        <v>0.51180555555555551</v>
      </c>
      <c r="R409">
        <f>-0.0008734419*3600</f>
        <v>-3.1443908399999998</v>
      </c>
      <c r="S409">
        <f>0.0013332322*3600</f>
        <v>4.7996359200000001</v>
      </c>
    </row>
    <row r="410" spans="1:19" x14ac:dyDescent="0.3">
      <c r="A410" t="s">
        <v>71</v>
      </c>
      <c r="B410" t="s">
        <v>74</v>
      </c>
      <c r="C410">
        <v>135.285709</v>
      </c>
      <c r="D410">
        <v>299.86775399999999</v>
      </c>
      <c r="E410">
        <v>17.980599999999999</v>
      </c>
      <c r="F410">
        <v>17.9772</v>
      </c>
      <c r="G410">
        <v>0</v>
      </c>
      <c r="H410">
        <v>0</v>
      </c>
      <c r="J410" t="s">
        <v>0</v>
      </c>
      <c r="K410" t="s">
        <v>49</v>
      </c>
      <c r="L410" t="s">
        <v>50</v>
      </c>
      <c r="M410">
        <v>0</v>
      </c>
      <c r="N410" t="s">
        <v>51</v>
      </c>
      <c r="O410">
        <v>1</v>
      </c>
      <c r="P410" t="s">
        <v>52</v>
      </c>
      <c r="Q410" s="2">
        <v>0.51180555555555551</v>
      </c>
      <c r="R410">
        <f>-0.000047103*3600</f>
        <v>-0.16957079999999999</v>
      </c>
      <c r="S410">
        <f>-0.0035277466*3600</f>
        <v>-12.699887760000001</v>
      </c>
    </row>
    <row r="411" spans="1:19" x14ac:dyDescent="0.3">
      <c r="A411" t="s">
        <v>71</v>
      </c>
      <c r="B411" t="s">
        <v>74</v>
      </c>
      <c r="C411">
        <v>335.28584999999998</v>
      </c>
      <c r="D411">
        <v>100.129988</v>
      </c>
      <c r="E411">
        <v>17.980599999999999</v>
      </c>
      <c r="F411">
        <v>17.9772</v>
      </c>
      <c r="G411">
        <v>0</v>
      </c>
      <c r="H411">
        <v>0</v>
      </c>
      <c r="J411" t="s">
        <v>0</v>
      </c>
      <c r="K411" t="s">
        <v>49</v>
      </c>
      <c r="L411" t="s">
        <v>50</v>
      </c>
      <c r="M411">
        <v>0</v>
      </c>
      <c r="N411" t="s">
        <v>51</v>
      </c>
      <c r="O411">
        <v>1</v>
      </c>
      <c r="P411" t="s">
        <v>52</v>
      </c>
      <c r="Q411" s="2">
        <v>0.51180555555555551</v>
      </c>
      <c r="R411">
        <f>-0.0007337066*3600</f>
        <v>-2.6413437599999998</v>
      </c>
      <c r="S411">
        <f>0.0016344728*3600</f>
        <v>5.8841020799999999</v>
      </c>
    </row>
    <row r="412" spans="1:19" x14ac:dyDescent="0.3">
      <c r="A412" t="s">
        <v>71</v>
      </c>
      <c r="B412" t="s">
        <v>74</v>
      </c>
      <c r="C412">
        <v>135.286101</v>
      </c>
      <c r="D412">
        <v>299.86790500000001</v>
      </c>
      <c r="E412">
        <v>17.980599999999999</v>
      </c>
      <c r="F412">
        <v>17.9772</v>
      </c>
      <c r="G412">
        <v>0</v>
      </c>
      <c r="H412">
        <v>0</v>
      </c>
      <c r="J412" t="s">
        <v>0</v>
      </c>
      <c r="K412" t="s">
        <v>49</v>
      </c>
      <c r="L412" t="s">
        <v>50</v>
      </c>
      <c r="M412">
        <v>0</v>
      </c>
      <c r="N412" t="s">
        <v>51</v>
      </c>
      <c r="O412">
        <v>1</v>
      </c>
      <c r="P412" t="s">
        <v>52</v>
      </c>
      <c r="Q412" s="2">
        <v>0.51180555555555551</v>
      </c>
      <c r="R412">
        <f>0.0006595736*3600</f>
        <v>2.3744649600000001</v>
      </c>
      <c r="S412">
        <f>-0.0033216889*3600</f>
        <v>-11.95808004</v>
      </c>
    </row>
    <row r="413" spans="1:19" x14ac:dyDescent="0.3">
      <c r="A413" t="s">
        <v>71</v>
      </c>
      <c r="B413" t="s">
        <v>74</v>
      </c>
      <c r="C413">
        <v>335.28604200000001</v>
      </c>
      <c r="D413">
        <v>100.130155</v>
      </c>
      <c r="E413">
        <v>17.980699999999999</v>
      </c>
      <c r="F413">
        <v>17.9773</v>
      </c>
      <c r="G413">
        <v>0</v>
      </c>
      <c r="H413">
        <v>0</v>
      </c>
      <c r="J413" t="s">
        <v>0</v>
      </c>
      <c r="K413" t="s">
        <v>49</v>
      </c>
      <c r="L413" t="s">
        <v>50</v>
      </c>
      <c r="M413">
        <v>0</v>
      </c>
      <c r="N413" t="s">
        <v>51</v>
      </c>
      <c r="O413">
        <v>1</v>
      </c>
      <c r="P413" t="s">
        <v>52</v>
      </c>
      <c r="Q413" s="2">
        <v>0.51180555555555551</v>
      </c>
      <c r="R413">
        <f>0.0007317662*3600</f>
        <v>2.63435832</v>
      </c>
      <c r="S413">
        <f>-0.003266462*3600</f>
        <v>-11.759263199999999</v>
      </c>
    </row>
    <row r="414" spans="1:19" x14ac:dyDescent="0.3">
      <c r="A414" t="s">
        <v>71</v>
      </c>
      <c r="B414" t="s">
        <v>74</v>
      </c>
      <c r="C414">
        <v>135.28577100000001</v>
      </c>
      <c r="D414">
        <v>299.86776500000002</v>
      </c>
      <c r="E414">
        <v>17.980599999999999</v>
      </c>
      <c r="F414">
        <v>17.9772</v>
      </c>
      <c r="G414">
        <v>0</v>
      </c>
      <c r="H414">
        <v>0</v>
      </c>
      <c r="J414" t="s">
        <v>0</v>
      </c>
      <c r="K414" t="s">
        <v>49</v>
      </c>
      <c r="L414" t="s">
        <v>50</v>
      </c>
      <c r="M414">
        <v>0</v>
      </c>
      <c r="N414" t="s">
        <v>51</v>
      </c>
      <c r="O414">
        <v>1</v>
      </c>
      <c r="P414" t="s">
        <v>52</v>
      </c>
      <c r="Q414" s="2">
        <v>0.51180555555555551</v>
      </c>
      <c r="R414">
        <f>-0.0008451372*3600</f>
        <v>-3.0424939200000001</v>
      </c>
      <c r="S414">
        <f>0.0005101375*3600</f>
        <v>1.836495</v>
      </c>
    </row>
    <row r="415" spans="1:19" x14ac:dyDescent="0.3">
      <c r="A415" t="s">
        <v>71</v>
      </c>
      <c r="B415" t="s">
        <v>74</v>
      </c>
      <c r="C415">
        <v>335.28613000000001</v>
      </c>
      <c r="D415">
        <v>100.129411</v>
      </c>
      <c r="E415">
        <v>17.980699999999999</v>
      </c>
      <c r="F415">
        <v>17.9773</v>
      </c>
      <c r="G415">
        <v>0</v>
      </c>
      <c r="H415">
        <v>0</v>
      </c>
      <c r="J415" t="s">
        <v>0</v>
      </c>
      <c r="K415" t="s">
        <v>49</v>
      </c>
      <c r="L415" t="s">
        <v>50</v>
      </c>
      <c r="M415">
        <v>0</v>
      </c>
      <c r="N415" t="s">
        <v>51</v>
      </c>
      <c r="O415">
        <v>1</v>
      </c>
      <c r="P415" t="s">
        <v>52</v>
      </c>
      <c r="Q415" s="2">
        <v>0.51250000000000007</v>
      </c>
      <c r="R415">
        <f>-0.0008920949*3600</f>
        <v>-3.2115416400000001</v>
      </c>
      <c r="S415">
        <f>0.0006563235*3600</f>
        <v>2.3627645999999998</v>
      </c>
    </row>
    <row r="416" spans="1:19" x14ac:dyDescent="0.3">
      <c r="A416" t="s">
        <v>71</v>
      </c>
      <c r="B416" t="s">
        <v>74</v>
      </c>
      <c r="C416">
        <v>135.28551999999999</v>
      </c>
      <c r="D416">
        <v>299.867435</v>
      </c>
      <c r="E416">
        <v>17.980599999999999</v>
      </c>
      <c r="F416">
        <v>17.9772</v>
      </c>
      <c r="G416">
        <v>0</v>
      </c>
      <c r="H416">
        <v>0</v>
      </c>
      <c r="J416" t="s">
        <v>0</v>
      </c>
      <c r="K416" t="s">
        <v>49</v>
      </c>
      <c r="L416" t="s">
        <v>50</v>
      </c>
      <c r="M416">
        <v>0</v>
      </c>
      <c r="N416" t="s">
        <v>51</v>
      </c>
      <c r="O416">
        <v>1</v>
      </c>
      <c r="P416" t="s">
        <v>52</v>
      </c>
      <c r="Q416" s="2">
        <v>0.51250000000000007</v>
      </c>
      <c r="R416">
        <f>0.0002998713*3600</f>
        <v>1.0795366799999999</v>
      </c>
      <c r="S416">
        <f>-0.0035009109*3600</f>
        <v>-12.603279240000001</v>
      </c>
    </row>
    <row r="417" spans="1:19" x14ac:dyDescent="0.3">
      <c r="A417" t="s">
        <v>71</v>
      </c>
      <c r="B417" t="s">
        <v>74</v>
      </c>
      <c r="C417">
        <v>335.28555599999999</v>
      </c>
      <c r="D417">
        <v>100.129424</v>
      </c>
      <c r="E417">
        <v>17.980599999999999</v>
      </c>
      <c r="F417">
        <v>17.9772</v>
      </c>
      <c r="G417">
        <v>0</v>
      </c>
      <c r="H417">
        <v>0</v>
      </c>
      <c r="J417" t="s">
        <v>0</v>
      </c>
      <c r="K417" t="s">
        <v>49</v>
      </c>
      <c r="L417" t="s">
        <v>50</v>
      </c>
      <c r="M417">
        <v>0</v>
      </c>
      <c r="N417" t="s">
        <v>51</v>
      </c>
      <c r="O417">
        <v>1</v>
      </c>
      <c r="P417" t="s">
        <v>52</v>
      </c>
      <c r="Q417" s="2">
        <v>0.51250000000000007</v>
      </c>
      <c r="R417">
        <f>-0.000752321*3600</f>
        <v>-2.7083556</v>
      </c>
      <c r="S417">
        <f>0.0008555212*3600</f>
        <v>3.0798763199999999</v>
      </c>
    </row>
    <row r="418" spans="1:19" x14ac:dyDescent="0.3">
      <c r="A418" t="s">
        <v>71</v>
      </c>
      <c r="B418" t="s">
        <v>74</v>
      </c>
      <c r="C418">
        <v>135.285957</v>
      </c>
      <c r="D418">
        <v>299.86766399999999</v>
      </c>
      <c r="E418">
        <v>17.980599999999999</v>
      </c>
      <c r="F418">
        <v>17.9772</v>
      </c>
      <c r="G418">
        <v>0</v>
      </c>
      <c r="H418">
        <v>0</v>
      </c>
      <c r="J418" t="s">
        <v>0</v>
      </c>
      <c r="K418" t="s">
        <v>49</v>
      </c>
      <c r="L418" t="s">
        <v>50</v>
      </c>
      <c r="M418">
        <v>0</v>
      </c>
      <c r="N418" t="s">
        <v>51</v>
      </c>
      <c r="O418">
        <v>1</v>
      </c>
      <c r="P418" t="s">
        <v>52</v>
      </c>
      <c r="Q418" s="2">
        <v>0.51250000000000007</v>
      </c>
      <c r="R418">
        <f>0.0001326475*3600</f>
        <v>0.47753099999999993</v>
      </c>
      <c r="S418">
        <f>-0.0034176604*3600</f>
        <v>-12.30357744</v>
      </c>
    </row>
    <row r="419" spans="1:19" x14ac:dyDescent="0.3">
      <c r="A419" t="s">
        <v>71</v>
      </c>
      <c r="B419" t="s">
        <v>68</v>
      </c>
      <c r="C419">
        <v>129.56797299999999</v>
      </c>
      <c r="D419">
        <v>102.22206799999999</v>
      </c>
      <c r="E419">
        <v>24.984300000000001</v>
      </c>
      <c r="F419">
        <v>24.964400000000001</v>
      </c>
      <c r="G419">
        <v>0</v>
      </c>
      <c r="H419">
        <v>0</v>
      </c>
      <c r="J419" t="s">
        <v>0</v>
      </c>
      <c r="K419" t="s">
        <v>49</v>
      </c>
      <c r="L419" t="s">
        <v>50</v>
      </c>
      <c r="M419">
        <v>0</v>
      </c>
      <c r="N419" t="s">
        <v>51</v>
      </c>
      <c r="O419">
        <v>1</v>
      </c>
      <c r="P419" t="s">
        <v>52</v>
      </c>
      <c r="Q419" s="2">
        <v>0.51250000000000007</v>
      </c>
      <c r="R419">
        <f>0.0001983757*3600</f>
        <v>0.71415252000000007</v>
      </c>
      <c r="S419">
        <f>-0.0035009895*3600</f>
        <v>-12.603562200000001</v>
      </c>
    </row>
    <row r="420" spans="1:19" x14ac:dyDescent="0.3">
      <c r="A420" t="s">
        <v>71</v>
      </c>
      <c r="B420" t="s">
        <v>68</v>
      </c>
      <c r="C420">
        <v>329.56872800000002</v>
      </c>
      <c r="D420">
        <v>297.77556600000003</v>
      </c>
      <c r="E420">
        <v>24.984200000000001</v>
      </c>
      <c r="F420">
        <v>24.964300000000001</v>
      </c>
      <c r="G420">
        <v>0</v>
      </c>
      <c r="H420">
        <v>0</v>
      </c>
      <c r="J420" t="s">
        <v>0</v>
      </c>
      <c r="K420" t="s">
        <v>49</v>
      </c>
      <c r="L420" t="s">
        <v>50</v>
      </c>
      <c r="M420">
        <v>0</v>
      </c>
      <c r="N420" t="s">
        <v>51</v>
      </c>
      <c r="O420">
        <v>1</v>
      </c>
      <c r="P420" t="s">
        <v>52</v>
      </c>
      <c r="Q420" s="2">
        <v>0.51250000000000007</v>
      </c>
      <c r="R420">
        <f>-0.0012229913*3600</f>
        <v>-4.4027686800000003</v>
      </c>
      <c r="S420">
        <f>0.0012234701*3600</f>
        <v>4.4044923599999999</v>
      </c>
    </row>
    <row r="421" spans="1:19" x14ac:dyDescent="0.3">
      <c r="A421" t="s">
        <v>71</v>
      </c>
      <c r="B421" t="s">
        <v>68</v>
      </c>
      <c r="C421">
        <v>129.568297</v>
      </c>
      <c r="D421">
        <v>102.22296</v>
      </c>
      <c r="E421">
        <v>24.984200000000001</v>
      </c>
      <c r="F421">
        <v>24.964300000000001</v>
      </c>
      <c r="G421">
        <v>0</v>
      </c>
      <c r="H421">
        <v>0</v>
      </c>
      <c r="J421" t="s">
        <v>0</v>
      </c>
      <c r="K421" t="s">
        <v>49</v>
      </c>
      <c r="L421" t="s">
        <v>50</v>
      </c>
      <c r="M421">
        <v>0</v>
      </c>
      <c r="N421" t="s">
        <v>51</v>
      </c>
      <c r="O421">
        <v>1</v>
      </c>
      <c r="P421" t="s">
        <v>52</v>
      </c>
      <c r="Q421" s="2">
        <v>0.51250000000000007</v>
      </c>
      <c r="R421">
        <f>-0.0008495378*3600</f>
        <v>-3.0583360800000001</v>
      </c>
      <c r="S421">
        <f>0.001377275*3600</f>
        <v>4.9581900000000001</v>
      </c>
    </row>
    <row r="422" spans="1:19" x14ac:dyDescent="0.3">
      <c r="A422" t="s">
        <v>71</v>
      </c>
      <c r="B422" t="s">
        <v>68</v>
      </c>
      <c r="C422">
        <v>329.56832600000001</v>
      </c>
      <c r="D422">
        <v>297.77551799999998</v>
      </c>
      <c r="E422">
        <v>24.984200000000001</v>
      </c>
      <c r="F422">
        <v>24.964300000000001</v>
      </c>
      <c r="G422">
        <v>0</v>
      </c>
      <c r="H422">
        <v>0</v>
      </c>
      <c r="J422" t="s">
        <v>0</v>
      </c>
      <c r="K422" t="s">
        <v>49</v>
      </c>
      <c r="L422" t="s">
        <v>50</v>
      </c>
      <c r="M422">
        <v>0</v>
      </c>
      <c r="N422" t="s">
        <v>51</v>
      </c>
      <c r="O422">
        <v>1</v>
      </c>
      <c r="P422" t="s">
        <v>52</v>
      </c>
      <c r="Q422" s="2">
        <v>0.51250000000000007</v>
      </c>
      <c r="R422">
        <f>-0.0000484385*3600</f>
        <v>-0.17437859999999999</v>
      </c>
      <c r="S422">
        <f>-0.0034675039*3600</f>
        <v>-12.48301404</v>
      </c>
    </row>
    <row r="423" spans="1:19" x14ac:dyDescent="0.3">
      <c r="A423" t="s">
        <v>71</v>
      </c>
      <c r="B423" t="s">
        <v>68</v>
      </c>
      <c r="C423">
        <v>129.56836300000001</v>
      </c>
      <c r="D423">
        <v>102.22283400000001</v>
      </c>
      <c r="E423">
        <v>24.984200000000001</v>
      </c>
      <c r="F423">
        <v>24.964300000000001</v>
      </c>
      <c r="G423">
        <v>0</v>
      </c>
      <c r="H423">
        <v>0</v>
      </c>
      <c r="J423" t="s">
        <v>0</v>
      </c>
      <c r="K423" t="s">
        <v>49</v>
      </c>
      <c r="L423" t="s">
        <v>50</v>
      </c>
      <c r="M423">
        <v>0</v>
      </c>
      <c r="N423" t="s">
        <v>51</v>
      </c>
      <c r="O423">
        <v>1</v>
      </c>
      <c r="P423" t="s">
        <v>52</v>
      </c>
      <c r="Q423" s="2">
        <v>0.5131944444444444</v>
      </c>
      <c r="R423">
        <f>-0.0008119517*3600</f>
        <v>-2.9230261199999998</v>
      </c>
      <c r="S423">
        <f>0.0017534766*3600</f>
        <v>6.3125157599999993</v>
      </c>
    </row>
    <row r="424" spans="1:19" x14ac:dyDescent="0.3">
      <c r="A424" t="s">
        <v>71</v>
      </c>
      <c r="B424" t="s">
        <v>68</v>
      </c>
      <c r="C424">
        <v>329.56850200000002</v>
      </c>
      <c r="D424">
        <v>297.77543200000002</v>
      </c>
      <c r="E424">
        <v>24.984400000000001</v>
      </c>
      <c r="F424">
        <v>24.964500000000001</v>
      </c>
      <c r="G424">
        <v>0</v>
      </c>
      <c r="H424">
        <v>0</v>
      </c>
      <c r="J424" t="s">
        <v>0</v>
      </c>
      <c r="K424" t="s">
        <v>49</v>
      </c>
      <c r="L424" t="s">
        <v>50</v>
      </c>
      <c r="M424">
        <v>0</v>
      </c>
      <c r="N424" t="s">
        <v>51</v>
      </c>
      <c r="O424">
        <v>1</v>
      </c>
      <c r="P424" t="s">
        <v>52</v>
      </c>
      <c r="Q424" s="2">
        <v>0.5131944444444444</v>
      </c>
      <c r="R424">
        <f>0.0006614412*3600</f>
        <v>2.3811883200000001</v>
      </c>
      <c r="S424">
        <f>-0.0033190477*3600</f>
        <v>-11.94857172</v>
      </c>
    </row>
    <row r="425" spans="1:19" x14ac:dyDescent="0.3">
      <c r="A425" t="s">
        <v>71</v>
      </c>
      <c r="B425" t="s">
        <v>68</v>
      </c>
      <c r="C425">
        <v>129.56851</v>
      </c>
      <c r="D425">
        <v>102.22349800000001</v>
      </c>
      <c r="E425">
        <v>24.984200000000001</v>
      </c>
      <c r="F425">
        <v>24.964300000000001</v>
      </c>
      <c r="G425">
        <v>0</v>
      </c>
      <c r="H425">
        <v>0</v>
      </c>
      <c r="J425" t="s">
        <v>0</v>
      </c>
      <c r="K425" t="s">
        <v>49</v>
      </c>
      <c r="L425" t="s">
        <v>50</v>
      </c>
      <c r="M425">
        <v>0</v>
      </c>
      <c r="N425" t="s">
        <v>51</v>
      </c>
      <c r="O425">
        <v>1</v>
      </c>
      <c r="P425" t="s">
        <v>52</v>
      </c>
      <c r="Q425" s="2">
        <v>0.5131944444444444</v>
      </c>
      <c r="R425">
        <f>0.0006850472*3600</f>
        <v>2.46616992</v>
      </c>
      <c r="S425">
        <f>-0.0033250918*3600</f>
        <v>-11.970330479999999</v>
      </c>
    </row>
    <row r="426" spans="1:19" x14ac:dyDescent="0.3">
      <c r="A426" t="s">
        <v>71</v>
      </c>
      <c r="B426" t="s">
        <v>68</v>
      </c>
      <c r="C426">
        <v>329.56838099999999</v>
      </c>
      <c r="D426">
        <v>297.77551499999998</v>
      </c>
      <c r="E426">
        <v>24.984300000000001</v>
      </c>
      <c r="F426">
        <v>24.964400000000001</v>
      </c>
      <c r="G426">
        <v>0</v>
      </c>
      <c r="H426">
        <v>0</v>
      </c>
      <c r="J426" t="s">
        <v>0</v>
      </c>
      <c r="K426" t="s">
        <v>49</v>
      </c>
      <c r="L426" t="s">
        <v>50</v>
      </c>
      <c r="M426">
        <v>0</v>
      </c>
      <c r="N426" t="s">
        <v>51</v>
      </c>
      <c r="O426">
        <v>1</v>
      </c>
      <c r="P426" t="s">
        <v>52</v>
      </c>
      <c r="Q426" s="2">
        <v>0.5131944444444444</v>
      </c>
      <c r="R426">
        <f>-0.0011065454*3600</f>
        <v>-3.9835634399999997</v>
      </c>
      <c r="S426">
        <f>0.0012772059*3600</f>
        <v>4.5979412399999999</v>
      </c>
    </row>
    <row r="427" spans="1:19" x14ac:dyDescent="0.3">
      <c r="A427" t="s">
        <v>71</v>
      </c>
      <c r="B427" t="s">
        <v>68</v>
      </c>
      <c r="C427">
        <v>129.56790899999999</v>
      </c>
      <c r="D427">
        <v>102.222964</v>
      </c>
      <c r="E427">
        <v>24.984300000000001</v>
      </c>
      <c r="F427">
        <v>24.964400000000001</v>
      </c>
      <c r="G427">
        <v>0</v>
      </c>
      <c r="H427">
        <v>0</v>
      </c>
      <c r="J427" t="s">
        <v>0</v>
      </c>
      <c r="K427" t="s">
        <v>49</v>
      </c>
      <c r="L427" t="s">
        <v>50</v>
      </c>
      <c r="M427">
        <v>0</v>
      </c>
      <c r="N427" t="s">
        <v>51</v>
      </c>
      <c r="O427">
        <v>1</v>
      </c>
      <c r="P427" t="s">
        <v>52</v>
      </c>
      <c r="Q427" s="2">
        <v>0.5131944444444444</v>
      </c>
      <c r="R427">
        <f>-0.0008997891*3600</f>
        <v>-3.2392407600000004</v>
      </c>
      <c r="S427">
        <f>0.0014551751*3600</f>
        <v>5.2386303600000002</v>
      </c>
    </row>
    <row r="428" spans="1:19" x14ac:dyDescent="0.3">
      <c r="A428" t="s">
        <v>71</v>
      </c>
      <c r="B428" t="s">
        <v>68</v>
      </c>
      <c r="C428">
        <v>329.56837999999999</v>
      </c>
      <c r="D428">
        <v>297.77547600000003</v>
      </c>
      <c r="E428">
        <v>24.984400000000001</v>
      </c>
      <c r="F428">
        <v>24.964500000000001</v>
      </c>
      <c r="G428">
        <v>0</v>
      </c>
      <c r="H428">
        <v>0</v>
      </c>
      <c r="J428" t="s">
        <v>0</v>
      </c>
      <c r="K428" t="s">
        <v>49</v>
      </c>
      <c r="L428" t="s">
        <v>50</v>
      </c>
      <c r="M428">
        <v>0</v>
      </c>
      <c r="N428" t="s">
        <v>51</v>
      </c>
      <c r="O428">
        <v>1</v>
      </c>
      <c r="P428" t="s">
        <v>52</v>
      </c>
      <c r="Q428" s="2">
        <v>0.5131944444444444</v>
      </c>
      <c r="R428">
        <f>-0.0000244379*3600</f>
        <v>-8.7976439999999989E-2</v>
      </c>
      <c r="S428">
        <f>-0.0035167621*3600</f>
        <v>-12.660343560000001</v>
      </c>
    </row>
  </sheetData>
  <sortState xmlns:xlrd2="http://schemas.microsoft.com/office/spreadsheetml/2017/richdata2" ref="A399:H428">
    <sortCondition ref="B399:B428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210906KA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Zlatev, Ivan</cp:lastModifiedBy>
  <dcterms:created xsi:type="dcterms:W3CDTF">2021-09-06T12:30:17Z</dcterms:created>
  <dcterms:modified xsi:type="dcterms:W3CDTF">2021-09-06T14:35:01Z</dcterms:modified>
</cp:coreProperties>
</file>